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M:\1- LABORATORIO DE CALIBRACION\1-CALIBRACIONES\2026\Certificados\No Acreditados\Presión\"/>
    </mc:Choice>
  </mc:AlternateContent>
  <xr:revisionPtr revIDLastSave="0" documentId="13_ncr:1_{291D73F8-C78B-4526-95E8-AC0E97B4A440}" xr6:coauthVersionLast="47" xr6:coauthVersionMax="47" xr10:uidLastSave="{00000000-0000-0000-0000-000000000000}"/>
  <workbookProtection workbookAlgorithmName="SHA-512" workbookHashValue="/Y5WVplxHGjPtEh7Ccztp+0nnqCXS4dlCQeBO9mDVXGTdmPYYfhA0/isyuAQ/5TpnETTeo+DzabIqeXgDgMCGQ==" workbookSaltValue="kEjIVVilZNPvzEHWjiNElw==" workbookSpinCount="100000" lockStructure="1"/>
  <bookViews>
    <workbookView xWindow="-108" yWindow="-108" windowWidth="23256" windowHeight="12456" tabRatio="877" firstSheet="1" activeTab="1" xr2:uid="{00000000-000D-0000-FFFF-FFFF00000000}"/>
  </bookViews>
  <sheets>
    <sheet name="Base Patrones Presion" sheetId="14" state="hidden" r:id="rId1"/>
    <sheet name="TOMA DE DATOS" sheetId="2" r:id="rId2"/>
    <sheet name="Tabla de resultados" sheetId="5" r:id="rId3"/>
    <sheet name="CALCULO DE INCERTIDUMBRES" sheetId="3" state="hidden" r:id="rId4"/>
    <sheet name="CONVERSION" sheetId="8" state="hidden" r:id="rId5"/>
    <sheet name="TRAZABILIDAD" sheetId="9" state="hidden" r:id="rId6"/>
    <sheet name="Hoja1" sheetId="12" state="hidden" r:id="rId7"/>
  </sheets>
  <externalReferences>
    <externalReference r:id="rId8"/>
  </externalReferences>
  <definedNames>
    <definedName name="_xlnm.Print_Area" localSheetId="2">'Tabla de resultados'!$A$5:$Z$135</definedName>
    <definedName name="_xlnm.Print_Area" localSheetId="1">'TOMA DE DATOS'!$A$1:$V$119</definedName>
    <definedName name="Cargo" localSheetId="0">#REF!</definedName>
    <definedName name="Cargo">#REF!</definedName>
    <definedName name="Clase" localSheetId="0">#REF!</definedName>
    <definedName name="Clase">#REF!</definedName>
    <definedName name="Codigo" localSheetId="0">#REF!</definedName>
    <definedName name="Codigo">#REF!</definedName>
    <definedName name="División_de_verificación" localSheetId="0">#REF!</definedName>
    <definedName name="División_de_verificación">#REF!</definedName>
    <definedName name="Excentricidad" localSheetId="0">#REF!</definedName>
    <definedName name="Excentricidad">#REF!</definedName>
    <definedName name="Max" localSheetId="0">#REF!</definedName>
    <definedName name="Max">#REF!</definedName>
    <definedName name="Min" localSheetId="0">#REF!</definedName>
    <definedName name="Min">#REF!</definedName>
    <definedName name="Nombres" localSheetId="0">#REF!</definedName>
    <definedName name="Nombres">#REF!</definedName>
    <definedName name="Patrón" localSheetId="0">#REF!</definedName>
    <definedName name="Patrón">#REF!</definedName>
    <definedName name="Repetibilidad" localSheetId="0">#REF!</definedName>
    <definedName name="Repetibilidad">#REF!</definedName>
    <definedName name="Resolucion" localSheetId="0">#REF!</definedName>
    <definedName name="Resolucion">#REF!</definedName>
    <definedName name="Resolución" localSheetId="0">#REF!</definedName>
    <definedName name="Resolución">#REF!</definedName>
    <definedName name="Temperatura" localSheetId="0">#REF!</definedName>
    <definedName name="Temperatura">#REF!</definedName>
    <definedName name="U0" localSheetId="0">#REF!</definedName>
    <definedName name="U0">#REF!</definedName>
    <definedName name="Umax" localSheetId="0">#REF!</definedName>
    <definedName name="Umax">#REF!</definedName>
    <definedName name="Unidades" localSheetId="0">#REF!</definedName>
    <definedName name="Unidades">#REF!</definedName>
    <definedName name="W" localSheetId="0">#REF!</definedName>
    <definedName name="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1" i="5" l="1"/>
  <c r="A100" i="5"/>
  <c r="AN100" i="5" s="1"/>
  <c r="A99" i="5"/>
  <c r="A98" i="5"/>
  <c r="AN98" i="5" s="1"/>
  <c r="A97" i="5"/>
  <c r="A96" i="5"/>
  <c r="A95" i="5"/>
  <c r="A94" i="5"/>
  <c r="A93" i="5"/>
  <c r="AN93" i="5"/>
  <c r="AN94" i="5"/>
  <c r="AN95" i="5"/>
  <c r="AN96" i="5"/>
  <c r="AN97" i="5"/>
  <c r="AN99" i="5"/>
  <c r="AN101" i="5"/>
  <c r="AN92" i="5"/>
  <c r="C78" i="14"/>
  <c r="E85" i="14"/>
  <c r="E89" i="14"/>
  <c r="F78" i="14"/>
  <c r="J82" i="14"/>
  <c r="J83" i="14"/>
  <c r="J84" i="14"/>
  <c r="J85" i="14"/>
  <c r="J86" i="14"/>
  <c r="J87" i="14"/>
  <c r="J88" i="14"/>
  <c r="J89" i="14"/>
  <c r="J90" i="14"/>
  <c r="J91" i="14"/>
  <c r="I82" i="14"/>
  <c r="I83" i="14"/>
  <c r="I84" i="14"/>
  <c r="I85" i="14"/>
  <c r="I86" i="14"/>
  <c r="I87" i="14"/>
  <c r="I88" i="14"/>
  <c r="I89" i="14"/>
  <c r="I90" i="14"/>
  <c r="I91" i="14"/>
  <c r="F82" i="14"/>
  <c r="F83" i="14"/>
  <c r="F84" i="14"/>
  <c r="F85" i="14"/>
  <c r="F86" i="14"/>
  <c r="F87" i="14"/>
  <c r="F88" i="14"/>
  <c r="F89" i="14"/>
  <c r="F90" i="14"/>
  <c r="F91" i="14"/>
  <c r="E82" i="14"/>
  <c r="E83" i="14"/>
  <c r="E84" i="14"/>
  <c r="E86" i="14"/>
  <c r="E87" i="14"/>
  <c r="E88" i="14"/>
  <c r="E90" i="14"/>
  <c r="E91" i="14"/>
  <c r="D82" i="14"/>
  <c r="D83" i="14"/>
  <c r="D84" i="14"/>
  <c r="D85" i="14"/>
  <c r="D86" i="14"/>
  <c r="D87" i="14"/>
  <c r="D88" i="14"/>
  <c r="D89" i="14"/>
  <c r="D90" i="14"/>
  <c r="D91" i="14"/>
  <c r="J81" i="14" l="1"/>
  <c r="I81" i="14"/>
  <c r="F81" i="14"/>
  <c r="E81" i="14"/>
  <c r="D81" i="14"/>
  <c r="C82" i="14"/>
  <c r="C83" i="14"/>
  <c r="C84" i="14"/>
  <c r="C85" i="14"/>
  <c r="C86" i="14"/>
  <c r="C87" i="14"/>
  <c r="C88" i="14"/>
  <c r="C89" i="14"/>
  <c r="C90" i="14"/>
  <c r="C91" i="14"/>
  <c r="C81" i="14"/>
  <c r="S9" i="9" l="1"/>
  <c r="R9" i="9"/>
  <c r="F319" i="3"/>
  <c r="F288" i="3"/>
  <c r="F257" i="3"/>
  <c r="F226" i="3"/>
  <c r="F195" i="3"/>
  <c r="F164" i="3"/>
  <c r="F133" i="3"/>
  <c r="F102" i="3"/>
  <c r="F71" i="3"/>
  <c r="F40" i="3"/>
  <c r="F9" i="3"/>
  <c r="E2" i="14" l="1"/>
  <c r="A75" i="2"/>
  <c r="E75" i="2"/>
  <c r="G22" i="2" l="1"/>
  <c r="A22" i="2"/>
  <c r="A31" i="5" s="1"/>
  <c r="XFC4" i="2"/>
  <c r="XFC3" i="2"/>
  <c r="XFC2" i="2"/>
  <c r="XFC1" i="2"/>
  <c r="E125" i="14" l="1"/>
  <c r="E126" i="14"/>
  <c r="E127" i="14"/>
  <c r="E128" i="14"/>
  <c r="E129" i="14"/>
  <c r="E130" i="14"/>
  <c r="E131" i="14"/>
  <c r="E132" i="14"/>
  <c r="E133" i="14"/>
  <c r="E134" i="14"/>
  <c r="E135" i="14"/>
  <c r="E31" i="5" l="1"/>
  <c r="E30" i="5"/>
  <c r="E29" i="5"/>
  <c r="J30" i="5"/>
  <c r="J29" i="5"/>
  <c r="E121" i="14" l="1"/>
  <c r="K20" i="2" l="1"/>
  <c r="V42" i="2"/>
  <c r="P164" i="14" l="1"/>
  <c r="T44" i="2"/>
  <c r="T43" i="2"/>
  <c r="S206" i="14"/>
  <c r="T206" i="14"/>
  <c r="U206" i="14"/>
  <c r="W206" i="14"/>
  <c r="X206" i="14"/>
  <c r="Y206" i="14"/>
  <c r="T193" i="14"/>
  <c r="U193" i="14"/>
  <c r="V193" i="14"/>
  <c r="X193" i="14"/>
  <c r="S180" i="14"/>
  <c r="T180" i="14"/>
  <c r="U180" i="14"/>
  <c r="V180" i="14"/>
  <c r="W180" i="14"/>
  <c r="X180" i="14"/>
  <c r="Y180" i="14"/>
  <c r="S150" i="14"/>
  <c r="S232" i="14" s="1"/>
  <c r="W150" i="14"/>
  <c r="W232" i="14" s="1"/>
  <c r="T137" i="14"/>
  <c r="T219" i="14" s="1"/>
  <c r="X137" i="14"/>
  <c r="X219" i="14" s="1"/>
  <c r="S124" i="14"/>
  <c r="T124" i="14"/>
  <c r="T150" i="14" s="1"/>
  <c r="T232" i="14" s="1"/>
  <c r="U124" i="14"/>
  <c r="U150" i="14" s="1"/>
  <c r="U232" i="14" s="1"/>
  <c r="V124" i="14"/>
  <c r="V206" i="14" s="1"/>
  <c r="W124" i="14"/>
  <c r="X124" i="14"/>
  <c r="X150" i="14" s="1"/>
  <c r="X232" i="14" s="1"/>
  <c r="Y124" i="14"/>
  <c r="Y150" i="14" s="1"/>
  <c r="Y232" i="14" s="1"/>
  <c r="S111" i="14"/>
  <c r="S193" i="14" s="1"/>
  <c r="T111" i="14"/>
  <c r="U111" i="14"/>
  <c r="U137" i="14" s="1"/>
  <c r="V111" i="14"/>
  <c r="V137" i="14" s="1"/>
  <c r="W111" i="14"/>
  <c r="W193" i="14" s="1"/>
  <c r="X111" i="14"/>
  <c r="Y111" i="14"/>
  <c r="Y193" i="14" s="1"/>
  <c r="R193" i="14"/>
  <c r="R180" i="14"/>
  <c r="R137" i="14"/>
  <c r="R219" i="14" s="1"/>
  <c r="R124" i="14"/>
  <c r="R206" i="14" s="1"/>
  <c r="R111" i="14"/>
  <c r="R14" i="9"/>
  <c r="V163" i="14" l="1"/>
  <c r="V245" i="14" s="1"/>
  <c r="V219" i="14"/>
  <c r="U219" i="14"/>
  <c r="U163" i="14"/>
  <c r="U245" i="14" s="1"/>
  <c r="W137" i="14"/>
  <c r="S137" i="14"/>
  <c r="V150" i="14"/>
  <c r="V232" i="14" s="1"/>
  <c r="X163" i="14"/>
  <c r="X245" i="14" s="1"/>
  <c r="T163" i="14"/>
  <c r="T245" i="14" s="1"/>
  <c r="R150" i="14"/>
  <c r="R232" i="14" s="1"/>
  <c r="R163" i="14"/>
  <c r="R245" i="14" s="1"/>
  <c r="Y137" i="14"/>
  <c r="S163" i="14" l="1"/>
  <c r="S245" i="14" s="1"/>
  <c r="S219" i="14"/>
  <c r="W163" i="14"/>
  <c r="W245" i="14" s="1"/>
  <c r="W219" i="14"/>
  <c r="Y219" i="14"/>
  <c r="Y163" i="14"/>
  <c r="Y245" i="14" s="1"/>
  <c r="R4" i="9" l="1"/>
  <c r="S4" i="9" s="1"/>
  <c r="R5" i="9"/>
  <c r="S5" i="9" s="1"/>
  <c r="R6" i="9"/>
  <c r="S6" i="9" s="1"/>
  <c r="R7" i="9"/>
  <c r="S7" i="9" s="1"/>
  <c r="R8" i="9"/>
  <c r="S8" i="9" s="1"/>
  <c r="R3" i="9"/>
  <c r="S3" i="9" s="1"/>
  <c r="E151" i="14" l="1"/>
  <c r="E152" i="14"/>
  <c r="E153" i="14"/>
  <c r="E154" i="14"/>
  <c r="E155" i="14"/>
  <c r="E156" i="14"/>
  <c r="E157" i="14"/>
  <c r="E158" i="14"/>
  <c r="E159" i="14"/>
  <c r="Q23" i="5"/>
  <c r="E30" i="8" l="1"/>
  <c r="C24" i="14"/>
  <c r="A36" i="14"/>
  <c r="A37" i="14"/>
  <c r="A38" i="14"/>
  <c r="A39" i="14"/>
  <c r="T42" i="2"/>
  <c r="R42" i="2"/>
  <c r="E4" i="14" s="1"/>
  <c r="B80" i="14"/>
  <c r="Y81" i="14" l="1"/>
  <c r="Y85" i="14"/>
  <c r="Y89" i="14"/>
  <c r="Y87" i="14"/>
  <c r="Y88" i="14"/>
  <c r="Y82" i="14"/>
  <c r="Y86" i="14"/>
  <c r="Y90" i="14"/>
  <c r="Y83" i="14"/>
  <c r="Y91" i="14"/>
  <c r="Y84" i="14"/>
  <c r="P79" i="14"/>
  <c r="Q79" i="14"/>
  <c r="X84" i="14"/>
  <c r="X88" i="14"/>
  <c r="X81" i="14"/>
  <c r="X85" i="14"/>
  <c r="X89" i="14"/>
  <c r="X82" i="14"/>
  <c r="X86" i="14"/>
  <c r="X90" i="14"/>
  <c r="X83" i="14"/>
  <c r="X87" i="14"/>
  <c r="X91" i="14"/>
  <c r="R43" i="2"/>
  <c r="R44" i="2"/>
  <c r="P43" i="2"/>
  <c r="P44" i="2"/>
  <c r="P42" i="2"/>
  <c r="E3" i="14" s="1" a="1"/>
  <c r="E3" i="14" s="1"/>
  <c r="E112" i="14"/>
  <c r="E139" i="14"/>
  <c r="E140" i="14"/>
  <c r="E141" i="14"/>
  <c r="E142" i="14"/>
  <c r="E143" i="14"/>
  <c r="E144" i="14"/>
  <c r="E145" i="14"/>
  <c r="E146" i="14"/>
  <c r="E138" i="14"/>
  <c r="E165" i="14"/>
  <c r="E166" i="14"/>
  <c r="E167" i="14"/>
  <c r="E168" i="14"/>
  <c r="E169" i="14"/>
  <c r="E170" i="14"/>
  <c r="E171" i="14"/>
  <c r="E172" i="14"/>
  <c r="E173" i="14"/>
  <c r="E174" i="14"/>
  <c r="E164" i="14"/>
  <c r="E195" i="14"/>
  <c r="E196" i="14"/>
  <c r="E197" i="14"/>
  <c r="E198" i="14"/>
  <c r="E199" i="14"/>
  <c r="E200" i="14"/>
  <c r="E201" i="14"/>
  <c r="E202" i="14"/>
  <c r="E203" i="14"/>
  <c r="E204" i="14"/>
  <c r="E194" i="14"/>
  <c r="E120" i="14"/>
  <c r="E119" i="14"/>
  <c r="E118" i="14"/>
  <c r="E117" i="14"/>
  <c r="E116" i="14"/>
  <c r="E115" i="14"/>
  <c r="E114" i="14"/>
  <c r="E113" i="14"/>
  <c r="B16" i="14" l="1"/>
  <c r="C71" i="14" s="1"/>
  <c r="B8" i="14"/>
  <c r="C63" i="14" s="1"/>
  <c r="P246" i="14"/>
  <c r="P233" i="14"/>
  <c r="P220" i="14"/>
  <c r="P207" i="14"/>
  <c r="P194" i="14"/>
  <c r="P181" i="14"/>
  <c r="P151" i="14"/>
  <c r="P138" i="14"/>
  <c r="P125" i="14"/>
  <c r="P112" i="14"/>
  <c r="P99" i="14"/>
  <c r="S82" i="14"/>
  <c r="T82" i="14"/>
  <c r="U82" i="14"/>
  <c r="V82" i="14"/>
  <c r="W82" i="14"/>
  <c r="S83" i="14"/>
  <c r="T83" i="14"/>
  <c r="U83" i="14"/>
  <c r="V83" i="14"/>
  <c r="W83" i="14"/>
  <c r="S84" i="14"/>
  <c r="T84" i="14"/>
  <c r="U84" i="14"/>
  <c r="V84" i="14"/>
  <c r="W84" i="14"/>
  <c r="S85" i="14"/>
  <c r="T85" i="14"/>
  <c r="U85" i="14"/>
  <c r="V85" i="14"/>
  <c r="W85" i="14"/>
  <c r="S86" i="14"/>
  <c r="T86" i="14"/>
  <c r="U86" i="14"/>
  <c r="V86" i="14"/>
  <c r="W86" i="14"/>
  <c r="S87" i="14"/>
  <c r="T87" i="14"/>
  <c r="U87" i="14"/>
  <c r="V87" i="14"/>
  <c r="W87" i="14"/>
  <c r="S88" i="14"/>
  <c r="T88" i="14"/>
  <c r="U88" i="14"/>
  <c r="V88" i="14"/>
  <c r="W88" i="14"/>
  <c r="S89" i="14"/>
  <c r="T89" i="14"/>
  <c r="U89" i="14"/>
  <c r="V89" i="14"/>
  <c r="W89" i="14"/>
  <c r="S90" i="14"/>
  <c r="T90" i="14"/>
  <c r="U90" i="14"/>
  <c r="V90" i="14"/>
  <c r="W90" i="14"/>
  <c r="S91" i="14"/>
  <c r="T91" i="14"/>
  <c r="U91" i="14"/>
  <c r="V91" i="14"/>
  <c r="W91" i="14"/>
  <c r="S81" i="14"/>
  <c r="T81" i="14"/>
  <c r="U81" i="14"/>
  <c r="V81" i="14"/>
  <c r="W81" i="14"/>
  <c r="R82" i="14"/>
  <c r="R83" i="14"/>
  <c r="R84" i="14"/>
  <c r="R85" i="14"/>
  <c r="R86" i="14"/>
  <c r="R87" i="14"/>
  <c r="R88" i="14"/>
  <c r="R89" i="14"/>
  <c r="R90" i="14"/>
  <c r="R91" i="14"/>
  <c r="R81" i="14"/>
  <c r="Q41" i="14"/>
  <c r="M41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42" i="14"/>
  <c r="R40" i="14"/>
  <c r="M40" i="14"/>
  <c r="C6" i="14"/>
  <c r="S331" i="3"/>
  <c r="H319" i="3" s="1"/>
  <c r="H327" i="3" s="1"/>
  <c r="H325" i="3"/>
  <c r="D322" i="3"/>
  <c r="D321" i="3"/>
  <c r="D320" i="3"/>
  <c r="F327" i="3"/>
  <c r="D319" i="3"/>
  <c r="A316" i="3"/>
  <c r="E24" i="14"/>
  <c r="H164" i="14"/>
  <c r="H163" i="14"/>
  <c r="H246" i="14"/>
  <c r="H245" i="14"/>
  <c r="H233" i="14"/>
  <c r="H232" i="14"/>
  <c r="H220" i="14"/>
  <c r="H219" i="14"/>
  <c r="H207" i="14"/>
  <c r="H206" i="14"/>
  <c r="H194" i="14"/>
  <c r="H193" i="14"/>
  <c r="H181" i="14"/>
  <c r="H180" i="14"/>
  <c r="H151" i="14"/>
  <c r="H150" i="14"/>
  <c r="H138" i="14"/>
  <c r="H137" i="14"/>
  <c r="H125" i="14"/>
  <c r="H124" i="14"/>
  <c r="H112" i="14"/>
  <c r="H111" i="14"/>
  <c r="H99" i="14"/>
  <c r="H98" i="14"/>
  <c r="E52" i="14"/>
  <c r="D52" i="14"/>
  <c r="H91" i="14"/>
  <c r="E18" i="14"/>
  <c r="C18" i="14"/>
  <c r="B18" i="14"/>
  <c r="C73" i="14" s="1"/>
  <c r="E51" i="14"/>
  <c r="D51" i="14"/>
  <c r="H90" i="14"/>
  <c r="E17" i="14"/>
  <c r="C17" i="14"/>
  <c r="D72" i="14" s="1"/>
  <c r="B17" i="14"/>
  <c r="E50" i="14"/>
  <c r="D50" i="14"/>
  <c r="H89" i="14"/>
  <c r="E16" i="14"/>
  <c r="C16" i="14"/>
  <c r="D71" i="14" s="1"/>
  <c r="E49" i="14"/>
  <c r="D49" i="14"/>
  <c r="H88" i="14"/>
  <c r="E15" i="14"/>
  <c r="C15" i="14"/>
  <c r="D70" i="14" s="1"/>
  <c r="B15" i="14"/>
  <c r="E48" i="14"/>
  <c r="D48" i="14"/>
  <c r="H87" i="14"/>
  <c r="E14" i="14"/>
  <c r="C14" i="14"/>
  <c r="D69" i="14" s="1"/>
  <c r="B14" i="14"/>
  <c r="C69" i="14" s="1"/>
  <c r="E47" i="14"/>
  <c r="D47" i="14"/>
  <c r="H86" i="14"/>
  <c r="E13" i="14"/>
  <c r="C13" i="14"/>
  <c r="D68" i="14" s="1"/>
  <c r="B13" i="14"/>
  <c r="A86" i="14"/>
  <c r="E46" i="14"/>
  <c r="D46" i="14"/>
  <c r="H85" i="14"/>
  <c r="E12" i="14"/>
  <c r="C12" i="14"/>
  <c r="D67" i="14" s="1"/>
  <c r="B12" i="14"/>
  <c r="C67" i="14" s="1"/>
  <c r="A85" i="14"/>
  <c r="E45" i="14"/>
  <c r="D45" i="14"/>
  <c r="H84" i="14"/>
  <c r="E11" i="14"/>
  <c r="C11" i="14"/>
  <c r="D66" i="14" s="1"/>
  <c r="B11" i="14"/>
  <c r="C66" i="14" s="1"/>
  <c r="A84" i="14"/>
  <c r="E44" i="14"/>
  <c r="D44" i="14"/>
  <c r="H83" i="14"/>
  <c r="E10" i="14"/>
  <c r="C10" i="14"/>
  <c r="B10" i="14"/>
  <c r="C65" i="14" s="1"/>
  <c r="A83" i="14"/>
  <c r="E43" i="14"/>
  <c r="D43" i="14"/>
  <c r="H82" i="14"/>
  <c r="E9" i="14"/>
  <c r="C9" i="14"/>
  <c r="D64" i="14" s="1"/>
  <c r="B9" i="14"/>
  <c r="C64" i="14" s="1"/>
  <c r="A82" i="14"/>
  <c r="E42" i="14"/>
  <c r="D42" i="14"/>
  <c r="H81" i="14"/>
  <c r="E8" i="14"/>
  <c r="C8" i="14"/>
  <c r="D63" i="14" s="1"/>
  <c r="A81" i="14"/>
  <c r="H80" i="14"/>
  <c r="D24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D62" i="14"/>
  <c r="C62" i="14"/>
  <c r="E54" i="14"/>
  <c r="D54" i="14"/>
  <c r="E53" i="14"/>
  <c r="D53" i="14"/>
  <c r="G39" i="14"/>
  <c r="G38" i="14"/>
  <c r="G37" i="14"/>
  <c r="G36" i="14"/>
  <c r="E19" i="14"/>
  <c r="C19" i="14"/>
  <c r="D74" i="14" s="1"/>
  <c r="B19" i="14"/>
  <c r="C74" i="14" s="1"/>
  <c r="G57" i="3"/>
  <c r="Q91" i="14" l="1"/>
  <c r="Q90" i="14"/>
  <c r="Q89" i="14"/>
  <c r="Q87" i="14"/>
  <c r="Q86" i="14"/>
  <c r="Q85" i="14"/>
  <c r="Q83" i="14"/>
  <c r="Q82" i="14"/>
  <c r="Q81" i="14"/>
  <c r="Q88" i="14"/>
  <c r="Q84" i="14"/>
  <c r="P81" i="14"/>
  <c r="G24" i="14"/>
  <c r="H30" i="8"/>
  <c r="P41" i="14"/>
  <c r="R41" i="14" s="1"/>
  <c r="D323" i="3"/>
  <c r="A35" i="14" s="1"/>
  <c r="Q320" i="3"/>
  <c r="D17" i="14"/>
  <c r="S339" i="3"/>
  <c r="I319" i="3" s="1"/>
  <c r="I327" i="3" s="1"/>
  <c r="P82" i="14"/>
  <c r="P91" i="14"/>
  <c r="P90" i="14"/>
  <c r="D19" i="14"/>
  <c r="P83" i="14"/>
  <c r="P89" i="14"/>
  <c r="P84" i="14"/>
  <c r="P88" i="14"/>
  <c r="P87" i="14"/>
  <c r="P85" i="14"/>
  <c r="P86" i="14"/>
  <c r="D15" i="14"/>
  <c r="Q319" i="3"/>
  <c r="Q321" i="3" s="1"/>
  <c r="E73" i="14"/>
  <c r="D73" i="14"/>
  <c r="D18" i="14"/>
  <c r="E24" i="8"/>
  <c r="D14" i="14"/>
  <c r="E66" i="14"/>
  <c r="F66" i="14" s="1"/>
  <c r="G66" i="14" s="1"/>
  <c r="D65" i="14"/>
  <c r="D10" i="14"/>
  <c r="C68" i="14"/>
  <c r="D13" i="14"/>
  <c r="F74" i="14"/>
  <c r="E74" i="14"/>
  <c r="G74" i="14"/>
  <c r="E65" i="14"/>
  <c r="D12" i="14"/>
  <c r="E64" i="14"/>
  <c r="F64" i="14" s="1"/>
  <c r="G64" i="14" s="1"/>
  <c r="C72" i="14"/>
  <c r="D9" i="14"/>
  <c r="C70" i="14"/>
  <c r="E71" i="14"/>
  <c r="F71" i="14" s="1"/>
  <c r="G71" i="14" s="1"/>
  <c r="D8" i="14"/>
  <c r="D16" i="14"/>
  <c r="E69" i="14"/>
  <c r="F69" i="14" s="1"/>
  <c r="G69" i="14" s="1"/>
  <c r="D11" i="14"/>
  <c r="E63" i="14"/>
  <c r="F63" i="14" s="1"/>
  <c r="G63" i="14" s="1"/>
  <c r="E67" i="14"/>
  <c r="F67" i="14" s="1"/>
  <c r="G67" i="14" s="1"/>
  <c r="M88" i="14" l="1"/>
  <c r="M87" i="14"/>
  <c r="M86" i="14"/>
  <c r="M84" i="14"/>
  <c r="M90" i="14"/>
  <c r="M83" i="14"/>
  <c r="M82" i="14"/>
  <c r="M81" i="14"/>
  <c r="M85" i="14"/>
  <c r="M89" i="14"/>
  <c r="M91" i="14"/>
  <c r="N80" i="14"/>
  <c r="M61" i="14"/>
  <c r="C35" i="14"/>
  <c r="F73" i="14"/>
  <c r="G73" i="14" s="1"/>
  <c r="H41" i="14"/>
  <c r="M80" i="14" s="1"/>
  <c r="I63" i="14"/>
  <c r="F65" i="14"/>
  <c r="G65" i="14" s="1"/>
  <c r="E68" i="14"/>
  <c r="F68" i="14" s="1"/>
  <c r="G68" i="14" s="1"/>
  <c r="E70" i="14"/>
  <c r="F70" i="14" s="1"/>
  <c r="G70" i="14" s="1"/>
  <c r="E72" i="14"/>
  <c r="F72" i="14" s="1"/>
  <c r="G72" i="14" s="1"/>
  <c r="M92" i="14" l="1"/>
  <c r="M93" i="14" s="1"/>
  <c r="K41" i="14"/>
  <c r="K61" i="14"/>
  <c r="H63" i="14"/>
  <c r="J63" i="14" s="1"/>
  <c r="K63" i="14" s="1"/>
  <c r="C61" i="5"/>
  <c r="U61" i="5" s="1"/>
  <c r="J44" i="2"/>
  <c r="J42" i="2"/>
  <c r="S44" i="2"/>
  <c r="S43" i="2"/>
  <c r="S42" i="2"/>
  <c r="E5" i="14" s="1"/>
  <c r="I42" i="12"/>
  <c r="I43" i="12"/>
  <c r="I44" i="12"/>
  <c r="I45" i="12"/>
  <c r="I46" i="12"/>
  <c r="I47" i="12"/>
  <c r="I48" i="12"/>
  <c r="I49" i="12"/>
  <c r="I52" i="12"/>
  <c r="I51" i="12"/>
  <c r="I50" i="12"/>
  <c r="O105" i="2"/>
  <c r="C16" i="8"/>
  <c r="D16" i="8"/>
  <c r="E16" i="8"/>
  <c r="F16" i="8"/>
  <c r="G16" i="8"/>
  <c r="H16" i="8"/>
  <c r="I16" i="8"/>
  <c r="J16" i="8"/>
  <c r="K16" i="8"/>
  <c r="L16" i="8"/>
  <c r="B16" i="8"/>
  <c r="M6" i="8"/>
  <c r="M7" i="8"/>
  <c r="M8" i="8"/>
  <c r="M9" i="8"/>
  <c r="M10" i="8"/>
  <c r="M11" i="8"/>
  <c r="M12" i="8"/>
  <c r="M13" i="8"/>
  <c r="M14" i="8"/>
  <c r="M16" i="8" s="1"/>
  <c r="M15" i="8"/>
  <c r="M5" i="8"/>
  <c r="C60" i="5"/>
  <c r="U60" i="5" s="1"/>
  <c r="J43" i="2"/>
  <c r="G61" i="5" l="1"/>
  <c r="M61" i="5"/>
  <c r="Q61" i="5"/>
  <c r="O14" i="8"/>
  <c r="Q60" i="5"/>
  <c r="M60" i="5"/>
  <c r="G60" i="5"/>
  <c r="E27" i="8" l="1"/>
  <c r="G6" i="8" l="1"/>
  <c r="G7" i="8" s="1"/>
  <c r="G5" i="8"/>
  <c r="O8" i="8" l="1"/>
  <c r="A89" i="5" l="1"/>
  <c r="C59" i="5" l="1"/>
  <c r="Q59" i="5" l="1"/>
  <c r="U59" i="5"/>
  <c r="E67" i="5" s="1"/>
  <c r="G59" i="5"/>
  <c r="M59" i="5"/>
  <c r="C91" i="2"/>
  <c r="C76" i="2"/>
  <c r="A130" i="5" l="1"/>
  <c r="L85" i="5" l="1"/>
  <c r="L86" i="5"/>
  <c r="L84" i="5"/>
  <c r="G85" i="5"/>
  <c r="G86" i="5"/>
  <c r="G84" i="5"/>
  <c r="L64" i="2" l="1"/>
  <c r="L66" i="2" s="1"/>
  <c r="L65" i="2" l="1"/>
  <c r="A129" i="5" l="1"/>
  <c r="X132" i="5"/>
  <c r="A72" i="5"/>
  <c r="A70" i="5"/>
  <c r="J53" i="5" l="1"/>
  <c r="Q124" i="2"/>
  <c r="Q123" i="2"/>
  <c r="Q122" i="2"/>
  <c r="J124" i="2"/>
  <c r="J123" i="2"/>
  <c r="J122" i="2"/>
  <c r="C124" i="2"/>
  <c r="C123" i="2"/>
  <c r="C122" i="2"/>
  <c r="O122" i="2"/>
  <c r="H122" i="2"/>
  <c r="A122" i="2"/>
  <c r="U30" i="5" l="1"/>
  <c r="U31" i="5"/>
  <c r="U29" i="5"/>
  <c r="N33" i="5"/>
  <c r="E33" i="5"/>
  <c r="G33" i="5"/>
  <c r="G29" i="5"/>
  <c r="S21" i="5"/>
  <c r="R19" i="5"/>
  <c r="R17" i="5"/>
  <c r="R15" i="5"/>
  <c r="R13" i="5"/>
  <c r="E15" i="5"/>
  <c r="E21" i="5"/>
  <c r="R71" i="5" s="1"/>
  <c r="E19" i="5"/>
  <c r="V9" i="5"/>
  <c r="AH104" i="5" l="1"/>
  <c r="AM104" i="5" s="1"/>
  <c r="S90" i="5"/>
  <c r="J90" i="5"/>
  <c r="A90" i="5"/>
  <c r="V90" i="5"/>
  <c r="L29" i="5"/>
  <c r="L30" i="5" s="1"/>
  <c r="G30" i="5"/>
  <c r="G31" i="5" s="1"/>
  <c r="O90" i="5" s="1"/>
  <c r="C318" i="3" l="1"/>
  <c r="AN91" i="5"/>
  <c r="C256" i="3"/>
  <c r="C163" i="3"/>
  <c r="C8" i="3"/>
  <c r="C39" i="3"/>
  <c r="C194" i="3"/>
  <c r="C101" i="3"/>
  <c r="C225" i="3"/>
  <c r="C70" i="3"/>
  <c r="C132" i="3"/>
  <c r="C287" i="3"/>
  <c r="G32" i="5"/>
  <c r="H24" i="8"/>
  <c r="E28" i="8" s="1"/>
  <c r="E31" i="8" s="1"/>
  <c r="H294" i="3"/>
  <c r="H263" i="3"/>
  <c r="H232" i="3"/>
  <c r="H201" i="3"/>
  <c r="H170" i="3"/>
  <c r="H139" i="3"/>
  <c r="H108" i="3"/>
  <c r="H77" i="3"/>
  <c r="H46" i="3"/>
  <c r="H15" i="3"/>
  <c r="D39" i="14" l="1"/>
  <c r="E39" i="14" s="1"/>
  <c r="D35" i="14"/>
  <c r="E35" i="14" s="1"/>
  <c r="D37" i="14"/>
  <c r="E37" i="14" s="1"/>
  <c r="D36" i="14"/>
  <c r="E36" i="14" s="1"/>
  <c r="D38" i="14"/>
  <c r="E38" i="14" s="1"/>
  <c r="G27" i="8"/>
  <c r="J25" i="8"/>
  <c r="L25" i="8" s="1"/>
  <c r="E25" i="8"/>
  <c r="G104" i="2"/>
  <c r="O104" i="2" s="1"/>
  <c r="G105" i="2" s="1"/>
  <c r="AM105" i="5"/>
  <c r="AH105" i="5" s="1"/>
  <c r="N91" i="14" l="1"/>
  <c r="O91" i="14" s="1"/>
  <c r="N90" i="14"/>
  <c r="O90" i="14" s="1"/>
  <c r="N88" i="14"/>
  <c r="O88" i="14" s="1"/>
  <c r="N84" i="14"/>
  <c r="O84" i="14" s="1"/>
  <c r="N83" i="14"/>
  <c r="O83" i="14" s="1"/>
  <c r="N85" i="14"/>
  <c r="O85" i="14" s="1"/>
  <c r="N87" i="14"/>
  <c r="O87" i="14" s="1"/>
  <c r="N89" i="14"/>
  <c r="O89" i="14" s="1"/>
  <c r="N81" i="14"/>
  <c r="N86" i="14"/>
  <c r="O86" i="14" s="1"/>
  <c r="N82" i="14"/>
  <c r="O82" i="14" s="1"/>
  <c r="K53" i="14"/>
  <c r="R53" i="14" s="1"/>
  <c r="H53" i="14"/>
  <c r="P53" i="14" s="1"/>
  <c r="Q53" i="14" s="1"/>
  <c r="K54" i="14"/>
  <c r="R54" i="14" s="1"/>
  <c r="H54" i="14"/>
  <c r="P54" i="14" s="1"/>
  <c r="Q54" i="14" s="1"/>
  <c r="K52" i="14"/>
  <c r="R52" i="14" s="1"/>
  <c r="E319" i="3" s="1"/>
  <c r="E327" i="3" s="1"/>
  <c r="H52" i="14"/>
  <c r="P52" i="14" s="1"/>
  <c r="Q52" i="14" s="1"/>
  <c r="K55" i="14"/>
  <c r="R55" i="14" s="1"/>
  <c r="H55" i="14"/>
  <c r="K56" i="14"/>
  <c r="R56" i="14" s="1"/>
  <c r="H56" i="14"/>
  <c r="P56" i="14" s="1"/>
  <c r="Q56" i="14" s="1"/>
  <c r="M63" i="14"/>
  <c r="M94" i="2"/>
  <c r="M96" i="2"/>
  <c r="M98" i="2"/>
  <c r="M100" i="2"/>
  <c r="M102" i="2"/>
  <c r="K94" i="2"/>
  <c r="K96" i="2"/>
  <c r="K98" i="2"/>
  <c r="K100" i="2"/>
  <c r="K102" i="2"/>
  <c r="G94" i="2"/>
  <c r="G96" i="2"/>
  <c r="G98" i="2"/>
  <c r="G100" i="2"/>
  <c r="G102" i="2"/>
  <c r="E94" i="2"/>
  <c r="E96" i="2"/>
  <c r="E98" i="2"/>
  <c r="E100" i="2"/>
  <c r="E102" i="2"/>
  <c r="C94" i="2"/>
  <c r="C96" i="2"/>
  <c r="C98" i="2"/>
  <c r="C100" i="2"/>
  <c r="C102" i="2"/>
  <c r="M95" i="2"/>
  <c r="M97" i="2"/>
  <c r="M99" i="2"/>
  <c r="M101" i="2"/>
  <c r="M93" i="2"/>
  <c r="K95" i="2"/>
  <c r="K97" i="2"/>
  <c r="K99" i="2"/>
  <c r="K101" i="2"/>
  <c r="K93" i="2"/>
  <c r="G95" i="2"/>
  <c r="G97" i="2"/>
  <c r="G99" i="2"/>
  <c r="G101" i="2"/>
  <c r="G93" i="2"/>
  <c r="E95" i="2"/>
  <c r="E97" i="2"/>
  <c r="E99" i="2"/>
  <c r="E101" i="2"/>
  <c r="E93" i="2"/>
  <c r="C95" i="2"/>
  <c r="C97" i="2"/>
  <c r="C99" i="2"/>
  <c r="C101" i="2"/>
  <c r="C93" i="2"/>
  <c r="O92" i="14" l="1"/>
  <c r="O81" i="14"/>
  <c r="N92" i="14"/>
  <c r="N95" i="14"/>
  <c r="I56" i="14"/>
  <c r="T55" i="14" s="1"/>
  <c r="I55" i="14"/>
  <c r="T54" i="14" s="1"/>
  <c r="I52" i="14"/>
  <c r="T51" i="14" s="1"/>
  <c r="G35" i="14"/>
  <c r="I53" i="14"/>
  <c r="T52" i="14" s="1"/>
  <c r="P55" i="14"/>
  <c r="Q55" i="14" s="1"/>
  <c r="I54" i="14"/>
  <c r="T53" i="14" s="1"/>
  <c r="C319" i="3"/>
  <c r="F323" i="3"/>
  <c r="J9" i="3"/>
  <c r="J257" i="3"/>
  <c r="J133" i="3"/>
  <c r="J40" i="3"/>
  <c r="J226" i="3"/>
  <c r="J102" i="3"/>
  <c r="J319" i="3"/>
  <c r="J327" i="3" s="1"/>
  <c r="J195" i="3"/>
  <c r="J71" i="3"/>
  <c r="J288" i="3"/>
  <c r="J164" i="3"/>
  <c r="AF90" i="5"/>
  <c r="F68" i="2"/>
  <c r="E90" i="5" l="1"/>
  <c r="D318" i="3" s="1"/>
  <c r="N93" i="14"/>
  <c r="K288" i="3" s="1"/>
  <c r="N94" i="14"/>
  <c r="N85" i="5"/>
  <c r="R78" i="5"/>
  <c r="R77" i="5"/>
  <c r="V77" i="5"/>
  <c r="D256" i="3" l="1"/>
  <c r="D287" i="3"/>
  <c r="D225" i="3"/>
  <c r="D39" i="3"/>
  <c r="D163" i="3"/>
  <c r="D132" i="3"/>
  <c r="D194" i="3"/>
  <c r="D101" i="3"/>
  <c r="D8" i="3"/>
  <c r="D70" i="3"/>
  <c r="K226" i="3"/>
  <c r="K9" i="3"/>
  <c r="K257" i="3"/>
  <c r="K102" i="3"/>
  <c r="K40" i="3"/>
  <c r="K133" i="3"/>
  <c r="K319" i="3"/>
  <c r="K327" i="3" s="1"/>
  <c r="K71" i="3"/>
  <c r="K195" i="3"/>
  <c r="K164" i="3"/>
  <c r="P24" i="2"/>
  <c r="K22" i="2" l="1"/>
  <c r="K21" i="2"/>
  <c r="F21" i="2"/>
  <c r="F22" i="2" s="1"/>
  <c r="O93" i="2"/>
  <c r="O78" i="2"/>
  <c r="A121" i="2"/>
  <c r="E17" i="5"/>
  <c r="AF91" i="5" l="1"/>
  <c r="AH91" i="5" s="1"/>
  <c r="AH90" i="5"/>
  <c r="AI90" i="5"/>
  <c r="AJ90" i="5"/>
  <c r="AK90" i="5"/>
  <c r="AG90" i="5" l="1"/>
  <c r="AJ91" i="5"/>
  <c r="AG91" i="5"/>
  <c r="AK91" i="5"/>
  <c r="D291" i="3" l="1"/>
  <c r="D290" i="3"/>
  <c r="D289" i="3"/>
  <c r="D288" i="3"/>
  <c r="A285" i="3"/>
  <c r="F296" i="3" l="1"/>
  <c r="E32" i="5"/>
  <c r="S308" i="3"/>
  <c r="S300" i="3"/>
  <c r="H288" i="3" s="1"/>
  <c r="H296" i="3" s="1"/>
  <c r="D292" i="3"/>
  <c r="A34" i="14" s="1"/>
  <c r="Q289" i="3"/>
  <c r="Q288" i="3"/>
  <c r="C34" i="14" l="1"/>
  <c r="D34" i="14" s="1"/>
  <c r="I288" i="3"/>
  <c r="I296" i="3" s="1"/>
  <c r="Q290" i="3"/>
  <c r="D324" i="3"/>
  <c r="E34" i="14" l="1"/>
  <c r="K51" i="14"/>
  <c r="R51" i="14" s="1"/>
  <c r="E288" i="3" s="1"/>
  <c r="H51" i="14"/>
  <c r="I51" i="14" s="1"/>
  <c r="D260" i="3"/>
  <c r="D259" i="3"/>
  <c r="D258" i="3"/>
  <c r="D257" i="3"/>
  <c r="A254" i="3"/>
  <c r="F265" i="3"/>
  <c r="D229" i="3"/>
  <c r="D228" i="3"/>
  <c r="D227" i="3"/>
  <c r="D226" i="3"/>
  <c r="A223" i="3"/>
  <c r="F234" i="3"/>
  <c r="D198" i="3"/>
  <c r="D197" i="3"/>
  <c r="D196" i="3"/>
  <c r="D195" i="3"/>
  <c r="A192" i="3"/>
  <c r="F203" i="3"/>
  <c r="D167" i="3"/>
  <c r="D166" i="3"/>
  <c r="D165" i="3"/>
  <c r="D164" i="3"/>
  <c r="A161" i="3"/>
  <c r="F172" i="3"/>
  <c r="F141" i="3"/>
  <c r="D136" i="3"/>
  <c r="D135" i="3"/>
  <c r="D134" i="3"/>
  <c r="D133" i="3"/>
  <c r="A130" i="3"/>
  <c r="D105" i="3"/>
  <c r="D104" i="3"/>
  <c r="D103" i="3"/>
  <c r="D102" i="3"/>
  <c r="A99" i="3"/>
  <c r="F110" i="3"/>
  <c r="T50" i="14" l="1"/>
  <c r="P51" i="14"/>
  <c r="Q51" i="14" s="1"/>
  <c r="F292" i="3" s="1"/>
  <c r="G34" i="14"/>
  <c r="C288" i="3"/>
  <c r="E296" i="3"/>
  <c r="S114" i="3"/>
  <c r="H102" i="3" s="1"/>
  <c r="H110" i="3" s="1"/>
  <c r="S207" i="3"/>
  <c r="H195" i="3" s="1"/>
  <c r="H203" i="3" s="1"/>
  <c r="Q258" i="3"/>
  <c r="S269" i="3"/>
  <c r="H257" i="3" s="1"/>
  <c r="H265" i="3" s="1"/>
  <c r="S145" i="3"/>
  <c r="H133" i="3" s="1"/>
  <c r="H141" i="3" s="1"/>
  <c r="S176" i="3"/>
  <c r="H164" i="3" s="1"/>
  <c r="H172" i="3" s="1"/>
  <c r="S238" i="3"/>
  <c r="H226" i="3" s="1"/>
  <c r="H234" i="3" s="1"/>
  <c r="Q227" i="3"/>
  <c r="D261" i="3"/>
  <c r="A33" i="14" s="1"/>
  <c r="D168" i="3"/>
  <c r="A30" i="14" s="1"/>
  <c r="D137" i="3"/>
  <c r="A29" i="14" s="1"/>
  <c r="D230" i="3"/>
  <c r="A32" i="14" s="1"/>
  <c r="S215" i="3"/>
  <c r="D199" i="3"/>
  <c r="A31" i="14" s="1"/>
  <c r="D106" i="3"/>
  <c r="A28" i="14" s="1"/>
  <c r="S184" i="3"/>
  <c r="Q226" i="3"/>
  <c r="Q257" i="3"/>
  <c r="S122" i="3"/>
  <c r="Q164" i="3"/>
  <c r="Q102" i="3"/>
  <c r="S277" i="3"/>
  <c r="S246" i="3"/>
  <c r="Q196" i="3"/>
  <c r="Q195" i="3"/>
  <c r="Q103" i="3"/>
  <c r="Q165" i="3"/>
  <c r="Q133" i="3"/>
  <c r="Q134" i="3"/>
  <c r="S153" i="3"/>
  <c r="D74" i="3"/>
  <c r="D73" i="3"/>
  <c r="D72" i="3"/>
  <c r="D71" i="3"/>
  <c r="A68" i="3"/>
  <c r="F79" i="3"/>
  <c r="AF101" i="5" l="1"/>
  <c r="C31" i="14"/>
  <c r="D31" i="14" s="1"/>
  <c r="C33" i="14"/>
  <c r="D33" i="14" s="1"/>
  <c r="C32" i="14"/>
  <c r="D32" i="14" s="1"/>
  <c r="C28" i="14"/>
  <c r="D28" i="14" s="1"/>
  <c r="C29" i="14"/>
  <c r="D29" i="14" s="1"/>
  <c r="T164" i="3"/>
  <c r="T169" i="3"/>
  <c r="C30" i="14"/>
  <c r="D30" i="14" s="1"/>
  <c r="Q228" i="3"/>
  <c r="Q259" i="3"/>
  <c r="I257" i="3"/>
  <c r="I265" i="3" s="1"/>
  <c r="I226" i="3"/>
  <c r="I234" i="3" s="1"/>
  <c r="I195" i="3"/>
  <c r="I203" i="3" s="1"/>
  <c r="I164" i="3"/>
  <c r="I172" i="3" s="1"/>
  <c r="I133" i="3"/>
  <c r="I141" i="3" s="1"/>
  <c r="I102" i="3"/>
  <c r="I110" i="3" s="1"/>
  <c r="S83" i="3"/>
  <c r="H71" i="3" s="1"/>
  <c r="H79" i="3" s="1"/>
  <c r="T166" i="3"/>
  <c r="D75" i="3"/>
  <c r="A27" i="14" s="1"/>
  <c r="Q104" i="3"/>
  <c r="Q166" i="3"/>
  <c r="Q135" i="3"/>
  <c r="T165" i="3"/>
  <c r="Q197" i="3"/>
  <c r="Q71" i="3"/>
  <c r="Q72" i="3"/>
  <c r="S91" i="3"/>
  <c r="A37" i="3"/>
  <c r="F48" i="3"/>
  <c r="D43" i="3"/>
  <c r="D42" i="3"/>
  <c r="D41" i="3"/>
  <c r="D40" i="3"/>
  <c r="E31" i="14" l="1"/>
  <c r="K48" i="14"/>
  <c r="R48" i="14" s="1"/>
  <c r="E195" i="3" s="1"/>
  <c r="H48" i="14"/>
  <c r="E33" i="14"/>
  <c r="K50" i="14"/>
  <c r="R50" i="14" s="1"/>
  <c r="E257" i="3" s="1"/>
  <c r="H50" i="14"/>
  <c r="I50" i="14" s="1"/>
  <c r="E32" i="14"/>
  <c r="K49" i="14"/>
  <c r="R49" i="14" s="1"/>
  <c r="E226" i="3" s="1"/>
  <c r="H49" i="14"/>
  <c r="I49" i="14" s="1"/>
  <c r="E30" i="14"/>
  <c r="H47" i="14"/>
  <c r="I47" i="14" s="1"/>
  <c r="K47" i="14"/>
  <c r="R47" i="14" s="1"/>
  <c r="E164" i="3" s="1"/>
  <c r="E28" i="14"/>
  <c r="K45" i="14"/>
  <c r="R45" i="14" s="1"/>
  <c r="E102" i="3" s="1"/>
  <c r="H45" i="14"/>
  <c r="I45" i="14" s="1"/>
  <c r="E29" i="14"/>
  <c r="K46" i="14"/>
  <c r="R46" i="14" s="1"/>
  <c r="E133" i="3" s="1"/>
  <c r="H46" i="14"/>
  <c r="I46" i="14" s="1"/>
  <c r="C27" i="14"/>
  <c r="D27" i="14" s="1"/>
  <c r="I71" i="3"/>
  <c r="I79" i="3" s="1"/>
  <c r="S52" i="3"/>
  <c r="H40" i="3" s="1"/>
  <c r="H48" i="3" s="1"/>
  <c r="D44" i="3"/>
  <c r="A26" i="14" s="1"/>
  <c r="Q73" i="3"/>
  <c r="Q40" i="3"/>
  <c r="S60" i="3"/>
  <c r="Q41" i="3"/>
  <c r="G33" i="14" l="1"/>
  <c r="T48" i="14"/>
  <c r="T49" i="14"/>
  <c r="P50" i="14"/>
  <c r="Q50" i="14" s="1"/>
  <c r="F261" i="3" s="1"/>
  <c r="G32" i="14"/>
  <c r="P49" i="14"/>
  <c r="Q49" i="14" s="1"/>
  <c r="F230" i="3" s="1"/>
  <c r="I48" i="14"/>
  <c r="T47" i="14" s="1"/>
  <c r="G31" i="14"/>
  <c r="P48" i="14"/>
  <c r="Q48" i="14" s="1"/>
  <c r="F199" i="3" s="1"/>
  <c r="G28" i="14"/>
  <c r="P46" i="14"/>
  <c r="Q46" i="14" s="1"/>
  <c r="F137" i="3" s="1"/>
  <c r="G29" i="14"/>
  <c r="G30" i="14"/>
  <c r="T45" i="14"/>
  <c r="E27" i="14"/>
  <c r="K44" i="14"/>
  <c r="R44" i="14" s="1"/>
  <c r="E71" i="3" s="1"/>
  <c r="H44" i="14"/>
  <c r="I44" i="14" s="1"/>
  <c r="T43" i="14" s="1"/>
  <c r="C226" i="3"/>
  <c r="C133" i="3"/>
  <c r="T44" i="14"/>
  <c r="P45" i="14"/>
  <c r="Q45" i="14" s="1"/>
  <c r="C26" i="14"/>
  <c r="P47" i="14"/>
  <c r="Q47" i="14" s="1"/>
  <c r="T46" i="14"/>
  <c r="E203" i="3"/>
  <c r="E141" i="3"/>
  <c r="E172" i="3"/>
  <c r="E265" i="3"/>
  <c r="E234" i="3"/>
  <c r="E110" i="3"/>
  <c r="T168" i="3"/>
  <c r="I40" i="3"/>
  <c r="I48" i="3" s="1"/>
  <c r="Q42" i="3"/>
  <c r="C257" i="3" l="1"/>
  <c r="D262" i="3" s="1"/>
  <c r="AM100" i="5" s="1"/>
  <c r="C195" i="3"/>
  <c r="AF99" i="5"/>
  <c r="G27" i="14"/>
  <c r="D26" i="14"/>
  <c r="E26" i="14" s="1"/>
  <c r="P44" i="14"/>
  <c r="Q44" i="14" s="1"/>
  <c r="F75" i="3" s="1"/>
  <c r="C102" i="3"/>
  <c r="F106" i="3"/>
  <c r="C164" i="3"/>
  <c r="F168" i="3"/>
  <c r="T167" i="3"/>
  <c r="D231" i="3"/>
  <c r="AM99" i="5" s="1"/>
  <c r="D293" i="3"/>
  <c r="E79" i="3"/>
  <c r="D11" i="3"/>
  <c r="F17" i="3"/>
  <c r="AM101" i="5" l="1"/>
  <c r="J100" i="5"/>
  <c r="C71" i="3"/>
  <c r="D200" i="3"/>
  <c r="AM98" i="5" s="1"/>
  <c r="O101" i="5"/>
  <c r="AH99" i="5"/>
  <c r="AF98" i="5"/>
  <c r="AF97" i="5"/>
  <c r="K43" i="14"/>
  <c r="R43" i="14" s="1"/>
  <c r="E40" i="3" s="1"/>
  <c r="E48" i="3" s="1"/>
  <c r="H43" i="14"/>
  <c r="P43" i="14" s="1"/>
  <c r="Q43" i="14" s="1"/>
  <c r="D169" i="3"/>
  <c r="AM97" i="5" s="1"/>
  <c r="AF96" i="5"/>
  <c r="D138" i="3"/>
  <c r="AM96" i="5" s="1"/>
  <c r="E101" i="5"/>
  <c r="AG101" i="5" s="1"/>
  <c r="AH100" i="5"/>
  <c r="J99" i="5" l="1"/>
  <c r="AF100" i="5"/>
  <c r="AH101" i="5"/>
  <c r="J101" i="5"/>
  <c r="AF94" i="5"/>
  <c r="O100" i="5"/>
  <c r="E100" i="5"/>
  <c r="AG100" i="5" s="1"/>
  <c r="O99" i="5"/>
  <c r="AF95" i="5"/>
  <c r="AH97" i="5"/>
  <c r="AH96" i="5"/>
  <c r="I43" i="14"/>
  <c r="T42" i="14" s="1"/>
  <c r="G26" i="14"/>
  <c r="C40" i="3"/>
  <c r="F44" i="3"/>
  <c r="D107" i="3"/>
  <c r="AM95" i="5" s="1"/>
  <c r="E99" i="5"/>
  <c r="AG99" i="5" s="1"/>
  <c r="J98" i="5" l="1"/>
  <c r="AH98" i="5"/>
  <c r="AH95" i="5"/>
  <c r="D45" i="3"/>
  <c r="AM93" i="5" s="1"/>
  <c r="D9" i="3"/>
  <c r="E98" i="5" l="1"/>
  <c r="AG98" i="5" s="1"/>
  <c r="O98" i="5"/>
  <c r="AF93" i="5"/>
  <c r="AH93" i="5"/>
  <c r="J48" i="3"/>
  <c r="J234" i="3"/>
  <c r="J110" i="3"/>
  <c r="J296" i="3"/>
  <c r="J79" i="3"/>
  <c r="J203" i="3"/>
  <c r="J172" i="3"/>
  <c r="J265" i="3"/>
  <c r="J17" i="3"/>
  <c r="J141" i="3"/>
  <c r="D12" i="3"/>
  <c r="D10" i="3"/>
  <c r="D13" i="3" l="1"/>
  <c r="S21" i="3"/>
  <c r="H9" i="3" s="1"/>
  <c r="H17" i="3" s="1"/>
  <c r="Q10" i="3"/>
  <c r="S29" i="3"/>
  <c r="Q9" i="3"/>
  <c r="A25" i="14" l="1"/>
  <c r="C25" i="14"/>
  <c r="D25" i="14" s="1"/>
  <c r="I9" i="3"/>
  <c r="I17" i="3" s="1"/>
  <c r="Q11" i="3"/>
  <c r="G9" i="3" s="1"/>
  <c r="G319" i="3" s="1"/>
  <c r="G327" i="3" s="1"/>
  <c r="E328" i="3" s="1"/>
  <c r="E332" i="3" s="1"/>
  <c r="E336" i="3" s="1"/>
  <c r="E337" i="3" s="1"/>
  <c r="E25" i="14" l="1"/>
  <c r="H42" i="14"/>
  <c r="I42" i="14" s="1"/>
  <c r="K42" i="14"/>
  <c r="R42" i="14" s="1"/>
  <c r="G288" i="3"/>
  <c r="G296" i="3" s="1"/>
  <c r="G17" i="3"/>
  <c r="G226" i="3"/>
  <c r="G234" i="3" s="1"/>
  <c r="G164" i="3"/>
  <c r="G172" i="3" s="1"/>
  <c r="G257" i="3"/>
  <c r="G265" i="3" s="1"/>
  <c r="G195" i="3"/>
  <c r="G203" i="3" s="1"/>
  <c r="G102" i="3"/>
  <c r="G110" i="3" s="1"/>
  <c r="G133" i="3"/>
  <c r="G141" i="3" s="1"/>
  <c r="G71" i="3"/>
  <c r="G79" i="3" s="1"/>
  <c r="G40" i="3"/>
  <c r="G48" i="3" s="1"/>
  <c r="D76" i="3" l="1"/>
  <c r="AM94" i="5" s="1"/>
  <c r="AH94" i="5" l="1"/>
  <c r="K265" i="3" l="1"/>
  <c r="K234" i="3"/>
  <c r="K141" i="3"/>
  <c r="K110" i="3"/>
  <c r="K17" i="3"/>
  <c r="K203" i="3"/>
  <c r="K79" i="3"/>
  <c r="K172" i="3"/>
  <c r="K296" i="3"/>
  <c r="K48" i="3"/>
  <c r="E142" i="3" l="1"/>
  <c r="E146" i="3" s="1"/>
  <c r="E150" i="3" s="1"/>
  <c r="E80" i="3"/>
  <c r="E84" i="3" s="1"/>
  <c r="E88" i="3" s="1"/>
  <c r="E235" i="3"/>
  <c r="E239" i="3" s="1"/>
  <c r="E243" i="3" s="1"/>
  <c r="Y99" i="5" s="1"/>
  <c r="E173" i="3"/>
  <c r="E177" i="3" s="1"/>
  <c r="E181" i="3" s="1"/>
  <c r="E111" i="3"/>
  <c r="E115" i="3" s="1"/>
  <c r="E119" i="3" s="1"/>
  <c r="E49" i="3"/>
  <c r="E266" i="3"/>
  <c r="E270" i="3" s="1"/>
  <c r="E274" i="3" s="1"/>
  <c r="Y100" i="5" s="1"/>
  <c r="E204" i="3"/>
  <c r="E208" i="3" s="1"/>
  <c r="E212" i="3" s="1"/>
  <c r="Y98" i="5" s="1"/>
  <c r="E297" i="3"/>
  <c r="E301" i="3" s="1"/>
  <c r="E305" i="3" s="1"/>
  <c r="Y101" i="5" s="1"/>
  <c r="E53" i="3" l="1"/>
  <c r="AI101" i="5"/>
  <c r="E306" i="3"/>
  <c r="AL101" i="5" s="1"/>
  <c r="V101" i="5" s="1"/>
  <c r="AI100" i="5"/>
  <c r="E275" i="3"/>
  <c r="AL100" i="5" s="1"/>
  <c r="V100" i="5" s="1"/>
  <c r="E120" i="3"/>
  <c r="AI99" i="5"/>
  <c r="E244" i="3"/>
  <c r="AL99" i="5" s="1"/>
  <c r="V99" i="5" s="1"/>
  <c r="E89" i="3"/>
  <c r="E213" i="3"/>
  <c r="AL98" i="5" s="1"/>
  <c r="V98" i="5" s="1"/>
  <c r="E182" i="3"/>
  <c r="E151" i="3"/>
  <c r="AL96" i="5" l="1"/>
  <c r="AP96" i="5"/>
  <c r="AQ96" i="5"/>
  <c r="AL95" i="5"/>
  <c r="AJ95" i="5" s="1"/>
  <c r="AK95" i="5" s="1"/>
  <c r="AQ95" i="5"/>
  <c r="AP95" i="5"/>
  <c r="AQ97" i="5"/>
  <c r="AP97" i="5"/>
  <c r="AL94" i="5"/>
  <c r="AJ94" i="5" s="1"/>
  <c r="AK94" i="5" s="1"/>
  <c r="AP94" i="5"/>
  <c r="AQ94" i="5"/>
  <c r="S99" i="5"/>
  <c r="S100" i="5"/>
  <c r="S98" i="5"/>
  <c r="S101" i="5"/>
  <c r="E57" i="3"/>
  <c r="E58" i="3" s="1"/>
  <c r="F54" i="3"/>
  <c r="AL97" i="5"/>
  <c r="AI98" i="5"/>
  <c r="AJ101" i="5"/>
  <c r="AK101" i="5" s="1"/>
  <c r="AJ100" i="5"/>
  <c r="AK100" i="5" s="1"/>
  <c r="AJ99" i="5"/>
  <c r="AK99" i="5" s="1"/>
  <c r="AJ98" i="5"/>
  <c r="AK98" i="5" s="1"/>
  <c r="S96" i="5" l="1"/>
  <c r="AJ96" i="5"/>
  <c r="AK96" i="5" s="1"/>
  <c r="S94" i="5"/>
  <c r="AL93" i="5"/>
  <c r="AQ93" i="5"/>
  <c r="AP93" i="5"/>
  <c r="S95" i="5"/>
  <c r="S97" i="5"/>
  <c r="AJ97" i="5"/>
  <c r="AK97" i="5" s="1"/>
  <c r="S93" i="5" l="1"/>
  <c r="AJ93" i="5"/>
  <c r="AK93" i="5" s="1"/>
  <c r="E9" i="3"/>
  <c r="E17" i="3" s="1"/>
  <c r="E18" i="3" s="1"/>
  <c r="P42" i="14"/>
  <c r="G25" i="14"/>
  <c r="Q42" i="14" l="1"/>
  <c r="T41" i="14"/>
  <c r="E22" i="3"/>
  <c r="E26" i="3" s="1"/>
  <c r="F13" i="3" l="1"/>
  <c r="C9" i="3"/>
  <c r="A92" i="5" s="1"/>
  <c r="E27" i="3"/>
  <c r="V93" i="5" l="1"/>
  <c r="J97" i="5"/>
  <c r="J93" i="5"/>
  <c r="J95" i="5"/>
  <c r="J94" i="5"/>
  <c r="J96" i="5"/>
  <c r="AL92" i="5"/>
  <c r="AJ92" i="5" s="1"/>
  <c r="AQ92" i="5"/>
  <c r="AP92" i="5"/>
  <c r="E92" i="5"/>
  <c r="AG92" i="5" s="1"/>
  <c r="D14" i="3"/>
  <c r="AM92" i="5" s="1"/>
  <c r="AF92" i="5"/>
  <c r="O97" i="5"/>
  <c r="E97" i="5"/>
  <c r="AG97" i="5" s="1"/>
  <c r="O93" i="5"/>
  <c r="O92" i="5"/>
  <c r="E96" i="5"/>
  <c r="AG96" i="5" s="1"/>
  <c r="E93" i="5"/>
  <c r="AG93" i="5" s="1"/>
  <c r="O96" i="5"/>
  <c r="E95" i="5"/>
  <c r="AG95" i="5" s="1"/>
  <c r="O95" i="5"/>
  <c r="E94" i="5"/>
  <c r="AG94" i="5" s="1"/>
  <c r="O94" i="5"/>
  <c r="Y97" i="5"/>
  <c r="AI97" i="5" s="1"/>
  <c r="Y94" i="5"/>
  <c r="AI94" i="5" s="1"/>
  <c r="Y95" i="5"/>
  <c r="AI95" i="5" s="1"/>
  <c r="Y96" i="5"/>
  <c r="AI96" i="5" s="1"/>
  <c r="V95" i="5"/>
  <c r="V96" i="5"/>
  <c r="V94" i="5"/>
  <c r="Y93" i="5"/>
  <c r="AI93" i="5" s="1"/>
  <c r="V97" i="5"/>
  <c r="Y92" i="5"/>
  <c r="AI92" i="5" s="1"/>
  <c r="J92" i="5" l="1"/>
  <c r="AM102" i="5"/>
  <c r="O22" i="2" s="1"/>
  <c r="D24" i="2" s="1"/>
  <c r="D34" i="5" s="1"/>
  <c r="F34" i="5" s="1"/>
  <c r="V92" i="5"/>
  <c r="S92" i="5"/>
  <c r="AI118" i="5" s="1"/>
  <c r="AH92" i="5"/>
  <c r="AK92" i="5" l="1"/>
  <c r="L33" i="5"/>
  <c r="I24" i="2"/>
  <c r="L34" i="5" s="1"/>
  <c r="N34" i="5" s="1"/>
  <c r="AD91" i="5"/>
  <c r="AE91" i="5" s="1"/>
  <c r="AD94" i="5" l="1"/>
  <c r="AD99" i="5"/>
  <c r="AD92" i="5"/>
  <c r="AD95" i="5"/>
  <c r="AD93" i="5"/>
  <c r="AD96" i="5"/>
  <c r="AD101" i="5"/>
  <c r="AD100" i="5"/>
  <c r="AD97" i="5"/>
  <c r="AD98" i="5"/>
  <c r="AE99" i="5"/>
  <c r="AE96" i="5"/>
  <c r="AE94" i="5"/>
  <c r="AE100" i="5"/>
  <c r="AE101" i="5"/>
  <c r="AE97" i="5"/>
  <c r="AE98" i="5"/>
  <c r="AE92" i="5"/>
  <c r="AE95" i="5"/>
  <c r="AE9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Vera</author>
  </authors>
  <commentList>
    <comment ref="B80" authorId="0" shapeId="0" xr:uid="{2BE6EB10-375B-474D-AAB5-25B450B22178}">
      <text>
        <r>
          <rPr>
            <b/>
            <sz val="9"/>
            <color indexed="81"/>
            <rFont val="Tahoma"/>
            <family val="2"/>
          </rPr>
          <t>Diego Vera:</t>
        </r>
        <r>
          <rPr>
            <sz val="9"/>
            <color indexed="81"/>
            <rFont val="Tahoma"/>
            <family val="2"/>
          </rPr>
          <t xml:space="preserve">
Al escoger el patron, Se deben dejar solo los campos con las lecturas correspondientes al certificado de calibracion. Es decir si el patron fue evaluado en n puntos se deben dejar n campos, los campos con valores en cero se deben borrar.</t>
        </r>
      </text>
    </comment>
    <comment ref="H80" authorId="0" shapeId="0" xr:uid="{D4D6B063-3851-4A01-8AE2-323AAF0C4075}">
      <text>
        <r>
          <rPr>
            <b/>
            <sz val="9"/>
            <color indexed="81"/>
            <rFont val="Tahoma"/>
            <family val="2"/>
          </rPr>
          <t>Diego Vera:</t>
        </r>
        <r>
          <rPr>
            <sz val="9"/>
            <color indexed="81"/>
            <rFont val="Tahoma"/>
            <family val="2"/>
          </rPr>
          <t xml:space="preserve">
Al escoger el patron, Se deben dejar solo los campos con las lecturas correspondientes al certificado de calibracion. Es decir si el patron fue evaluado en n puntos se deben dejar n campos, los campos con valores en cero se deben borrar.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Vera</author>
    <author>Calibrador numero 3</author>
    <author>Sistema de Calidad</author>
  </authors>
  <commentList>
    <comment ref="G22" authorId="0" shapeId="0" xr:uid="{64093EAD-79E2-442D-B509-FC8FDA8A0BA9}">
      <text>
        <r>
          <rPr>
            <b/>
            <sz val="9"/>
            <color indexed="81"/>
            <rFont val="Tahoma"/>
            <family val="2"/>
          </rPr>
          <t>Diego Vera: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2" authorId="1" shapeId="0" xr:uid="{D6DACA91-FF35-42E1-B4AB-80CCC6D40A1F}">
      <text>
        <r>
          <rPr>
            <b/>
            <sz val="9"/>
            <color indexed="81"/>
            <rFont val="Tahoma"/>
            <family val="2"/>
          </rPr>
          <t>Calibrador numero 3:</t>
        </r>
        <r>
          <rPr>
            <sz val="9"/>
            <color indexed="81"/>
            <rFont val="Tahoma"/>
            <family val="2"/>
          </rPr>
          <t xml:space="preserve">
Resolución asumida para instrumentos analógicos es comunmente d(1/2)_d(1/5)_d(1/10)</t>
        </r>
      </text>
    </comment>
    <comment ref="J23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Calibrador numero 3:</t>
        </r>
        <r>
          <rPr>
            <sz val="9"/>
            <color indexed="81"/>
            <rFont val="Tahoma"/>
            <family val="2"/>
          </rPr>
          <t xml:space="preserve">
posición de montaje un debe de la norma</t>
        </r>
      </text>
    </comment>
    <comment ref="A68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Calibrador numero 3:</t>
        </r>
        <r>
          <rPr>
            <sz val="9"/>
            <color indexed="81"/>
            <rFont val="Tahoma"/>
            <family val="2"/>
          </rPr>
          <t xml:space="preserve">
Colocar si es instrumento a medir o el patrón</t>
        </r>
      </text>
    </comment>
    <comment ref="Q131" authorId="2" shapeId="0" xr:uid="{00000000-0006-0000-0000-000004000000}">
      <text>
        <r>
          <rPr>
            <b/>
            <sz val="9"/>
            <color indexed="81"/>
            <rFont val="Tahoma"/>
            <family val="2"/>
          </rPr>
          <t>Sistema de Calidad: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Sistema de Calidad</author>
  </authors>
  <commentList>
    <comment ref="AL1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Sistema de Calidad:
20220207</t>
        </r>
        <r>
          <rPr>
            <sz val="9"/>
            <color indexed="81"/>
            <rFont val="Tahoma"/>
            <family val="2"/>
          </rPr>
          <t xml:space="preserve"> DV
20220217 DV…adj margenes
20230328 Dv se incluyo cmhg
Se actualiza Patron TEC-LAB-PI-01 20230509
Se actualiza Patron TEC-LAB-PI-10 20230822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Calibrador numero 3</author>
  </authors>
  <commentList>
    <comment ref="E1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F1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G15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I15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J15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E46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F46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G46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I46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J46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E77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F77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G77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I77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J77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E108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F108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G108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I108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J108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E139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F139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G139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I139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J139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E170" authorId="0" shapeId="0" xr:uid="{00000000-0006-0000-0200-00001A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F170" authorId="0" shapeId="0" xr:uid="{00000000-0006-0000-0200-00001B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G170" authorId="0" shapeId="0" xr:uid="{00000000-0006-0000-0200-00001C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I170" authorId="0" shapeId="0" xr:uid="{00000000-0006-0000-0200-00001D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J170" authorId="0" shapeId="0" xr:uid="{00000000-0006-0000-0200-00001E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E201" authorId="0" shapeId="0" xr:uid="{00000000-0006-0000-0200-00001F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F201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G201" authorId="0" shapeId="0" xr:uid="{00000000-0006-0000-0200-000021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I201" authorId="0" shapeId="0" xr:uid="{00000000-0006-0000-0200-000022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J201" authorId="0" shapeId="0" xr:uid="{00000000-0006-0000-0200-000023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E232" authorId="0" shapeId="0" xr:uid="{00000000-0006-0000-0200-000024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F232" authorId="0" shapeId="0" xr:uid="{00000000-0006-0000-0200-000025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G232" authorId="0" shapeId="0" xr:uid="{00000000-0006-0000-0200-000026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I232" authorId="0" shapeId="0" xr:uid="{00000000-0006-0000-0200-000027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J232" authorId="0" shapeId="0" xr:uid="{00000000-0006-0000-0200-000028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E263" authorId="0" shapeId="0" xr:uid="{00000000-0006-0000-0200-000029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F263" authorId="0" shapeId="0" xr:uid="{00000000-0006-0000-0200-00002A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G263" authorId="0" shapeId="0" xr:uid="{00000000-0006-0000-0200-00002B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I263" authorId="0" shapeId="0" xr:uid="{00000000-0006-0000-0200-00002C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J263" authorId="0" shapeId="0" xr:uid="{00000000-0006-0000-0200-00002D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E294" authorId="0" shapeId="0" xr:uid="{00000000-0006-0000-0200-00002E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F294" authorId="0" shapeId="0" xr:uid="{00000000-0006-0000-0200-00002F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G294" authorId="0" shapeId="0" xr:uid="{00000000-0006-0000-0200-000030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I294" authorId="0" shapeId="0" xr:uid="{00000000-0006-0000-0200-000031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J294" authorId="0" shapeId="0" xr:uid="{00000000-0006-0000-0200-000032000000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E325" authorId="0" shapeId="0" xr:uid="{E0053D68-9C8E-4C4F-8720-608FEEB1FC53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F325" authorId="0" shapeId="0" xr:uid="{5DAB0A68-61CB-41F4-8626-C345C3C0E0A5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G325" authorId="0" shapeId="0" xr:uid="{8207A027-9862-440C-9A79-D89220737C58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I325" authorId="0" shapeId="0" xr:uid="{4B26FA4D-A923-4F81-BB6E-A5760AE2A90E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  <comment ref="J325" authorId="0" shapeId="0" xr:uid="{61AB105F-4F83-437A-BB07-D1E337B708B8}">
      <text>
        <r>
          <rPr>
            <b/>
            <sz val="9"/>
            <color indexed="81"/>
            <rFont val="Tahoma"/>
            <family val="2"/>
          </rPr>
          <t>Calibrador numero 3:
Vi tiende a infinito por ser tipo B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<sst xmlns="http://schemas.openxmlformats.org/spreadsheetml/2006/main" count="2181" uniqueCount="662">
  <si>
    <t>C</t>
  </si>
  <si>
    <t>M1</t>
  </si>
  <si>
    <t>M2</t>
  </si>
  <si>
    <t>M3</t>
  </si>
  <si>
    <t>M4</t>
  </si>
  <si>
    <t>Secuencia C</t>
  </si>
  <si>
    <t>Secuencia B</t>
  </si>
  <si>
    <t>Secuencia A</t>
  </si>
  <si>
    <t>Aportantes de incertidumbre</t>
  </si>
  <si>
    <t>A</t>
  </si>
  <si>
    <t>Punto 1</t>
  </si>
  <si>
    <t>Promedio</t>
  </si>
  <si>
    <t>Incertidumbre</t>
  </si>
  <si>
    <t>Desviacion</t>
  </si>
  <si>
    <t>Presion Estándar</t>
  </si>
  <si>
    <t>CODIGO</t>
  </si>
  <si>
    <t>FABRICANTE</t>
  </si>
  <si>
    <t>CERTIFICADO DE CALIBRACION</t>
  </si>
  <si>
    <t>TEC-LAB-PS-10</t>
  </si>
  <si>
    <t>Presion indicacion</t>
  </si>
  <si>
    <t xml:space="preserve">Grado del polinomio </t>
  </si>
  <si>
    <t>coeficientes</t>
  </si>
  <si>
    <t>a1</t>
  </si>
  <si>
    <t>a0</t>
  </si>
  <si>
    <t>a2</t>
  </si>
  <si>
    <t>a3</t>
  </si>
  <si>
    <t>a4</t>
  </si>
  <si>
    <t>a5</t>
  </si>
  <si>
    <t>Residuo</t>
  </si>
  <si>
    <t>Cuadrado de los residuos</t>
  </si>
  <si>
    <t>N-p</t>
  </si>
  <si>
    <t>Por certificado del patron</t>
  </si>
  <si>
    <t>Incertidumbre estandar por resolucion del instrumento</t>
  </si>
  <si>
    <t>𝑓</t>
  </si>
  <si>
    <t>*</t>
  </si>
  <si>
    <t>**</t>
  </si>
  <si>
    <t>Repetibilidad solo aplica para secuencias B y A.</t>
  </si>
  <si>
    <t>Para secuencia C es 0</t>
  </si>
  <si>
    <t>***</t>
  </si>
  <si>
    <t>donde j es la posicion del escalon.</t>
  </si>
  <si>
    <t>Posicion</t>
  </si>
  <si>
    <t>punto 1</t>
  </si>
  <si>
    <t>punto 2</t>
  </si>
  <si>
    <t>Valor interpolado de incertidumbre patron</t>
  </si>
  <si>
    <t>Aportante por interpolacion</t>
  </si>
  <si>
    <t>Valor mas pequeño estimado por residuos</t>
  </si>
  <si>
    <t>Coeficientes de sensibilidad</t>
  </si>
  <si>
    <t>Cuadrado de los aportantes por coeficientes</t>
  </si>
  <si>
    <t>Grados de libertad</t>
  </si>
  <si>
    <t>Grados efectivos de libertad</t>
  </si>
  <si>
    <t>TIPO A</t>
  </si>
  <si>
    <t>TIPO B</t>
  </si>
  <si>
    <t>incertidumbre estandar combinada</t>
  </si>
  <si>
    <t>Incertidumbre expandida</t>
  </si>
  <si>
    <t>B</t>
  </si>
  <si>
    <t>histeresis</t>
  </si>
  <si>
    <t>n segun secuencia</t>
  </si>
  <si>
    <t>k</t>
  </si>
  <si>
    <t>Punto 2</t>
  </si>
  <si>
    <t>punto 3</t>
  </si>
  <si>
    <t>punto 4</t>
  </si>
  <si>
    <t>punto 5</t>
  </si>
  <si>
    <t>punto 6</t>
  </si>
  <si>
    <t>punto 7</t>
  </si>
  <si>
    <t>punto 8</t>
  </si>
  <si>
    <t>punto 9</t>
  </si>
  <si>
    <t>Punto 3</t>
  </si>
  <si>
    <t>Presion Standar</t>
  </si>
  <si>
    <t>psi</t>
  </si>
  <si>
    <t>Punto 4</t>
  </si>
  <si>
    <t>Punto 5</t>
  </si>
  <si>
    <t>Punto 6</t>
  </si>
  <si>
    <t xml:space="preserve">calibrado en </t>
  </si>
  <si>
    <t>Punto 7</t>
  </si>
  <si>
    <t>Punto 8</t>
  </si>
  <si>
    <t>Punto 9</t>
  </si>
  <si>
    <t>Clase calculada</t>
  </si>
  <si>
    <t>LCS</t>
  </si>
  <si>
    <t>LCI</t>
  </si>
  <si>
    <t>Digital</t>
  </si>
  <si>
    <t>incertidumbre</t>
  </si>
  <si>
    <t xml:space="preserve">Maxima </t>
  </si>
  <si>
    <t>aportante</t>
  </si>
  <si>
    <t>Aportante por deriva</t>
  </si>
  <si>
    <t>Punto 10</t>
  </si>
  <si>
    <t>punto 10</t>
  </si>
  <si>
    <t>Presion Indicacion</t>
  </si>
  <si>
    <t>Pa</t>
  </si>
  <si>
    <t>CI</t>
  </si>
  <si>
    <t>TC-LAB-PS-03</t>
  </si>
  <si>
    <t>0 psi a 5000 psi</t>
  </si>
  <si>
    <t>intervalo</t>
  </si>
  <si>
    <t>0,1 psi</t>
  </si>
  <si>
    <t>TEC-LAB-PS-03</t>
  </si>
  <si>
    <t>0 psi a +/- 30 psi</t>
  </si>
  <si>
    <t>Repetibilidad</t>
  </si>
  <si>
    <t>Unidades</t>
  </si>
  <si>
    <t>cuanto equivale la unidad de la fila respecto a la columna, ejemplo   1 Pa  equivale 1,03 E-03 kPa</t>
  </si>
  <si>
    <t xml:space="preserve">cuanto equivale la unidad de la columna respecto a la fila,  ejemplo  1 Pa   equivale a 1,0 E+03kPa, </t>
  </si>
  <si>
    <t>---</t>
  </si>
  <si>
    <t>Los referenciados en este color son la conversion que aparece directamente  NIST Special Publication 811 2008 Edition Ambler Thompson and Barry N. Taylor</t>
  </si>
  <si>
    <t>Unidad original</t>
  </si>
  <si>
    <t>Unidad a convertir</t>
  </si>
  <si>
    <t>Mpa</t>
  </si>
  <si>
    <t>kPa</t>
  </si>
  <si>
    <t>bar</t>
  </si>
  <si>
    <t>mbar</t>
  </si>
  <si>
    <t>InH2O</t>
  </si>
  <si>
    <t>mmH2O</t>
  </si>
  <si>
    <t>InHg</t>
  </si>
  <si>
    <t>mmHg</t>
  </si>
  <si>
    <t>Columna</t>
  </si>
  <si>
    <t>Fila</t>
  </si>
  <si>
    <t>Valor</t>
  </si>
  <si>
    <t>MPa</t>
  </si>
  <si>
    <t>CI %</t>
  </si>
  <si>
    <t>inH2O</t>
  </si>
  <si>
    <t xml:space="preserve"> inH2O</t>
  </si>
  <si>
    <t>inHg</t>
  </si>
  <si>
    <t xml:space="preserve">Pa </t>
  </si>
  <si>
    <t>Ligado casilla A8</t>
  </si>
  <si>
    <t>solo cambia la variable  original del patron para la conversion</t>
  </si>
  <si>
    <t>Convertir mediciones a otra unidad</t>
  </si>
  <si>
    <t xml:space="preserve">Vertical </t>
  </si>
  <si>
    <t>Horizontal</t>
  </si>
  <si>
    <t>Certificado de calibración No.</t>
  </si>
  <si>
    <t>Hora inicio de calibración:</t>
  </si>
  <si>
    <t>Fecha de recepción:</t>
  </si>
  <si>
    <t>Hora final de la calibración:</t>
  </si>
  <si>
    <t>Fecha de calibración:</t>
  </si>
  <si>
    <t>Información del cliente</t>
  </si>
  <si>
    <t>Cliente:</t>
  </si>
  <si>
    <t>Dirección:</t>
  </si>
  <si>
    <t>Ciudad:</t>
  </si>
  <si>
    <t xml:space="preserve">Colombia </t>
  </si>
  <si>
    <t>Información del instrumento</t>
  </si>
  <si>
    <t>Fabricante:</t>
  </si>
  <si>
    <t>Modelo:</t>
  </si>
  <si>
    <t>No. serie:</t>
  </si>
  <si>
    <t>Código:</t>
  </si>
  <si>
    <t>Ubicación:</t>
  </si>
  <si>
    <t>Sitio de calibración:</t>
  </si>
  <si>
    <t>Características metrológicas del instrumento</t>
  </si>
  <si>
    <t>Magnitud:</t>
  </si>
  <si>
    <t xml:space="preserve">Presión. </t>
  </si>
  <si>
    <t>Intervalo de medición:</t>
  </si>
  <si>
    <t>Hasta</t>
  </si>
  <si>
    <t>Indicación</t>
  </si>
  <si>
    <t>Analógica</t>
  </si>
  <si>
    <t>Intervalo de calibración:</t>
  </si>
  <si>
    <t xml:space="preserve">Clase de Fabricante </t>
  </si>
  <si>
    <t>Resolución:</t>
  </si>
  <si>
    <t>Posición de Montaje</t>
  </si>
  <si>
    <t xml:space="preserve">Secuencia </t>
  </si>
  <si>
    <t>Limite Superior</t>
  </si>
  <si>
    <t>Limite Inferior</t>
  </si>
  <si>
    <t>Evaluación visual de las características de funcionamiento instrumento</t>
  </si>
  <si>
    <t>Características a evaluar:</t>
  </si>
  <si>
    <t>Cumple</t>
  </si>
  <si>
    <t>Observaciones</t>
  </si>
  <si>
    <t>Si</t>
  </si>
  <si>
    <t>No</t>
  </si>
  <si>
    <t>N.A</t>
  </si>
  <si>
    <t>La escala es legible</t>
  </si>
  <si>
    <t>Sellos en buen estado</t>
  </si>
  <si>
    <t>las agujas se encuentran en buen estado</t>
  </si>
  <si>
    <t>El display esta en buenas condiciones</t>
  </si>
  <si>
    <t>El instrumento presenta  contaminación o suciedad</t>
  </si>
  <si>
    <t>El equipo retorna a cero</t>
  </si>
  <si>
    <t>Entrada de presión libre</t>
  </si>
  <si>
    <t>Trazabilidad</t>
  </si>
  <si>
    <t>Código</t>
  </si>
  <si>
    <t>Descripción</t>
  </si>
  <si>
    <t>Condiciones ambientales</t>
  </si>
  <si>
    <t>Inicial</t>
  </si>
  <si>
    <t>Final</t>
  </si>
  <si>
    <t>Temperatura [°C]</t>
  </si>
  <si>
    <t>Humedad [% HR]</t>
  </si>
  <si>
    <t>Elaboró:</t>
  </si>
  <si>
    <t>Revisó:</t>
  </si>
  <si>
    <t>Yamid Peláez</t>
  </si>
  <si>
    <t>Aprobó:</t>
  </si>
  <si>
    <t>Héctor Carabalí</t>
  </si>
  <si>
    <t>Cargo:</t>
  </si>
  <si>
    <t>Director Técnico</t>
  </si>
  <si>
    <t>Gerente General</t>
  </si>
  <si>
    <t>Fecha:</t>
  </si>
  <si>
    <t>Precarga</t>
  </si>
  <si>
    <t>Numero de precargas</t>
  </si>
  <si>
    <t>Tiempo (s)</t>
  </si>
  <si>
    <t>Valor de precarga</t>
  </si>
  <si>
    <t>Segunda medida con sujeción( con torque)</t>
  </si>
  <si>
    <t xml:space="preserve">Puntos </t>
  </si>
  <si>
    <t>Descendente M2</t>
  </si>
  <si>
    <t>Tiempo de espera</t>
  </si>
  <si>
    <t>Observaciones:</t>
  </si>
  <si>
    <t>Calibrado por:</t>
  </si>
  <si>
    <t>Aprobado por:</t>
  </si>
  <si>
    <t>Calibrate by</t>
  </si>
  <si>
    <t>Approved by</t>
  </si>
  <si>
    <t>Página 3 de 3</t>
  </si>
  <si>
    <t>Instrumento</t>
  </si>
  <si>
    <t>Tipo</t>
  </si>
  <si>
    <t>Valores</t>
  </si>
  <si>
    <t>Nombres</t>
  </si>
  <si>
    <t>Cargos</t>
  </si>
  <si>
    <t>Vacuometro</t>
  </si>
  <si>
    <t>Metrólogo</t>
  </si>
  <si>
    <t>Manovacuometro</t>
  </si>
  <si>
    <t>N.A.</t>
  </si>
  <si>
    <t>Carlos Alberto Carrejo</t>
  </si>
  <si>
    <t>Versión</t>
  </si>
  <si>
    <t>Descripción del cambio</t>
  </si>
  <si>
    <t xml:space="preserve">Responsable </t>
  </si>
  <si>
    <t>CERTIFICADO DE CALIBRACIÓN</t>
  </si>
  <si>
    <t>Certificate of calibration</t>
  </si>
  <si>
    <t>CERTIFICADO No:</t>
  </si>
  <si>
    <t>Certificate number</t>
  </si>
  <si>
    <t>Magnitud</t>
  </si>
  <si>
    <t>Solicitante:</t>
  </si>
  <si>
    <t>Número de páginas del certificado :</t>
  </si>
  <si>
    <t>Dos (2)</t>
  </si>
  <si>
    <t>Características Metrológicas del Instrumento de medición</t>
  </si>
  <si>
    <t>Resultado evaluación física:</t>
  </si>
  <si>
    <t>Método de calibración utilizado:</t>
  </si>
  <si>
    <t>Procedimiento de calibración:</t>
  </si>
  <si>
    <t>Lugar de calibración:</t>
  </si>
  <si>
    <t xml:space="preserve">La calibración se realizó en las instalaciones de </t>
  </si>
  <si>
    <t>Descripción de la trazabilidad</t>
  </si>
  <si>
    <t>Esta calibración es  trazable al Sistema  Internacional de Unidades (SI),  a  través  de  una  cadena  ininterrumpida  de comparaciones, cada eslabón de la cadena está documentado y la incertidumbre de medición ha sido estimada en cada paso.</t>
  </si>
  <si>
    <t>Marca</t>
  </si>
  <si>
    <t>FIRMAS AUTORIZADAS</t>
  </si>
  <si>
    <t>Fecha de emisión:</t>
  </si>
  <si>
    <t>Página 1 de 2</t>
  </si>
  <si>
    <t>Condiciones ambientales durante la calibración</t>
  </si>
  <si>
    <t>Temperatura del aire:</t>
  </si>
  <si>
    <t>°C</t>
  </si>
  <si>
    <t>Humedad Relativa:</t>
  </si>
  <si>
    <t>% hr</t>
  </si>
  <si>
    <t>Estimación de incertidumbre:</t>
  </si>
  <si>
    <t>1-Los resultados contenidos en el presente certificado se refieren al momento y condiciones en que se realizaron las mediciones. El laboratorio de Metrología de Tecservice S.A.S, no se responsabiliza de los perjuicios que puedan derivarse  del uso inadecuado del instrumento calibrado.</t>
  </si>
  <si>
    <t>2-Este certificado aplica exclusivamente al instrumento calibrado.</t>
  </si>
  <si>
    <t>Página 2 de 2</t>
  </si>
  <si>
    <t>Final de este certificado</t>
  </si>
  <si>
    <t>Presión</t>
  </si>
  <si>
    <t>Intervalo calibrado:</t>
  </si>
  <si>
    <t>Posición de Montaje:</t>
  </si>
  <si>
    <t>Tipo de indicación:</t>
  </si>
  <si>
    <t>Clase del Fabricante:</t>
  </si>
  <si>
    <t>Clase Calculada:</t>
  </si>
  <si>
    <t>Limite Superior:</t>
  </si>
  <si>
    <t>Limite Inferior:</t>
  </si>
  <si>
    <t>Secuencia Utilizada:</t>
  </si>
  <si>
    <t>Rango de condiciones ambientales 18° C hasta 45°C</t>
  </si>
  <si>
    <t>Roberto Carlos Rojas</t>
  </si>
  <si>
    <t>Cesar Augusto Cobo</t>
  </si>
  <si>
    <t>Metrologo</t>
  </si>
  <si>
    <t>Este  certificado  expresa  fielmente  el  resultado  de  las  mediciones realizadas. No podrá ser reproducido parcialmente.</t>
  </si>
  <si>
    <t>Factor de Cobertura 
k</t>
  </si>
  <si>
    <t>La incertidumbre expandida de la medición reportada se establece como la incertidumbre estándar de medición multiplicada por el factor de cobertura “k= 2” y la probabilidad de cobertura, la cual debe ser aproximada al 95% y no menor a este valor.</t>
  </si>
  <si>
    <t>TRAZABILIDAD</t>
  </si>
  <si>
    <t xml:space="preserve">Fecha de vencimiento </t>
  </si>
  <si>
    <t>Manometro</t>
  </si>
  <si>
    <t>Manometro de presión Diferencial</t>
  </si>
  <si>
    <t>Additel</t>
  </si>
  <si>
    <t>Reed Instruments</t>
  </si>
  <si>
    <t>N° de certificado</t>
  </si>
  <si>
    <t>promedio con ajuste</t>
  </si>
  <si>
    <t>Ascendente M1</t>
  </si>
  <si>
    <t>Numero de puntos sin punto cero</t>
  </si>
  <si>
    <t>Cifras Significativas</t>
  </si>
  <si>
    <t>30 s</t>
  </si>
  <si>
    <t>kg/cm2</t>
  </si>
  <si>
    <t>Valor indicación</t>
  </si>
  <si>
    <t>El máximo porcentaje de error obtenida en esta calibración mas su incertidumbre es</t>
  </si>
  <si>
    <t>Desviación =  Valor indicación - Patrón Estándar</t>
  </si>
  <si>
    <t>3- N.I. = No indica, N.A. = No aplica, EMP = Error máximo Permitido.</t>
  </si>
  <si>
    <t>Certificate of calibración</t>
  </si>
  <si>
    <t>El instrumento a calibrar fue inspeccionado detalladamente para determinar su estado y condición física determinando que puede ser calibrado</t>
  </si>
  <si>
    <t xml:space="preserve">Método de comparación directa, el  cual consiste en comparar la indicación del instrumento versus las sustancias y/o equipos de referencia. </t>
  </si>
  <si>
    <t>Procedimiento LC-PR-36 para calibración de equipos medidores de presión, vacío, presión diferencial.</t>
  </si>
  <si>
    <t>Presión atmosférica</t>
  </si>
  <si>
    <t>desviación</t>
  </si>
  <si>
    <t>Fecha de Calibracion</t>
  </si>
  <si>
    <t>Diego Vera</t>
  </si>
  <si>
    <t>TEC-LAB-PDI-01</t>
  </si>
  <si>
    <t xml:space="preserve">  </t>
  </si>
  <si>
    <t>Equipo:</t>
  </si>
  <si>
    <t>País</t>
  </si>
  <si>
    <t>resolución</t>
  </si>
  <si>
    <t>Unidades de trabajo en el instrumento patrón</t>
  </si>
  <si>
    <t xml:space="preserve">Patrón Estándar </t>
  </si>
  <si>
    <t>Información del instrumento completa</t>
  </si>
  <si>
    <t>Funciones eléctricas en buen estado</t>
  </si>
  <si>
    <t>Presenta variación</t>
  </si>
  <si>
    <t>presión Atmosférica</t>
  </si>
  <si>
    <t>Carga al valor máximo</t>
  </si>
  <si>
    <t>Valores en unidad de calibración del patrón</t>
  </si>
  <si>
    <t>Manómetro Digital</t>
  </si>
  <si>
    <t xml:space="preserve">Manómetro </t>
  </si>
  <si>
    <t>Manómetro Diferencial</t>
  </si>
  <si>
    <t xml:space="preserve">Héctor Fabio Carabalí </t>
  </si>
  <si>
    <t>Manómetro de presión diferencial</t>
  </si>
  <si>
    <t>Indicador de Presión</t>
  </si>
  <si>
    <t>Posición de montaje</t>
  </si>
  <si>
    <t>TEC-LAB-PI-01</t>
  </si>
  <si>
    <t>0 psi a 300 psi</t>
  </si>
  <si>
    <t>0,01 psi</t>
  </si>
  <si>
    <t>Este  certificado  es  emitido  de  acuerdo  con  los  requerimientos  de la norma NTC- ISO/IEC 17025:2017 (Requisitos generales  para la  competencia  de  los   laboratorios  de  ensayo y calibración). El  usuario  es  responsable  de  la  calibración  de sus instrumentos a intervalos apropiados.</t>
  </si>
  <si>
    <t>Instrumento:*</t>
  </si>
  <si>
    <t>Fabricante:*</t>
  </si>
  <si>
    <t>Modelo:*</t>
  </si>
  <si>
    <t>Identificación:*</t>
  </si>
  <si>
    <t>Número de serie:*</t>
  </si>
  <si>
    <t>Ubicación:*</t>
  </si>
  <si>
    <t>4- * Informacion suministrada por el cliente.</t>
  </si>
  <si>
    <t>Firmado Digitalmente.</t>
  </si>
  <si>
    <t>9347/9348</t>
  </si>
  <si>
    <t>DE6301-23</t>
  </si>
  <si>
    <t>cmHg</t>
  </si>
  <si>
    <t>Julian Valencia</t>
  </si>
  <si>
    <t>Jhan Carlos Mosquera</t>
  </si>
  <si>
    <t>Jean Piere Bolaños</t>
  </si>
  <si>
    <t>Vigencia</t>
  </si>
  <si>
    <t>TEC-LAB-PDI-03</t>
  </si>
  <si>
    <t>a6</t>
  </si>
  <si>
    <t>a7</t>
  </si>
  <si>
    <t>a8</t>
  </si>
  <si>
    <t>a9</t>
  </si>
  <si>
    <t>a10</t>
  </si>
  <si>
    <t>a11</t>
  </si>
  <si>
    <t>a12</t>
  </si>
  <si>
    <t>Lectura Corregida Medicion patron punto 1</t>
  </si>
  <si>
    <t>Lectura Corregida Medicion patron punto 2</t>
  </si>
  <si>
    <t>Lectura Corregida Medicion patron punto 3</t>
  </si>
  <si>
    <t>Lectura Corregida Medicion patron punto 4</t>
  </si>
  <si>
    <t>Lectura Corregida Medicion patron punto 5</t>
  </si>
  <si>
    <t>Lectura Corregida Medicion patron punto 6</t>
  </si>
  <si>
    <t>Lectura Corregida Medicion patron punto 7</t>
  </si>
  <si>
    <t>Lectura Corregida Medicion patron punto 8</t>
  </si>
  <si>
    <t>Lectura Corregida Medicion patron punto 9</t>
  </si>
  <si>
    <t>Lectura Corregida Medicion patron punto 10</t>
  </si>
  <si>
    <t>Fecha Prox Calibración</t>
  </si>
  <si>
    <t>TEC-LAB-PDI-02</t>
  </si>
  <si>
    <t>Dwyer</t>
  </si>
  <si>
    <t>0,001 H2O</t>
  </si>
  <si>
    <t>Puntos de medicion indicacion patron</t>
  </si>
  <si>
    <t>Lectura corregida</t>
  </si>
  <si>
    <t>punto 11</t>
  </si>
  <si>
    <t>punto 12</t>
  </si>
  <si>
    <t>punto 13</t>
  </si>
  <si>
    <t>punto 14</t>
  </si>
  <si>
    <t>punto 15</t>
  </si>
  <si>
    <t>Valor interpolado de la indicacion del patron</t>
  </si>
  <si>
    <t>p(x)</t>
  </si>
  <si>
    <t>u (x)</t>
  </si>
  <si>
    <t>Correccion</t>
  </si>
  <si>
    <t>Incetidumbre</t>
  </si>
  <si>
    <t>Incertidumbre Medicion patron punto 1</t>
  </si>
  <si>
    <t>Incertidumbre Medicion patron punto 2</t>
  </si>
  <si>
    <t>Incertidumbre Medicion patron punto 3</t>
  </si>
  <si>
    <t>Incertidumbre Medicion patron punto 4</t>
  </si>
  <si>
    <t>Incertidumbre Medicion patron punto 5</t>
  </si>
  <si>
    <t>Incertidumbre Medicion patron punto 6</t>
  </si>
  <si>
    <t>Incertidumbre Medicion patron punto 7</t>
  </si>
  <si>
    <t>Incertidumbre Medicion patron punto 8</t>
  </si>
  <si>
    <t>Incertidumbre Medicion patron punto 9</t>
  </si>
  <si>
    <t>Incertidumbre Medicion patron punto 10</t>
  </si>
  <si>
    <t>Lectura Corregida Medicion patron punto 11</t>
  </si>
  <si>
    <t>Incertidumbre Medicion patron punto 11</t>
  </si>
  <si>
    <t>Lectura Corregida Medicion patron punto 12</t>
  </si>
  <si>
    <t>Incertidumbre Medicion patron punto 12</t>
  </si>
  <si>
    <t>Lectura Corregida Medicion patron punto 13</t>
  </si>
  <si>
    <t>Incertidumbre Medicion patron punto 13</t>
  </si>
  <si>
    <t>a13</t>
  </si>
  <si>
    <t>Lectura Corregida Medicion patron punto 14</t>
  </si>
  <si>
    <t>Incertidumbre Medicion patron punto 14</t>
  </si>
  <si>
    <t>a14</t>
  </si>
  <si>
    <t>Lectura Corregida Medicion patron punto 15</t>
  </si>
  <si>
    <t>Incertidumbre Medicion patron punto 15</t>
  </si>
  <si>
    <t>a15</t>
  </si>
  <si>
    <t>Calculo para grado x</t>
  </si>
  <si>
    <t>Valor Interpolado</t>
  </si>
  <si>
    <t>Suma Cuadrados</t>
  </si>
  <si>
    <t>DATOS CERTIFICADO DE CALIBRACION</t>
  </si>
  <si>
    <t>Unidades:</t>
  </si>
  <si>
    <t>INSTRUMENTO</t>
  </si>
  <si>
    <t>PATRON</t>
  </si>
  <si>
    <t>CORRECCIÓN</t>
  </si>
  <si>
    <t>INCERTIDUMBRE</t>
  </si>
  <si>
    <t>DESVIACION</t>
  </si>
  <si>
    <t>F.CAL 2021-01-06</t>
  </si>
  <si>
    <t>TEC-LAB-TEM-23</t>
  </si>
  <si>
    <t>Adicional</t>
  </si>
  <si>
    <t>unidades CaL P</t>
  </si>
  <si>
    <t xml:space="preserve">Valor medido </t>
  </si>
  <si>
    <t>DERIVA</t>
  </si>
  <si>
    <t>ok</t>
  </si>
  <si>
    <t xml:space="preserve"> FCal 2024-02-20 Cert N19043064</t>
  </si>
  <si>
    <t>FCal 2024-04-29  Cert TLM-P-4818</t>
  </si>
  <si>
    <t>Cert y 9348  FCal 2023-01-12</t>
  </si>
  <si>
    <t>Cert 9347  FCal 2023-01-12</t>
  </si>
  <si>
    <t>Certificado</t>
  </si>
  <si>
    <t>TEC-LAB-PS-03-</t>
  </si>
  <si>
    <t>TEC-LAB-PS-03+</t>
  </si>
  <si>
    <t>0 psi a +/- 10 psi</t>
  </si>
  <si>
    <t xml:space="preserve"> -4 In H2O A 4 In H2O</t>
  </si>
  <si>
    <t xml:space="preserve"> -2 In H2O a 2 In H2O</t>
  </si>
  <si>
    <t>Cifras Decimales</t>
  </si>
  <si>
    <t>Intervalo</t>
  </si>
  <si>
    <t>Unidades IBC</t>
  </si>
  <si>
    <t>Toma Datos IBC</t>
  </si>
  <si>
    <t>Unidad original P</t>
  </si>
  <si>
    <t>Unidad original Dato IBC</t>
  </si>
  <si>
    <t>Alimentos Del Valle S. A.</t>
  </si>
  <si>
    <t>Ambiocom S.A.S.</t>
  </si>
  <si>
    <t>Amed Asesorías A La Medida De Su Empresa S.A.S</t>
  </si>
  <si>
    <t>Ángel Diagnostica S.A</t>
  </si>
  <si>
    <t>Arpack S.A.S</t>
  </si>
  <si>
    <t>Artilab S.A.</t>
  </si>
  <si>
    <t>Asoclinic Limitada</t>
  </si>
  <si>
    <t>Automatizamos Ingeniería S.A.S.</t>
  </si>
  <si>
    <t>Avantika Colombia S.A.S</t>
  </si>
  <si>
    <t>Avícola Pollo Listo S.A.S</t>
  </si>
  <si>
    <t>AVIDESA DE OCCIDENTE SA</t>
  </si>
  <si>
    <t>B Altman &amp; Compañía S.A.S</t>
  </si>
  <si>
    <t>B ALTMAN &amp; COMPAÑIA SAS</t>
  </si>
  <si>
    <t>Balanceados SA</t>
  </si>
  <si>
    <t>Basalex S.A.S.</t>
  </si>
  <si>
    <t>Basculas Y Servicios Electrónicos De Pesaje Limitada</t>
  </si>
  <si>
    <t>Basculas Y Suministros S.A.S</t>
  </si>
  <si>
    <t>Belleza Express S.A.</t>
  </si>
  <si>
    <t>Bionutrect S.A.S.</t>
  </si>
  <si>
    <t>Biotec Laboratorio S.A.S</t>
  </si>
  <si>
    <t>Bpc Services S.A.S</t>
  </si>
  <si>
    <t>Byspro S.A.S</t>
  </si>
  <si>
    <t>C.I Seasif Pacific S.A.S.</t>
  </si>
  <si>
    <t>Caad Instrumentación Control Y Metrología S.A.S</t>
  </si>
  <si>
    <t>Campofert S.A.S.</t>
  </si>
  <si>
    <t>Campolab S.A.S.</t>
  </si>
  <si>
    <t>Carlos Sarmiento L. &amp; Cía.. Ingenio Sancarlos S.A.</t>
  </si>
  <si>
    <t>Cartón De Colombia S.A</t>
  </si>
  <si>
    <t>Cartonera Nacional S.A.</t>
  </si>
  <si>
    <t>Carvajal Pulpa Y Papel S.A</t>
  </si>
  <si>
    <t>Carval De Colombia</t>
  </si>
  <si>
    <t>Carval De Colombia.</t>
  </si>
  <si>
    <t xml:space="preserve">Carval De Colombia </t>
  </si>
  <si>
    <t>Casita De Belén</t>
  </si>
  <si>
    <t>CENEGRALS.A.S.</t>
  </si>
  <si>
    <t>Centro De Investigación Científica Caucaseco Limitada</t>
  </si>
  <si>
    <t>Ci Laboratorios Improfarme S.A.S</t>
  </si>
  <si>
    <t>Clorox De Colombia S.A</t>
  </si>
  <si>
    <t>Colgate Palmolive Compañía</t>
  </si>
  <si>
    <t>Colombia Industrial &amp; Automotriz S.A.S</t>
  </si>
  <si>
    <t>Colombiana De Bebidas Y Envasados S.A</t>
  </si>
  <si>
    <t>Colombina Del Cauca S.A.</t>
  </si>
  <si>
    <t>Comercializadora A.N. Jell S.A.S.</t>
  </si>
  <si>
    <t>Comercializadora El Peluquero S.A.S</t>
  </si>
  <si>
    <t>Comercializadora Santander S.A.S</t>
  </si>
  <si>
    <t>Comestibles Aldor S.A.S</t>
  </si>
  <si>
    <t>Commercial Soluttions &amp; Logistics S.A.S</t>
  </si>
  <si>
    <t xml:space="preserve">COMPAÑÍA INTEGRAL S.A. </t>
  </si>
  <si>
    <t>Compañía Minera E &amp; J S.A.S</t>
  </si>
  <si>
    <t>Compass Group Services Colombia S.A.</t>
  </si>
  <si>
    <t>Compraventa Coffee Gold</t>
  </si>
  <si>
    <t>Continental de Ingredientes SAS</t>
  </si>
  <si>
    <t>Control E Instrumentación Industrial De Colombia S.A.S</t>
  </si>
  <si>
    <t>Corporación Autónoma Regional Del Valle Del Cauca</t>
  </si>
  <si>
    <t>Cristar S.A.S</t>
  </si>
  <si>
    <t>Destilería Riopaila S.A.S</t>
  </si>
  <si>
    <t>Disproquin S.A.S</t>
  </si>
  <si>
    <t>Ecoquimica S.A.S</t>
  </si>
  <si>
    <t>Eka Corporación S.A.</t>
  </si>
  <si>
    <t>El Molino Eduardo Molinari Palacin &amp; Cía. S En C</t>
  </si>
  <si>
    <t>Empresa De Acueducto Y Alcantarillado De Pereira S.A. Esp</t>
  </si>
  <si>
    <t>Empresa Oficial De Servicios Públicos De Yumbo S.A. Esp</t>
  </si>
  <si>
    <t>Equipos De Pesaje Leal S.A.S</t>
  </si>
  <si>
    <t>ESP La virginia Risaralda SAS</t>
  </si>
  <si>
    <t>Fabrifarma S.A.</t>
  </si>
  <si>
    <t>Familia Del Pacifico S.A.S</t>
  </si>
  <si>
    <t>Farmacia Droguería San Jorge Ltda.</t>
  </si>
  <si>
    <t>Farmalogica S A</t>
  </si>
  <si>
    <t>Fiscalía General De La Nación Seccional Cali</t>
  </si>
  <si>
    <t>Fleischmann Foods S.A.</t>
  </si>
  <si>
    <t>Friomix Del Cauca S.A.S</t>
  </si>
  <si>
    <t>Fundación Liga Colombiana Contra La Epilepsia Capitulo Valle</t>
  </si>
  <si>
    <t>Fundación Los Caleñitos "Gladys Candelo"</t>
  </si>
  <si>
    <t>Fundación Santa Luisa De Marillac</t>
  </si>
  <si>
    <t>Fundiciones Universo S.A.S.</t>
  </si>
  <si>
    <t>Postobon S.A.</t>
  </si>
  <si>
    <t>Global Products Manufacture Services S.A.S</t>
  </si>
  <si>
    <t>Global Surfachem S.A.S.</t>
  </si>
  <si>
    <t>Golosinas Trululu S.A.</t>
  </si>
  <si>
    <t>Granos Y Proteínas S.A.S.</t>
  </si>
  <si>
    <t>Grow Chemical Group S.A</t>
  </si>
  <si>
    <t>H&amp;B Laboratorios S.A.S</t>
  </si>
  <si>
    <t>Hada International S.A</t>
  </si>
  <si>
    <t>Hada S.A</t>
  </si>
  <si>
    <t>Hidroambiental Ltda.</t>
  </si>
  <si>
    <t>Hospital Carlos Holmes Trujillo</t>
  </si>
  <si>
    <t>Impadoc S.A.</t>
  </si>
  <si>
    <t>Inbascol De Occidente S.A.S</t>
  </si>
  <si>
    <t>Indugraficas S.A.S.</t>
  </si>
  <si>
    <t>Indusquim S.A.S</t>
  </si>
  <si>
    <t>Industria Colombiana De Logística Y Transporte S.A.S</t>
  </si>
  <si>
    <t>Industria de Alimentos Santa Rita SAS</t>
  </si>
  <si>
    <t>Industria De Harinas Tuluá S.A.S</t>
  </si>
  <si>
    <t>Industria De Licores Del Valle</t>
  </si>
  <si>
    <t>Industria Grafica Latinoamérica S.A.S.</t>
  </si>
  <si>
    <t>Industria Molinera De Caldas S.A.</t>
  </si>
  <si>
    <t>Industrias Cato S.A.S</t>
  </si>
  <si>
    <t>Industrias Patojito S.A.S</t>
  </si>
  <si>
    <t>Industrias Terrígeno S.A</t>
  </si>
  <si>
    <t>Ingealimentos S.A.S</t>
  </si>
  <si>
    <t>Ingeniería En Bpo S.A.S</t>
  </si>
  <si>
    <t>Ingeniería Gráfica S.A</t>
  </si>
  <si>
    <t>Ingenio Pichichi S.A.</t>
  </si>
  <si>
    <t>Instituto Oscar Scarpetta Orejuela De Protección Infantil</t>
  </si>
  <si>
    <t>Instrument Ltda.</t>
  </si>
  <si>
    <t>Inteco Limitada</t>
  </si>
  <si>
    <t>Interpesaje S.A</t>
  </si>
  <si>
    <t>Jaime  Cardona Duque</t>
  </si>
  <si>
    <t>Jeisson Santana Duque</t>
  </si>
  <si>
    <t>JGB S.A.</t>
  </si>
  <si>
    <t>Johnson &amp; Johnson De Colombia S.A</t>
  </si>
  <si>
    <t>Juan Manuel Meza Gutiérrez</t>
  </si>
  <si>
    <t>Juan Pablo Gómez Callejas</t>
  </si>
  <si>
    <t>Laboratorio Biocenter S.A.S</t>
  </si>
  <si>
    <t>Laboratorio De Alimentos Y Similares Microquim S.A.S</t>
  </si>
  <si>
    <t>Laboratorio L´Mar S.A.S</t>
  </si>
  <si>
    <t>Laboratorios Baxter S.A</t>
  </si>
  <si>
    <t>Laboratorios Laverlam S.A</t>
  </si>
  <si>
    <t>Laboratorios OSA S.A.S.</t>
  </si>
  <si>
    <t>Laboratorios Ryan De Colombia S.A.S</t>
  </si>
  <si>
    <t xml:space="preserve">Laboratorios Servinsumos SA </t>
  </si>
  <si>
    <t>Labtest Ingeniería S.A.S</t>
  </si>
  <si>
    <t>Lafrancol Internacional S.A.S.</t>
  </si>
  <si>
    <t>Lafrancol S.A.S.</t>
  </si>
  <si>
    <t>LESCO QUIMICOS DE COLOMBIA S.A.S</t>
  </si>
  <si>
    <t>Lle-Ser Ltda.</t>
  </si>
  <si>
    <t>Lloreda S.A.</t>
  </si>
  <si>
    <t>Losanika S.A.S.</t>
  </si>
  <si>
    <t>MAKRO SUPERMAYORISTA SAS - TIENDA VALLE DEL LILI</t>
  </si>
  <si>
    <t>Mayagüez S.A.S</t>
  </si>
  <si>
    <t>Merquimia Internacional S.A.S</t>
  </si>
  <si>
    <t>Metroindustrial S.A.S</t>
  </si>
  <si>
    <t>Metroinstruments S.A.S</t>
  </si>
  <si>
    <t>Microambiental Ingeniería S.A.S</t>
  </si>
  <si>
    <t>Microlab S.A.S</t>
  </si>
  <si>
    <t>Natural Medy Distribuciones S.A.S</t>
  </si>
  <si>
    <t>Orix Pack S.A.S</t>
  </si>
  <si>
    <t>Ovoproductos Del Pacifico S.A.S</t>
  </si>
  <si>
    <t>Pacifico Snacks S.A.S</t>
  </si>
  <si>
    <t>Pgi Colombia Ltda.</t>
  </si>
  <si>
    <t>Pharm &amp; Health Solutions S.A.S</t>
  </si>
  <si>
    <t>Pinturas algreco S.A</t>
  </si>
  <si>
    <t>PINTURAS ALGRECO SA</t>
  </si>
  <si>
    <t>Pinzuar Ltda.</t>
  </si>
  <si>
    <t xml:space="preserve">Plastic Films Internacional S.A. </t>
  </si>
  <si>
    <t>Plásticos Especiales S.A.S.</t>
  </si>
  <si>
    <t>Plásticos Rimax S.A.S.</t>
  </si>
  <si>
    <t>Pontificia Universidad Javeriana</t>
  </si>
  <si>
    <t>Precious Metals Investments S.A.S</t>
  </si>
  <si>
    <t>Premezclas S.A.</t>
  </si>
  <si>
    <t>Procesadora de Lacteos San Jose SAS</t>
  </si>
  <si>
    <t>Productos De La Provincia S.A</t>
  </si>
  <si>
    <t>Productos Naturales De La Sabana S.A.S</t>
  </si>
  <si>
    <t>Profinas S.A.S.</t>
  </si>
  <si>
    <t>Prominerales S.A.S</t>
  </si>
  <si>
    <t>Proquim Industrial S.A.S.</t>
  </si>
  <si>
    <t>Qfm Science S.A.S.</t>
  </si>
  <si>
    <t>Quick &amp; Tasty</t>
  </si>
  <si>
    <t>Quimpac De Colombia S.A.</t>
  </si>
  <si>
    <t>Recamier S.A</t>
  </si>
  <si>
    <t xml:space="preserve">Reckitt Benckiser </t>
  </si>
  <si>
    <t>Recursos Naturales Del Cauca S.A.S</t>
  </si>
  <si>
    <t>Refinadora Nacional De Aceites Y Grasas S.A.S</t>
  </si>
  <si>
    <t>Representaciones Industriales De Colombia Ricol S.A.S</t>
  </si>
  <si>
    <t>Representaciones Marina Borja S.A.S</t>
  </si>
  <si>
    <t>Repuestos Y Suministros Ltda.</t>
  </si>
  <si>
    <t>Rubén Darío Trujillo Trujillo</t>
  </si>
  <si>
    <t xml:space="preserve">Seguridad Alimentaria de Occidente S.A.S. SEGALCO S.A.S. 
</t>
  </si>
  <si>
    <t>Selig De Colombia S.A.</t>
  </si>
  <si>
    <t>Sistemas De Pesaje Y Control Dag</t>
  </si>
  <si>
    <t>Skylab Colombia S.A.S</t>
  </si>
  <si>
    <t>SMV S.A.S</t>
  </si>
  <si>
    <t>Software &amp; Solución Industrial Ltda.</t>
  </si>
  <si>
    <t>Solla S.A.</t>
  </si>
  <si>
    <t>Soluciones Nutritivas S.A.S</t>
  </si>
  <si>
    <t>Splendor Publicidad S.A</t>
  </si>
  <si>
    <t>Standard Markets Company Ci S.A.S</t>
  </si>
  <si>
    <t>Suministros Químicos Ltda.</t>
  </si>
  <si>
    <t>Sun Chemical Colombia S.A.S.</t>
  </si>
  <si>
    <t>Súper De Alimentos S.A.S.</t>
  </si>
  <si>
    <t>Súper De Alimentos S.A.S.-Planta Bianchi</t>
  </si>
  <si>
    <t>Susana Teshima Teshima</t>
  </si>
  <si>
    <t>Tecnofar Tq S.A.S</t>
  </si>
  <si>
    <t>Tecnología Química International S.A.S</t>
  </si>
  <si>
    <t>Tecnoplast S.A.S</t>
  </si>
  <si>
    <t>Tecnoquimicas S.A</t>
  </si>
  <si>
    <t>Tecnoquimicas S.A.</t>
  </si>
  <si>
    <t>Tecnoquimicas S.A..</t>
  </si>
  <si>
    <t>Tecnosur S.A.S</t>
  </si>
  <si>
    <t>Tecservice S.A.S.</t>
  </si>
  <si>
    <t>Teshima Products SAS</t>
  </si>
  <si>
    <t>Tiendas Y Carnes El Ofertazo S.A.S</t>
  </si>
  <si>
    <t>Torrecafe Águila Roja &amp; Cía. S.A</t>
  </si>
  <si>
    <t>Trapiche La Palestina S.A</t>
  </si>
  <si>
    <t>Tropiagua S.A.S</t>
  </si>
  <si>
    <t>T-Vapan 500 S.A.</t>
  </si>
  <si>
    <t>Unidossis S.A.S</t>
  </si>
  <si>
    <t>Unilever Andina Colombia S.A.S</t>
  </si>
  <si>
    <t>Unilever Colombia SCC S.A.S</t>
  </si>
  <si>
    <t>Universidad Del Valle</t>
  </si>
  <si>
    <t>Universidad Icesi</t>
  </si>
  <si>
    <t>Universidad Nacional De Colombia</t>
  </si>
  <si>
    <t>Vm Controles Industriales Ltda.</t>
  </si>
  <si>
    <t>TATE &amp; LYLE COLOMBIA SAS</t>
  </si>
  <si>
    <t>Z</t>
  </si>
  <si>
    <t>12352</t>
  </si>
  <si>
    <t>12349</t>
  </si>
  <si>
    <t>Carlos Anacona</t>
  </si>
  <si>
    <t>Vigencia Actual</t>
  </si>
  <si>
    <t>Vigencia Anterior</t>
  </si>
  <si>
    <t>Frecuencia</t>
  </si>
  <si>
    <t>Viegencia anterior</t>
  </si>
  <si>
    <t>C2803-25</t>
  </si>
  <si>
    <t>Cert N24032045</t>
  </si>
  <si>
    <t>C-2803-25</t>
  </si>
  <si>
    <t>7a TEC-LAB-PDI-03 Additel  -2 a 2 In H2O FCal 2025-03-17 Cert C2803-25</t>
  </si>
  <si>
    <t>Transmisor de presión</t>
  </si>
  <si>
    <t>9749_2023</t>
  </si>
  <si>
    <t>12629_2025</t>
  </si>
  <si>
    <t>TLM-P-6702</t>
  </si>
  <si>
    <t>Cert  FCal 12629  Vig 2025-04-24</t>
  </si>
  <si>
    <t xml:space="preserve">TLM-P-4818 </t>
  </si>
  <si>
    <t>FORMATO CALIBRACION MEDIDORES DE PRESIÓN  LC-FR-87  V5</t>
  </si>
  <si>
    <t>CD412-25</t>
  </si>
  <si>
    <t>Revisado Coordinador de  Calidad,  2025-02-22 - Aprobado Gerente General, 2025-02-24</t>
  </si>
  <si>
    <t>CERTIFICADOS CALIBRACION MEDIDORES DE PRESIÓN  LC-FR-87  V5</t>
  </si>
  <si>
    <t xml:space="preserve">LC-FR-87-V5 </t>
  </si>
  <si>
    <t>Fabian Ceballos</t>
  </si>
  <si>
    <t>13027</t>
  </si>
  <si>
    <t>Cert 13027 F Cal 2025-08-21 Con Sello</t>
  </si>
  <si>
    <t>V FECHA DE CALIBRACION</t>
  </si>
  <si>
    <t>Certificado No.</t>
  </si>
  <si>
    <t>TP046-26</t>
  </si>
  <si>
    <t>VALLECILLA B Y VALLECILLA M Y CIA S.C.A CARVAL DE COLOMBIA</t>
  </si>
  <si>
    <t>Calle 15 No 32 - 450 km 2</t>
  </si>
  <si>
    <t>Yumbo, Valle del Cauca</t>
  </si>
  <si>
    <t>DWYER</t>
  </si>
  <si>
    <t>MAGNEHELIC</t>
  </si>
  <si>
    <t>N.I</t>
  </si>
  <si>
    <t>CVSAC001-Q642</t>
  </si>
  <si>
    <t>Laboratorio de microbiología / Exclusa de siembra 2</t>
  </si>
  <si>
    <t>Laboratorio de presión de Tecservice s.a.s.</t>
  </si>
  <si>
    <t>0</t>
  </si>
  <si>
    <t>4</t>
  </si>
  <si>
    <t>X</t>
  </si>
  <si>
    <t>N25121723</t>
  </si>
  <si>
    <t>OK</t>
  </si>
  <si>
    <t>7a TEC-LAB-PDI-03 Additel  -2 a 2 In H2O FCal 2025-12-17 Cert N25121723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</si>
</sst>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1" formatCode="_-* #,##0_-;\-* #,##0_-;_-* &quot;-&quot;_-;_-@_-"/>
    <numFmt numFmtId="164" formatCode="_(&quot;$&quot;\ * #,##0.00_);_(&quot;$&quot;\ * \(#,##0.00\);_(&quot;$&quot;\ * &quot;-&quot;??_);_(@_)"/>
    <numFmt numFmtId="165" formatCode="0.000"/>
    <numFmt numFmtId="166" formatCode="0.0000"/>
    <numFmt numFmtId="167" formatCode="0.0"/>
    <numFmt numFmtId="168" formatCode="0.0E+00"/>
    <numFmt numFmtId="169" formatCode="0.0.E+00"/>
    <numFmt numFmtId="170" formatCode="0.000%"/>
    <numFmt numFmtId="171" formatCode="0.000000E+00"/>
    <numFmt numFmtId="172" formatCode="0.000000.E+00"/>
    <numFmt numFmtId="173" formatCode="#,##0.0000"/>
    <numFmt numFmtId="174" formatCode="#,##0.000000"/>
    <numFmt numFmtId="175" formatCode="0.00000E+00"/>
    <numFmt numFmtId="176" formatCode="yyyy\-mm\-dd;@"/>
    <numFmt numFmtId="177" formatCode="&quot;±&quot;\ 0\ &quot;hr&quot;"/>
    <numFmt numFmtId="178" formatCode="\±\ 0.00"/>
    <numFmt numFmtId="179" formatCode="&quot;±&quot;\ 0\ &quot;°C&quot;"/>
    <numFmt numFmtId="180" formatCode="0.0\ &quot;°C&quot;"/>
    <numFmt numFmtId="181" formatCode="0.000000"/>
    <numFmt numFmtId="182" formatCode="0.00000"/>
    <numFmt numFmtId="183" formatCode="0.000000000"/>
    <numFmt numFmtId="184" formatCode="0.0000000000"/>
    <numFmt numFmtId="185" formatCode="0.00000000000"/>
    <numFmt numFmtId="186" formatCode="0.0000000000000000000000000000000E+00"/>
    <numFmt numFmtId="187" formatCode="0.0000000"/>
    <numFmt numFmtId="188" formatCode="0.00000000"/>
    <numFmt numFmtId="189" formatCode="0.000000000000"/>
  </numFmts>
  <fonts count="5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7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2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rgb="FF92D050"/>
      <name val="Calibri"/>
      <family val="2"/>
      <scheme val="minor"/>
    </font>
    <font>
      <i/>
      <sz val="12"/>
      <color theme="6" tint="-0.249977111117893"/>
      <name val="Calibri"/>
      <family val="2"/>
      <scheme val="minor"/>
    </font>
    <font>
      <sz val="12"/>
      <color rgb="FF002060"/>
      <name val="Calibri"/>
      <family val="2"/>
      <scheme val="minor"/>
    </font>
    <font>
      <i/>
      <sz val="12"/>
      <color rgb="FF002060"/>
      <name val="Calibri"/>
      <family val="2"/>
      <scheme val="minor"/>
    </font>
    <font>
      <sz val="12"/>
      <color rgb="FF92D050"/>
      <name val="Calibri"/>
      <family val="2"/>
      <scheme val="minor"/>
    </font>
    <font>
      <sz val="12"/>
      <name val="Calibri"/>
      <family val="2"/>
      <scheme val="minor"/>
    </font>
    <font>
      <sz val="12"/>
      <color rgb="FF002060"/>
      <name val="Calibri"/>
      <family val="2"/>
    </font>
    <font>
      <sz val="12"/>
      <color theme="6" tint="-0.249977111117893"/>
      <name val="Calibri"/>
      <family val="2"/>
      <scheme val="minor"/>
    </font>
    <font>
      <sz val="12"/>
      <color theme="1"/>
      <name val="Calibri"/>
      <family val="2"/>
    </font>
    <font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u/>
      <sz val="12"/>
      <color theme="9" tint="0.3999755851924192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7030A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0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sz val="16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0" fontId="11" fillId="0" borderId="0"/>
    <xf numFmtId="41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</cellStyleXfs>
  <cellXfs count="83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2" borderId="0" xfId="0" applyFill="1"/>
    <xf numFmtId="11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1" fillId="6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2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2" borderId="27" xfId="0" applyFill="1" applyBorder="1"/>
    <xf numFmtId="0" fontId="0" fillId="2" borderId="28" xfId="0" applyFill="1" applyBorder="1"/>
    <xf numFmtId="165" fontId="0" fillId="0" borderId="3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/>
    </xf>
    <xf numFmtId="166" fontId="0" fillId="0" borderId="1" xfId="0" applyNumberFormat="1" applyBorder="1"/>
    <xf numFmtId="0" fontId="0" fillId="7" borderId="0" xfId="0" applyFill="1"/>
    <xf numFmtId="11" fontId="0" fillId="7" borderId="0" xfId="0" applyNumberFormat="1" applyFill="1"/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Protection="1">
      <protection locked="0"/>
    </xf>
    <xf numFmtId="165" fontId="0" fillId="0" borderId="0" xfId="0" applyNumberFormat="1" applyProtection="1">
      <protection locked="0"/>
    </xf>
    <xf numFmtId="170" fontId="0" fillId="0" borderId="0" xfId="1" applyNumberFormat="1" applyFont="1" applyProtection="1">
      <protection locked="0"/>
    </xf>
    <xf numFmtId="0" fontId="1" fillId="0" borderId="0" xfId="0" applyFont="1" applyProtection="1">
      <protection locked="0"/>
    </xf>
    <xf numFmtId="10" fontId="0" fillId="0" borderId="1" xfId="1" applyNumberFormat="1" applyFont="1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167" fontId="0" fillId="0" borderId="1" xfId="0" applyNumberFormat="1" applyBorder="1" applyAlignment="1">
      <alignment horizontal="center" vertical="center"/>
    </xf>
    <xf numFmtId="169" fontId="0" fillId="0" borderId="0" xfId="0" applyNumberFormat="1"/>
    <xf numFmtId="3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0" fontId="9" fillId="0" borderId="0" xfId="0" applyFont="1"/>
    <xf numFmtId="0" fontId="0" fillId="0" borderId="15" xfId="0" applyBorder="1"/>
    <xf numFmtId="0" fontId="1" fillId="8" borderId="1" xfId="0" applyFont="1" applyFill="1" applyBorder="1" applyAlignment="1">
      <alignment horizontal="center"/>
    </xf>
    <xf numFmtId="0" fontId="10" fillId="0" borderId="0" xfId="0" applyFont="1"/>
    <xf numFmtId="0" fontId="0" fillId="12" borderId="1" xfId="0" applyFill="1" applyBorder="1"/>
    <xf numFmtId="2" fontId="0" fillId="0" borderId="0" xfId="0" applyNumberFormat="1"/>
    <xf numFmtId="0" fontId="1" fillId="0" borderId="0" xfId="0" applyFont="1"/>
    <xf numFmtId="0" fontId="12" fillId="10" borderId="0" xfId="2" applyFont="1" applyFill="1" applyProtection="1">
      <protection hidden="1"/>
    </xf>
    <xf numFmtId="0" fontId="12" fillId="10" borderId="0" xfId="2" applyFont="1" applyFill="1" applyAlignment="1" applyProtection="1">
      <alignment vertical="center"/>
      <protection hidden="1"/>
    </xf>
    <xf numFmtId="0" fontId="12" fillId="10" borderId="0" xfId="2" applyFont="1" applyFill="1" applyAlignment="1" applyProtection="1">
      <alignment horizontal="left" vertical="center"/>
      <protection hidden="1"/>
    </xf>
    <xf numFmtId="0" fontId="12" fillId="10" borderId="25" xfId="2" applyFont="1" applyFill="1" applyBorder="1" applyProtection="1">
      <protection hidden="1"/>
    </xf>
    <xf numFmtId="0" fontId="11" fillId="0" borderId="0" xfId="2"/>
    <xf numFmtId="0" fontId="2" fillId="0" borderId="0" xfId="2" applyFont="1" applyAlignment="1">
      <alignment horizontal="center" vertical="center"/>
    </xf>
    <xf numFmtId="0" fontId="17" fillId="11" borderId="2" xfId="2" applyFont="1" applyFill="1" applyBorder="1" applyAlignment="1" applyProtection="1">
      <alignment horizontal="center"/>
      <protection hidden="1"/>
    </xf>
    <xf numFmtId="0" fontId="12" fillId="11" borderId="2" xfId="2" applyFont="1" applyFill="1" applyBorder="1" applyAlignment="1" applyProtection="1">
      <alignment horizontal="center"/>
      <protection hidden="1"/>
    </xf>
    <xf numFmtId="0" fontId="12" fillId="10" borderId="29" xfId="2" applyFont="1" applyFill="1" applyBorder="1" applyAlignment="1" applyProtection="1">
      <alignment horizontal="center" vertical="center"/>
      <protection locked="0"/>
    </xf>
    <xf numFmtId="0" fontId="17" fillId="10" borderId="29" xfId="2" applyFont="1" applyFill="1" applyBorder="1" applyAlignment="1" applyProtection="1">
      <alignment horizontal="center" vertical="center"/>
      <protection locked="0"/>
    </xf>
    <xf numFmtId="0" fontId="17" fillId="10" borderId="0" xfId="2" applyFont="1" applyFill="1" applyAlignment="1" applyProtection="1">
      <alignment horizontal="center" vertical="center"/>
      <protection hidden="1"/>
    </xf>
    <xf numFmtId="0" fontId="12" fillId="10" borderId="0" xfId="2" applyFont="1" applyFill="1" applyAlignment="1" applyProtection="1">
      <alignment horizontal="center" vertical="center"/>
      <protection hidden="1"/>
    </xf>
    <xf numFmtId="0" fontId="12" fillId="10" borderId="23" xfId="2" applyFont="1" applyFill="1" applyBorder="1" applyProtection="1">
      <protection hidden="1"/>
    </xf>
    <xf numFmtId="0" fontId="13" fillId="10" borderId="0" xfId="2" applyFont="1" applyFill="1" applyProtection="1">
      <protection hidden="1"/>
    </xf>
    <xf numFmtId="167" fontId="18" fillId="10" borderId="0" xfId="2" applyNumberFormat="1" applyFont="1" applyFill="1" applyAlignment="1" applyProtection="1">
      <alignment vertical="center" wrapText="1"/>
      <protection hidden="1"/>
    </xf>
    <xf numFmtId="167" fontId="5" fillId="10" borderId="0" xfId="2" applyNumberFormat="1" applyFont="1" applyFill="1" applyProtection="1">
      <protection hidden="1"/>
    </xf>
    <xf numFmtId="0" fontId="19" fillId="10" borderId="0" xfId="2" applyFont="1" applyFill="1" applyAlignment="1" applyProtection="1">
      <alignment vertical="center"/>
      <protection hidden="1"/>
    </xf>
    <xf numFmtId="0" fontId="19" fillId="10" borderId="0" xfId="2" applyFont="1" applyFill="1" applyAlignment="1" applyProtection="1">
      <alignment horizontal="center" vertical="center"/>
      <protection hidden="1"/>
    </xf>
    <xf numFmtId="0" fontId="19" fillId="10" borderId="0" xfId="2" applyFont="1" applyFill="1" applyProtection="1">
      <protection hidden="1"/>
    </xf>
    <xf numFmtId="0" fontId="19" fillId="10" borderId="0" xfId="2" applyFont="1" applyFill="1" applyAlignment="1" applyProtection="1">
      <alignment horizontal="left" vertical="center"/>
      <protection hidden="1"/>
    </xf>
    <xf numFmtId="0" fontId="12" fillId="10" borderId="0" xfId="2" applyFont="1" applyFill="1" applyAlignment="1" applyProtection="1">
      <alignment horizontal="center"/>
      <protection hidden="1"/>
    </xf>
    <xf numFmtId="0" fontId="13" fillId="10" borderId="0" xfId="2" applyFont="1" applyFill="1" applyAlignment="1" applyProtection="1">
      <alignment vertical="center"/>
      <protection hidden="1"/>
    </xf>
    <xf numFmtId="1" fontId="12" fillId="10" borderId="0" xfId="2" applyNumberFormat="1" applyFont="1" applyFill="1" applyAlignment="1" applyProtection="1">
      <alignment horizontal="center" vertical="center"/>
      <protection hidden="1"/>
    </xf>
    <xf numFmtId="0" fontId="13" fillId="10" borderId="14" xfId="2" applyFont="1" applyFill="1" applyBorder="1" applyAlignment="1" applyProtection="1">
      <alignment horizontal="center"/>
      <protection hidden="1"/>
    </xf>
    <xf numFmtId="0" fontId="13" fillId="10" borderId="15" xfId="2" applyFont="1" applyFill="1" applyBorder="1" applyAlignment="1" applyProtection="1">
      <alignment horizontal="center"/>
      <protection hidden="1"/>
    </xf>
    <xf numFmtId="1" fontId="13" fillId="10" borderId="0" xfId="4" applyNumberFormat="1" applyFont="1" applyFill="1" applyBorder="1" applyAlignment="1" applyProtection="1">
      <alignment vertical="center" wrapText="1"/>
      <protection hidden="1"/>
    </xf>
    <xf numFmtId="167" fontId="12" fillId="10" borderId="0" xfId="4" applyNumberFormat="1" applyFont="1" applyFill="1" applyBorder="1" applyAlignment="1" applyProtection="1">
      <alignment vertical="center" wrapText="1"/>
      <protection locked="0"/>
    </xf>
    <xf numFmtId="165" fontId="12" fillId="10" borderId="0" xfId="4" applyNumberFormat="1" applyFont="1" applyFill="1" applyBorder="1" applyAlignment="1" applyProtection="1">
      <alignment vertical="center" wrapText="1"/>
      <protection locked="0"/>
    </xf>
    <xf numFmtId="167" fontId="13" fillId="10" borderId="0" xfId="5" applyNumberFormat="1" applyFont="1" applyFill="1" applyAlignment="1" applyProtection="1">
      <alignment vertical="center" wrapText="1"/>
      <protection hidden="1"/>
    </xf>
    <xf numFmtId="0" fontId="14" fillId="10" borderId="0" xfId="2" applyFont="1" applyFill="1" applyAlignment="1" applyProtection="1">
      <alignment horizontal="left" vertical="center" wrapText="1"/>
      <protection hidden="1"/>
    </xf>
    <xf numFmtId="0" fontId="5" fillId="10" borderId="0" xfId="2" applyFont="1" applyFill="1" applyAlignment="1" applyProtection="1">
      <alignment horizontal="left" vertical="center" wrapText="1"/>
      <protection hidden="1"/>
    </xf>
    <xf numFmtId="0" fontId="7" fillId="10" borderId="0" xfId="2" applyFont="1" applyFill="1" applyProtection="1">
      <protection hidden="1"/>
    </xf>
    <xf numFmtId="0" fontId="2" fillId="10" borderId="0" xfId="2" applyFont="1" applyFill="1" applyProtection="1">
      <protection hidden="1"/>
    </xf>
    <xf numFmtId="0" fontId="10" fillId="10" borderId="0" xfId="2" applyFont="1" applyFill="1" applyProtection="1">
      <protection hidden="1"/>
    </xf>
    <xf numFmtId="0" fontId="15" fillId="10" borderId="0" xfId="2" applyFont="1" applyFill="1" applyProtection="1">
      <protection hidden="1"/>
    </xf>
    <xf numFmtId="0" fontId="22" fillId="10" borderId="0" xfId="2" applyFont="1" applyFill="1" applyProtection="1">
      <protection hidden="1"/>
    </xf>
    <xf numFmtId="0" fontId="13" fillId="10" borderId="0" xfId="2" applyFont="1" applyFill="1" applyAlignment="1" applyProtection="1">
      <alignment wrapText="1"/>
      <protection hidden="1"/>
    </xf>
    <xf numFmtId="0" fontId="12" fillId="10" borderId="0" xfId="2" applyFont="1" applyFill="1" applyAlignment="1" applyProtection="1">
      <alignment horizontal="left"/>
      <protection hidden="1"/>
    </xf>
    <xf numFmtId="0" fontId="13" fillId="10" borderId="0" xfId="2" applyFont="1" applyFill="1" applyAlignment="1" applyProtection="1">
      <alignment horizontal="left" wrapText="1"/>
      <protection hidden="1"/>
    </xf>
    <xf numFmtId="0" fontId="6" fillId="10" borderId="0" xfId="5" applyFill="1" applyAlignment="1" applyProtection="1">
      <alignment horizontal="left"/>
      <protection hidden="1"/>
    </xf>
    <xf numFmtId="0" fontId="6" fillId="10" borderId="0" xfId="5" applyFill="1" applyProtection="1">
      <protection hidden="1"/>
    </xf>
    <xf numFmtId="0" fontId="1" fillId="8" borderId="0" xfId="0" applyFont="1" applyFill="1" applyAlignment="1">
      <alignment horizontal="center"/>
    </xf>
    <xf numFmtId="167" fontId="1" fillId="2" borderId="1" xfId="0" applyNumberFormat="1" applyFont="1" applyFill="1" applyBorder="1" applyAlignment="1">
      <alignment horizontal="center" vertical="center" wrapText="1"/>
    </xf>
    <xf numFmtId="1" fontId="0" fillId="0" borderId="15" xfId="0" applyNumberFormat="1" applyBorder="1"/>
    <xf numFmtId="0" fontId="9" fillId="10" borderId="0" xfId="0" applyFont="1" applyFill="1"/>
    <xf numFmtId="0" fontId="0" fillId="10" borderId="0" xfId="0" applyFill="1" applyAlignment="1" applyProtection="1">
      <alignment horizontal="center"/>
      <protection locked="0"/>
    </xf>
    <xf numFmtId="1" fontId="0" fillId="0" borderId="29" xfId="0" applyNumberFormat="1" applyBorder="1"/>
    <xf numFmtId="0" fontId="1" fillId="13" borderId="1" xfId="5" applyFont="1" applyFill="1" applyBorder="1" applyAlignment="1">
      <alignment horizontal="center" vertical="center" wrapText="1"/>
    </xf>
    <xf numFmtId="182" fontId="12" fillId="0" borderId="1" xfId="0" applyNumberFormat="1" applyFont="1" applyBorder="1" applyAlignment="1" applyProtection="1">
      <alignment horizontal="left"/>
      <protection locked="0"/>
    </xf>
    <xf numFmtId="0" fontId="12" fillId="0" borderId="1" xfId="0" applyFont="1" applyBorder="1" applyAlignment="1" applyProtection="1">
      <alignment horizontal="left"/>
      <protection locked="0"/>
    </xf>
    <xf numFmtId="49" fontId="12" fillId="0" borderId="1" xfId="0" applyNumberFormat="1" applyFont="1" applyBorder="1" applyAlignment="1" applyProtection="1">
      <alignment horizontal="left"/>
      <protection locked="0"/>
    </xf>
    <xf numFmtId="166" fontId="12" fillId="15" borderId="1" xfId="0" applyNumberFormat="1" applyFont="1" applyFill="1" applyBorder="1" applyAlignment="1" applyProtection="1">
      <alignment horizontal="left"/>
      <protection locked="0"/>
    </xf>
    <xf numFmtId="0" fontId="12" fillId="15" borderId="1" xfId="0" applyFont="1" applyFill="1" applyBorder="1" applyAlignment="1" applyProtection="1">
      <alignment horizontal="left"/>
      <protection locked="0"/>
    </xf>
    <xf numFmtId="49" fontId="12" fillId="15" borderId="1" xfId="0" applyNumberFormat="1" applyFont="1" applyFill="1" applyBorder="1" applyAlignment="1" applyProtection="1">
      <alignment horizontal="left"/>
      <protection locked="0"/>
    </xf>
    <xf numFmtId="166" fontId="12" fillId="10" borderId="1" xfId="0" applyNumberFormat="1" applyFont="1" applyFill="1" applyBorder="1" applyAlignment="1" applyProtection="1">
      <alignment horizontal="left"/>
      <protection locked="0"/>
    </xf>
    <xf numFmtId="0" fontId="12" fillId="10" borderId="1" xfId="0" applyFont="1" applyFill="1" applyBorder="1" applyAlignment="1" applyProtection="1">
      <alignment horizontal="left"/>
      <protection locked="0"/>
    </xf>
    <xf numFmtId="0" fontId="1" fillId="0" borderId="41" xfId="0" applyFont="1" applyBorder="1"/>
    <xf numFmtId="165" fontId="0" fillId="0" borderId="42" xfId="0" applyNumberFormat="1" applyBorder="1" applyAlignment="1">
      <alignment horizontal="center"/>
    </xf>
    <xf numFmtId="0" fontId="1" fillId="0" borderId="27" xfId="0" applyFont="1" applyBorder="1"/>
    <xf numFmtId="0" fontId="17" fillId="10" borderId="27" xfId="2" applyFont="1" applyFill="1" applyBorder="1" applyAlignment="1" applyProtection="1">
      <alignment horizontal="center" vertical="center"/>
      <protection locked="0"/>
    </xf>
    <xf numFmtId="0" fontId="17" fillId="10" borderId="41" xfId="2" applyFont="1" applyFill="1" applyBorder="1" applyAlignment="1" applyProtection="1">
      <alignment horizontal="center" vertical="center"/>
      <protection locked="0"/>
    </xf>
    <xf numFmtId="0" fontId="17" fillId="10" borderId="28" xfId="2" applyFont="1" applyFill="1" applyBorder="1" applyAlignment="1" applyProtection="1">
      <alignment horizontal="center" vertical="center"/>
      <protection locked="0"/>
    </xf>
    <xf numFmtId="0" fontId="16" fillId="10" borderId="27" xfId="2" applyFont="1" applyFill="1" applyBorder="1" applyAlignment="1" applyProtection="1">
      <alignment horizontal="center" vertical="center"/>
      <protection locked="0"/>
    </xf>
    <xf numFmtId="0" fontId="16" fillId="10" borderId="41" xfId="2" applyFont="1" applyFill="1" applyBorder="1" applyAlignment="1" applyProtection="1">
      <alignment horizontal="center" vertical="center"/>
      <protection locked="0"/>
    </xf>
    <xf numFmtId="0" fontId="16" fillId="10" borderId="28" xfId="2" applyFont="1" applyFill="1" applyBorder="1" applyAlignment="1" applyProtection="1">
      <alignment horizontal="center" vertical="center"/>
      <protection locked="0"/>
    </xf>
    <xf numFmtId="0" fontId="6" fillId="0" borderId="0" xfId="5" applyAlignment="1" applyProtection="1">
      <alignment horizontal="left"/>
      <protection hidden="1"/>
    </xf>
    <xf numFmtId="0" fontId="6" fillId="0" borderId="0" xfId="5" applyProtection="1">
      <protection hidden="1"/>
    </xf>
    <xf numFmtId="0" fontId="0" fillId="0" borderId="1" xfId="0" applyBorder="1" applyAlignment="1" applyProtection="1">
      <alignment horizontal="center" vertical="center"/>
      <protection locked="0"/>
    </xf>
    <xf numFmtId="171" fontId="0" fillId="0" borderId="0" xfId="0" applyNumberFormat="1"/>
    <xf numFmtId="166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18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49" fontId="12" fillId="10" borderId="27" xfId="2" applyNumberFormat="1" applyFont="1" applyFill="1" applyBorder="1" applyAlignment="1" applyProtection="1">
      <alignment vertical="center"/>
      <protection locked="0"/>
    </xf>
    <xf numFmtId="0" fontId="30" fillId="0" borderId="0" xfId="5" applyFont="1" applyAlignment="1" applyProtection="1">
      <alignment horizontal="center" vertical="center"/>
      <protection hidden="1"/>
    </xf>
    <xf numFmtId="0" fontId="31" fillId="0" borderId="0" xfId="5" applyFont="1" applyProtection="1">
      <protection hidden="1"/>
    </xf>
    <xf numFmtId="0" fontId="23" fillId="0" borderId="0" xfId="5" applyFont="1" applyProtection="1">
      <protection hidden="1"/>
    </xf>
    <xf numFmtId="0" fontId="23" fillId="0" borderId="0" xfId="5" applyFont="1" applyAlignment="1" applyProtection="1">
      <alignment horizontal="left"/>
      <protection hidden="1"/>
    </xf>
    <xf numFmtId="0" fontId="28" fillId="0" borderId="0" xfId="5" applyFont="1" applyProtection="1">
      <protection hidden="1"/>
    </xf>
    <xf numFmtId="0" fontId="32" fillId="0" borderId="0" xfId="5" applyFont="1" applyProtection="1">
      <protection hidden="1"/>
    </xf>
    <xf numFmtId="0" fontId="31" fillId="0" borderId="0" xfId="5" applyFont="1" applyAlignment="1" applyProtection="1">
      <alignment horizontal="left"/>
      <protection hidden="1"/>
    </xf>
    <xf numFmtId="0" fontId="23" fillId="0" borderId="0" xfId="5" applyFont="1" applyAlignment="1" applyProtection="1">
      <alignment wrapText="1"/>
      <protection hidden="1"/>
    </xf>
    <xf numFmtId="0" fontId="32" fillId="0" borderId="0" xfId="5" applyFont="1" applyAlignment="1" applyProtection="1">
      <alignment vertical="center"/>
      <protection hidden="1"/>
    </xf>
    <xf numFmtId="0" fontId="32" fillId="0" borderId="0" xfId="5" applyFont="1" applyAlignment="1" applyProtection="1">
      <alignment vertical="center" wrapText="1"/>
      <protection hidden="1"/>
    </xf>
    <xf numFmtId="0" fontId="32" fillId="0" borderId="0" xfId="5" applyFont="1" applyAlignment="1" applyProtection="1">
      <alignment horizontal="left" vertical="center"/>
      <protection hidden="1"/>
    </xf>
    <xf numFmtId="0" fontId="28" fillId="0" borderId="0" xfId="5" applyFont="1" applyAlignment="1" applyProtection="1">
      <alignment horizontal="left" vertical="center"/>
      <protection hidden="1"/>
    </xf>
    <xf numFmtId="0" fontId="34" fillId="0" borderId="0" xfId="5" applyFont="1" applyAlignment="1" applyProtection="1">
      <alignment vertical="center" wrapText="1"/>
      <protection hidden="1"/>
    </xf>
    <xf numFmtId="0" fontId="28" fillId="0" borderId="0" xfId="5" applyFont="1" applyAlignment="1" applyProtection="1">
      <alignment horizontal="left"/>
      <protection hidden="1"/>
    </xf>
    <xf numFmtId="0" fontId="32" fillId="0" borderId="21" xfId="5" applyFont="1" applyBorder="1" applyAlignment="1" applyProtection="1">
      <alignment vertical="center"/>
      <protection hidden="1"/>
    </xf>
    <xf numFmtId="0" fontId="32" fillId="0" borderId="21" xfId="5" applyFont="1" applyBorder="1" applyAlignment="1" applyProtection="1">
      <alignment horizontal="left" vertical="center"/>
      <protection hidden="1"/>
    </xf>
    <xf numFmtId="0" fontId="23" fillId="0" borderId="21" xfId="5" applyFont="1" applyBorder="1" applyAlignment="1" applyProtection="1">
      <alignment wrapText="1"/>
      <protection hidden="1"/>
    </xf>
    <xf numFmtId="0" fontId="24" fillId="0" borderId="0" xfId="5" applyFont="1" applyAlignment="1" applyProtection="1">
      <alignment horizontal="left"/>
      <protection hidden="1"/>
    </xf>
    <xf numFmtId="0" fontId="35" fillId="0" borderId="0" xfId="5" applyFont="1" applyProtection="1">
      <protection hidden="1"/>
    </xf>
    <xf numFmtId="0" fontId="36" fillId="0" borderId="0" xfId="5" applyFont="1" applyProtection="1">
      <protection hidden="1"/>
    </xf>
    <xf numFmtId="0" fontId="23" fillId="0" borderId="26" xfId="5" applyFont="1" applyBorder="1" applyProtection="1">
      <protection hidden="1"/>
    </xf>
    <xf numFmtId="0" fontId="23" fillId="0" borderId="16" xfId="5" applyFont="1" applyBorder="1" applyProtection="1">
      <protection hidden="1"/>
    </xf>
    <xf numFmtId="0" fontId="23" fillId="0" borderId="16" xfId="5" applyFont="1" applyBorder="1" applyAlignment="1" applyProtection="1">
      <alignment horizontal="left"/>
      <protection hidden="1"/>
    </xf>
    <xf numFmtId="1" fontId="23" fillId="0" borderId="0" xfId="5" applyNumberFormat="1" applyFont="1" applyProtection="1">
      <protection hidden="1"/>
    </xf>
    <xf numFmtId="1" fontId="23" fillId="0" borderId="26" xfId="5" applyNumberFormat="1" applyFont="1" applyBorder="1" applyProtection="1">
      <protection hidden="1"/>
    </xf>
    <xf numFmtId="167" fontId="23" fillId="0" borderId="0" xfId="5" applyNumberFormat="1" applyFont="1" applyProtection="1">
      <protection hidden="1"/>
    </xf>
    <xf numFmtId="177" fontId="37" fillId="0" borderId="16" xfId="5" applyNumberFormat="1" applyFont="1" applyBorder="1" applyProtection="1">
      <protection hidden="1"/>
    </xf>
    <xf numFmtId="177" fontId="37" fillId="0" borderId="0" xfId="5" applyNumberFormat="1" applyFont="1" applyProtection="1">
      <protection hidden="1"/>
    </xf>
    <xf numFmtId="0" fontId="23" fillId="0" borderId="0" xfId="5" applyFont="1" applyAlignment="1" applyProtection="1">
      <alignment horizontal="center"/>
      <protection hidden="1"/>
    </xf>
    <xf numFmtId="0" fontId="23" fillId="0" borderId="21" xfId="5" applyFont="1" applyBorder="1" applyProtection="1">
      <protection hidden="1"/>
    </xf>
    <xf numFmtId="167" fontId="23" fillId="0" borderId="21" xfId="5" applyNumberFormat="1" applyFont="1" applyBorder="1" applyProtection="1">
      <protection hidden="1"/>
    </xf>
    <xf numFmtId="177" fontId="37" fillId="0" borderId="21" xfId="5" applyNumberFormat="1" applyFont="1" applyBorder="1" applyProtection="1">
      <protection hidden="1"/>
    </xf>
    <xf numFmtId="0" fontId="23" fillId="0" borderId="21" xfId="5" applyFont="1" applyBorder="1" applyAlignment="1" applyProtection="1">
      <alignment horizontal="left"/>
      <protection hidden="1"/>
    </xf>
    <xf numFmtId="1" fontId="23" fillId="0" borderId="21" xfId="5" applyNumberFormat="1" applyFont="1" applyBorder="1" applyProtection="1">
      <protection hidden="1"/>
    </xf>
    <xf numFmtId="179" fontId="37" fillId="0" borderId="21" xfId="5" applyNumberFormat="1" applyFont="1" applyBorder="1" applyProtection="1">
      <protection hidden="1"/>
    </xf>
    <xf numFmtId="178" fontId="23" fillId="0" borderId="0" xfId="5" applyNumberFormat="1" applyFont="1" applyProtection="1">
      <protection hidden="1"/>
    </xf>
    <xf numFmtId="179" fontId="37" fillId="0" borderId="0" xfId="5" applyNumberFormat="1" applyFont="1" applyProtection="1">
      <protection hidden="1"/>
    </xf>
    <xf numFmtId="0" fontId="38" fillId="0" borderId="21" xfId="5" applyFont="1" applyBorder="1" applyProtection="1">
      <protection hidden="1"/>
    </xf>
    <xf numFmtId="0" fontId="23" fillId="0" borderId="0" xfId="5" applyFont="1" applyAlignment="1" applyProtection="1">
      <alignment horizontal="center" vertical="center"/>
      <protection hidden="1"/>
    </xf>
    <xf numFmtId="0" fontId="23" fillId="0" borderId="0" xfId="5" applyFont="1" applyAlignment="1" applyProtection="1">
      <alignment horizontal="left" vertical="center" wrapText="1"/>
      <protection hidden="1"/>
    </xf>
    <xf numFmtId="0" fontId="23" fillId="0" borderId="0" xfId="5" applyFont="1" applyAlignment="1" applyProtection="1">
      <alignment vertical="center" wrapText="1"/>
      <protection hidden="1"/>
    </xf>
    <xf numFmtId="0" fontId="23" fillId="0" borderId="0" xfId="5" applyFont="1" applyAlignment="1" applyProtection="1">
      <alignment horizontal="left" wrapText="1"/>
      <protection hidden="1"/>
    </xf>
    <xf numFmtId="0" fontId="28" fillId="0" borderId="0" xfId="5" applyFont="1" applyAlignment="1" applyProtection="1">
      <alignment vertical="center" wrapText="1"/>
      <protection hidden="1"/>
    </xf>
    <xf numFmtId="176" fontId="23" fillId="0" borderId="0" xfId="5" applyNumberFormat="1" applyFont="1" applyAlignment="1" applyProtection="1">
      <alignment vertical="center" wrapText="1"/>
      <protection hidden="1"/>
    </xf>
    <xf numFmtId="0" fontId="23" fillId="0" borderId="0" xfId="5" applyFont="1" applyAlignment="1" applyProtection="1">
      <alignment horizontal="center" vertical="center" wrapText="1"/>
      <protection hidden="1"/>
    </xf>
    <xf numFmtId="176" fontId="23" fillId="0" borderId="0" xfId="5" applyNumberFormat="1" applyFont="1" applyAlignment="1" applyProtection="1">
      <alignment horizontal="center" vertical="center" wrapText="1"/>
      <protection hidden="1"/>
    </xf>
    <xf numFmtId="0" fontId="38" fillId="0" borderId="0" xfId="5" applyFont="1" applyAlignment="1" applyProtection="1">
      <alignment horizontal="left" vertical="top" wrapText="1"/>
      <protection hidden="1"/>
    </xf>
    <xf numFmtId="176" fontId="38" fillId="0" borderId="0" xfId="5" applyNumberFormat="1" applyFont="1" applyAlignment="1" applyProtection="1">
      <alignment horizontal="left" vertical="top" wrapText="1"/>
      <protection hidden="1"/>
    </xf>
    <xf numFmtId="0" fontId="23" fillId="0" borderId="0" xfId="5" applyFont="1" applyAlignment="1" applyProtection="1">
      <alignment horizontal="left" vertical="top" wrapText="1"/>
      <protection hidden="1"/>
    </xf>
    <xf numFmtId="0" fontId="23" fillId="10" borderId="0" xfId="5" applyFont="1" applyFill="1" applyProtection="1">
      <protection hidden="1"/>
    </xf>
    <xf numFmtId="0" fontId="34" fillId="0" borderId="0" xfId="5" applyFont="1" applyAlignment="1" applyProtection="1">
      <alignment vertical="top" wrapText="1"/>
      <protection hidden="1"/>
    </xf>
    <xf numFmtId="0" fontId="23" fillId="0" borderId="0" xfId="5" applyFont="1" applyAlignment="1" applyProtection="1">
      <alignment vertical="top" wrapText="1"/>
      <protection hidden="1"/>
    </xf>
    <xf numFmtId="0" fontId="39" fillId="0" borderId="0" xfId="5" applyFont="1" applyAlignment="1" applyProtection="1">
      <alignment vertical="top" wrapText="1"/>
      <protection hidden="1"/>
    </xf>
    <xf numFmtId="0" fontId="24" fillId="0" borderId="0" xfId="5" applyFont="1" applyProtection="1">
      <protection hidden="1"/>
    </xf>
    <xf numFmtId="0" fontId="24" fillId="0" borderId="0" xfId="5" applyFont="1" applyAlignment="1" applyProtection="1">
      <alignment horizontal="left" vertical="top" wrapText="1"/>
      <protection hidden="1"/>
    </xf>
    <xf numFmtId="176" fontId="23" fillId="0" borderId="0" xfId="5" applyNumberFormat="1" applyFont="1" applyAlignment="1" applyProtection="1">
      <alignment vertical="top" wrapText="1"/>
      <protection hidden="1"/>
    </xf>
    <xf numFmtId="0" fontId="34" fillId="0" borderId="0" xfId="5" applyFont="1" applyProtection="1">
      <protection hidden="1"/>
    </xf>
    <xf numFmtId="0" fontId="28" fillId="0" borderId="0" xfId="5" applyFont="1" applyAlignment="1" applyProtection="1">
      <alignment vertical="center"/>
      <protection hidden="1"/>
    </xf>
    <xf numFmtId="0" fontId="32" fillId="0" borderId="0" xfId="5" applyFont="1" applyAlignment="1" applyProtection="1">
      <alignment horizontal="left"/>
      <protection hidden="1"/>
    </xf>
    <xf numFmtId="167" fontId="31" fillId="0" borderId="0" xfId="5" applyNumberFormat="1" applyFont="1" applyProtection="1">
      <protection hidden="1"/>
    </xf>
    <xf numFmtId="0" fontId="29" fillId="0" borderId="0" xfId="5" applyFont="1" applyAlignment="1" applyProtection="1">
      <alignment horizontal="left"/>
      <protection hidden="1"/>
    </xf>
    <xf numFmtId="167" fontId="24" fillId="0" borderId="0" xfId="0" applyNumberFormat="1" applyFont="1" applyAlignment="1" applyProtection="1">
      <alignment vertical="center" wrapText="1"/>
      <protection hidden="1"/>
    </xf>
    <xf numFmtId="167" fontId="24" fillId="0" borderId="0" xfId="0" applyNumberFormat="1" applyFont="1" applyAlignment="1" applyProtection="1">
      <alignment vertical="center"/>
      <protection hidden="1"/>
    </xf>
    <xf numFmtId="0" fontId="23" fillId="0" borderId="26" xfId="5" applyFont="1" applyBorder="1" applyAlignment="1" applyProtection="1">
      <alignment horizontal="left" vertical="center"/>
      <protection hidden="1"/>
    </xf>
    <xf numFmtId="180" fontId="24" fillId="0" borderId="0" xfId="0" applyNumberFormat="1" applyFont="1" applyProtection="1">
      <protection hidden="1"/>
    </xf>
    <xf numFmtId="0" fontId="23" fillId="0" borderId="16" xfId="5" applyFont="1" applyBorder="1" applyAlignment="1" applyProtection="1">
      <alignment horizontal="left" vertical="center"/>
      <protection hidden="1"/>
    </xf>
    <xf numFmtId="167" fontId="24" fillId="0" borderId="0" xfId="0" applyNumberFormat="1" applyFont="1" applyProtection="1">
      <protection hidden="1"/>
    </xf>
    <xf numFmtId="0" fontId="23" fillId="0" borderId="0" xfId="5" applyFont="1" applyAlignment="1" applyProtection="1">
      <alignment horizontal="left" vertical="center"/>
      <protection hidden="1"/>
    </xf>
    <xf numFmtId="1" fontId="23" fillId="0" borderId="0" xfId="5" applyNumberFormat="1" applyFont="1" applyAlignment="1" applyProtection="1">
      <alignment horizontal="center" vertical="center"/>
      <protection hidden="1"/>
    </xf>
    <xf numFmtId="1" fontId="23" fillId="0" borderId="0" xfId="5" applyNumberFormat="1" applyFont="1" applyAlignment="1" applyProtection="1">
      <alignment horizontal="left" vertical="center"/>
      <protection hidden="1"/>
    </xf>
    <xf numFmtId="167" fontId="23" fillId="0" borderId="0" xfId="5" applyNumberFormat="1" applyFont="1" applyAlignment="1" applyProtection="1">
      <alignment horizontal="center" vertical="center"/>
      <protection hidden="1"/>
    </xf>
    <xf numFmtId="167" fontId="23" fillId="0" borderId="0" xfId="5" applyNumberFormat="1" applyFont="1" applyAlignment="1" applyProtection="1">
      <alignment horizontal="left" vertical="center"/>
      <protection hidden="1"/>
    </xf>
    <xf numFmtId="1" fontId="34" fillId="0" borderId="0" xfId="4" applyNumberFormat="1" applyFont="1" applyFill="1" applyBorder="1" applyAlignment="1" applyProtection="1">
      <alignment horizontal="center" vertical="center" wrapText="1"/>
      <protection hidden="1"/>
    </xf>
    <xf numFmtId="167" fontId="34" fillId="0" borderId="0" xfId="4" applyNumberFormat="1" applyFont="1" applyFill="1" applyBorder="1" applyAlignment="1" applyProtection="1">
      <alignment horizontal="center" vertical="center" wrapText="1"/>
      <protection hidden="1"/>
    </xf>
    <xf numFmtId="165" fontId="34" fillId="0" borderId="0" xfId="4" applyNumberFormat="1" applyFont="1" applyFill="1" applyBorder="1" applyAlignment="1" applyProtection="1">
      <alignment horizontal="center" vertical="center" wrapText="1"/>
      <protection hidden="1"/>
    </xf>
    <xf numFmtId="167" fontId="34" fillId="0" borderId="0" xfId="5" applyNumberFormat="1" applyFont="1" applyAlignment="1" applyProtection="1">
      <alignment horizontal="center" vertical="center" wrapText="1"/>
      <protection hidden="1"/>
    </xf>
    <xf numFmtId="164" fontId="24" fillId="0" borderId="0" xfId="4" applyFont="1" applyFill="1" applyBorder="1" applyAlignment="1" applyProtection="1">
      <alignment horizontal="center" vertical="center" wrapText="1"/>
      <protection hidden="1"/>
    </xf>
    <xf numFmtId="164" fontId="24" fillId="0" borderId="0" xfId="4" applyFont="1" applyFill="1" applyBorder="1" applyAlignment="1" applyProtection="1">
      <alignment vertical="center" wrapText="1"/>
      <protection hidden="1"/>
    </xf>
    <xf numFmtId="0" fontId="24" fillId="0" borderId="0" xfId="5" applyFont="1" applyAlignment="1" applyProtection="1">
      <alignment horizontal="center" vertical="center" wrapText="1"/>
      <protection hidden="1"/>
    </xf>
    <xf numFmtId="1" fontId="34" fillId="0" borderId="0" xfId="4" applyNumberFormat="1" applyFont="1" applyFill="1" applyBorder="1" applyAlignment="1" applyProtection="1">
      <alignment horizontal="center" vertical="center"/>
      <protection hidden="1"/>
    </xf>
    <xf numFmtId="1" fontId="23" fillId="0" borderId="0" xfId="4" applyNumberFormat="1" applyFont="1" applyFill="1" applyBorder="1" applyAlignment="1" applyProtection="1">
      <alignment horizontal="center" vertical="center"/>
      <protection hidden="1"/>
    </xf>
    <xf numFmtId="0" fontId="28" fillId="0" borderId="0" xfId="5" applyFont="1" applyAlignment="1" applyProtection="1">
      <alignment horizontal="left" wrapText="1"/>
      <protection hidden="1"/>
    </xf>
    <xf numFmtId="4" fontId="12" fillId="10" borderId="0" xfId="2" applyNumberFormat="1" applyFont="1" applyFill="1" applyProtection="1">
      <protection hidden="1"/>
    </xf>
    <xf numFmtId="181" fontId="0" fillId="0" borderId="0" xfId="0" applyNumberFormat="1"/>
    <xf numFmtId="0" fontId="1" fillId="2" borderId="0" xfId="0" applyFont="1" applyFill="1" applyAlignment="1">
      <alignment horizontal="left"/>
    </xf>
    <xf numFmtId="0" fontId="41" fillId="0" borderId="0" xfId="0" applyFont="1"/>
    <xf numFmtId="0" fontId="0" fillId="0" borderId="35" xfId="0" applyBorder="1"/>
    <xf numFmtId="0" fontId="0" fillId="0" borderId="2" xfId="0" applyBorder="1" applyAlignment="1">
      <alignment horizontal="center"/>
    </xf>
    <xf numFmtId="0" fontId="0" fillId="0" borderId="35" xfId="0" applyBorder="1" applyAlignment="1">
      <alignment horizontal="left"/>
    </xf>
    <xf numFmtId="181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43" fillId="0" borderId="0" xfId="0" applyFont="1" applyProtection="1">
      <protection locked="0"/>
    </xf>
    <xf numFmtId="166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0" xfId="0" applyFont="1" applyAlignment="1">
      <alignment horizontal="center" wrapText="1"/>
    </xf>
    <xf numFmtId="181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14" xfId="0" applyBorder="1"/>
    <xf numFmtId="0" fontId="0" fillId="0" borderId="16" xfId="0" applyBorder="1"/>
    <xf numFmtId="175" fontId="0" fillId="0" borderId="0" xfId="0" applyNumberFormat="1"/>
    <xf numFmtId="0" fontId="1" fillId="16" borderId="0" xfId="0" applyFont="1" applyFill="1"/>
    <xf numFmtId="0" fontId="1" fillId="6" borderId="14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16" borderId="51" xfId="0" applyFont="1" applyFill="1" applyBorder="1" applyAlignment="1">
      <alignment vertical="center"/>
    </xf>
    <xf numFmtId="0" fontId="1" fillId="16" borderId="50" xfId="0" applyFont="1" applyFill="1" applyBorder="1" applyAlignment="1">
      <alignment vertical="center"/>
    </xf>
    <xf numFmtId="186" fontId="0" fillId="0" borderId="0" xfId="0" applyNumberFormat="1"/>
    <xf numFmtId="182" fontId="0" fillId="0" borderId="14" xfId="0" applyNumberFormat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175" fontId="0" fillId="0" borderId="1" xfId="0" applyNumberFormat="1" applyBorder="1" applyAlignment="1">
      <alignment horizontal="center"/>
    </xf>
    <xf numFmtId="0" fontId="0" fillId="18" borderId="23" xfId="0" applyFill="1" applyBorder="1"/>
    <xf numFmtId="0" fontId="0" fillId="10" borderId="26" xfId="0" applyFill="1" applyBorder="1"/>
    <xf numFmtId="0" fontId="0" fillId="10" borderId="0" xfId="0" applyFill="1"/>
    <xf numFmtId="0" fontId="0" fillId="18" borderId="0" xfId="0" applyFill="1"/>
    <xf numFmtId="0" fontId="0" fillId="10" borderId="24" xfId="0" applyFill="1" applyBorder="1"/>
    <xf numFmtId="0" fontId="0" fillId="10" borderId="23" xfId="0" applyFill="1" applyBorder="1"/>
    <xf numFmtId="0" fontId="0" fillId="10" borderId="30" xfId="0" applyFill="1" applyBorder="1" applyProtection="1">
      <protection locked="0"/>
    </xf>
    <xf numFmtId="0" fontId="0" fillId="18" borderId="1" xfId="0" applyFill="1" applyBorder="1" applyAlignment="1">
      <alignment horizontal="center"/>
    </xf>
    <xf numFmtId="0" fontId="0" fillId="10" borderId="24" xfId="0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1" fontId="0" fillId="18" borderId="30" xfId="0" applyNumberFormat="1" applyFill="1" applyBorder="1" applyAlignment="1">
      <alignment horizontal="center"/>
    </xf>
    <xf numFmtId="2" fontId="0" fillId="10" borderId="24" xfId="0" applyNumberFormat="1" applyFill="1" applyBorder="1" applyAlignment="1">
      <alignment horizontal="center"/>
    </xf>
    <xf numFmtId="11" fontId="0" fillId="10" borderId="24" xfId="0" applyNumberFormat="1" applyFill="1" applyBorder="1" applyAlignment="1">
      <alignment horizontal="center"/>
    </xf>
    <xf numFmtId="0" fontId="0" fillId="10" borderId="20" xfId="0" applyFill="1" applyBorder="1"/>
    <xf numFmtId="0" fontId="0" fillId="10" borderId="21" xfId="0" applyFill="1" applyBorder="1"/>
    <xf numFmtId="0" fontId="0" fillId="10" borderId="22" xfId="0" applyFill="1" applyBorder="1"/>
    <xf numFmtId="14" fontId="44" fillId="18" borderId="1" xfId="0" applyNumberFormat="1" applyFont="1" applyFill="1" applyBorder="1"/>
    <xf numFmtId="14" fontId="0" fillId="18" borderId="1" xfId="0" applyNumberFormat="1" applyFill="1" applyBorder="1"/>
    <xf numFmtId="2" fontId="0" fillId="16" borderId="1" xfId="0" applyNumberFormat="1" applyFill="1" applyBorder="1" applyAlignment="1" applyProtection="1">
      <alignment horizontal="center"/>
      <protection locked="0"/>
    </xf>
    <xf numFmtId="166" fontId="0" fillId="16" borderId="1" xfId="0" applyNumberFormat="1" applyFill="1" applyBorder="1" applyAlignment="1" applyProtection="1">
      <alignment horizontal="center"/>
      <protection locked="0"/>
    </xf>
    <xf numFmtId="0" fontId="0" fillId="16" borderId="1" xfId="0" applyFill="1" applyBorder="1" applyAlignment="1" applyProtection="1">
      <alignment horizontal="center"/>
      <protection locked="0"/>
    </xf>
    <xf numFmtId="165" fontId="0" fillId="16" borderId="1" xfId="0" applyNumberFormat="1" applyFill="1" applyBorder="1" applyAlignment="1" applyProtection="1">
      <alignment horizontal="center"/>
      <protection locked="0"/>
    </xf>
    <xf numFmtId="167" fontId="0" fillId="16" borderId="1" xfId="0" applyNumberFormat="1" applyFill="1" applyBorder="1" applyAlignment="1" applyProtection="1">
      <alignment horizontal="center"/>
      <protection locked="0"/>
    </xf>
    <xf numFmtId="0" fontId="0" fillId="18" borderId="1" xfId="0" applyFill="1" applyBorder="1"/>
    <xf numFmtId="175" fontId="0" fillId="16" borderId="1" xfId="0" applyNumberFormat="1" applyFill="1" applyBorder="1" applyAlignment="1" applyProtection="1">
      <alignment horizontal="center"/>
      <protection locked="0"/>
    </xf>
    <xf numFmtId="49" fontId="0" fillId="0" borderId="3" xfId="0" applyNumberFormat="1" applyBorder="1" applyAlignment="1">
      <alignment horizontal="center"/>
    </xf>
    <xf numFmtId="0" fontId="1" fillId="0" borderId="20" xfId="0" applyFont="1" applyBorder="1" applyAlignment="1">
      <alignment vertical="center"/>
    </xf>
    <xf numFmtId="0" fontId="1" fillId="6" borderId="23" xfId="0" applyFont="1" applyFill="1" applyBorder="1" applyAlignment="1">
      <alignment vertical="center"/>
    </xf>
    <xf numFmtId="0" fontId="1" fillId="6" borderId="0" xfId="0" applyFont="1" applyFill="1" applyAlignment="1">
      <alignment vertical="center"/>
    </xf>
    <xf numFmtId="175" fontId="0" fillId="16" borderId="14" xfId="0" applyNumberFormat="1" applyFill="1" applyBorder="1" applyAlignment="1" applyProtection="1">
      <alignment horizontal="center"/>
      <protection locked="0"/>
    </xf>
    <xf numFmtId="167" fontId="0" fillId="16" borderId="14" xfId="0" applyNumberFormat="1" applyFill="1" applyBorder="1" applyAlignment="1" applyProtection="1">
      <alignment horizontal="center"/>
      <protection locked="0"/>
    </xf>
    <xf numFmtId="166" fontId="0" fillId="16" borderId="14" xfId="0" applyNumberFormat="1" applyFill="1" applyBorder="1" applyAlignment="1" applyProtection="1">
      <alignment horizontal="center"/>
      <protection locked="0"/>
    </xf>
    <xf numFmtId="165" fontId="0" fillId="16" borderId="14" xfId="0" applyNumberFormat="1" applyFill="1" applyBorder="1" applyAlignment="1" applyProtection="1">
      <alignment horizontal="center"/>
      <protection locked="0"/>
    </xf>
    <xf numFmtId="166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165" fontId="0" fillId="0" borderId="0" xfId="0" applyNumberFormat="1" applyAlignment="1" applyProtection="1">
      <alignment horizontal="center"/>
      <protection locked="0"/>
    </xf>
    <xf numFmtId="0" fontId="1" fillId="0" borderId="25" xfId="0" applyFont="1" applyBorder="1" applyAlignment="1">
      <alignment vertical="center"/>
    </xf>
    <xf numFmtId="0" fontId="0" fillId="0" borderId="25" xfId="0" applyBorder="1"/>
    <xf numFmtId="166" fontId="0" fillId="0" borderId="25" xfId="0" applyNumberFormat="1" applyBorder="1" applyAlignment="1">
      <alignment horizontal="center"/>
    </xf>
    <xf numFmtId="166" fontId="0" fillId="0" borderId="25" xfId="0" applyNumberFormat="1" applyBorder="1" applyAlignment="1" applyProtection="1">
      <alignment horizontal="center"/>
      <protection locked="0"/>
    </xf>
    <xf numFmtId="2" fontId="0" fillId="0" borderId="25" xfId="0" applyNumberFormat="1" applyBorder="1" applyAlignment="1" applyProtection="1">
      <alignment horizontal="center"/>
      <protection locked="0"/>
    </xf>
    <xf numFmtId="0" fontId="0" fillId="0" borderId="36" xfId="0" applyBorder="1"/>
    <xf numFmtId="0" fontId="0" fillId="0" borderId="26" xfId="0" applyBorder="1"/>
    <xf numFmtId="0" fontId="1" fillId="6" borderId="14" xfId="0" applyFont="1" applyFill="1" applyBorder="1" applyAlignment="1">
      <alignment wrapText="1"/>
    </xf>
    <xf numFmtId="0" fontId="1" fillId="6" borderId="16" xfId="0" applyFont="1" applyFill="1" applyBorder="1"/>
    <xf numFmtId="0" fontId="1" fillId="6" borderId="15" xfId="0" applyFont="1" applyFill="1" applyBorder="1"/>
    <xf numFmtId="0" fontId="1" fillId="6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186" fontId="1" fillId="6" borderId="0" xfId="0" applyNumberFormat="1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0" fontId="3" fillId="0" borderId="14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1" fillId="16" borderId="57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16" xfId="0" applyFont="1" applyBorder="1" applyAlignment="1">
      <alignment vertical="center"/>
    </xf>
    <xf numFmtId="2" fontId="0" fillId="0" borderId="3" xfId="0" applyNumberFormat="1" applyBorder="1" applyAlignment="1">
      <alignment horizontal="center" vertical="center"/>
    </xf>
    <xf numFmtId="0" fontId="1" fillId="6" borderId="16" xfId="0" applyFont="1" applyFill="1" applyBorder="1" applyAlignment="1">
      <alignment wrapText="1"/>
    </xf>
    <xf numFmtId="0" fontId="1" fillId="8" borderId="14" xfId="0" applyFont="1" applyFill="1" applyBorder="1" applyAlignment="1">
      <alignment horizontal="center"/>
    </xf>
    <xf numFmtId="0" fontId="0" fillId="0" borderId="43" xfId="0" applyBorder="1"/>
    <xf numFmtId="0" fontId="0" fillId="0" borderId="12" xfId="0" applyBorder="1"/>
    <xf numFmtId="0" fontId="1" fillId="0" borderId="25" xfId="0" applyFont="1" applyBorder="1" applyAlignment="1">
      <alignment horizontal="center"/>
    </xf>
    <xf numFmtId="165" fontId="0" fillId="0" borderId="25" xfId="0" applyNumberFormat="1" applyBorder="1" applyAlignment="1" applyProtection="1">
      <alignment horizontal="center"/>
      <protection locked="0"/>
    </xf>
    <xf numFmtId="2" fontId="0" fillId="0" borderId="42" xfId="0" applyNumberFormat="1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2" fontId="45" fillId="10" borderId="1" xfId="0" applyNumberFormat="1" applyFont="1" applyFill="1" applyBorder="1" applyAlignment="1">
      <alignment horizontal="center"/>
    </xf>
    <xf numFmtId="166" fontId="45" fillId="10" borderId="1" xfId="0" applyNumberFormat="1" applyFont="1" applyFill="1" applyBorder="1" applyAlignment="1">
      <alignment horizontal="center"/>
    </xf>
    <xf numFmtId="175" fontId="45" fillId="10" borderId="1" xfId="0" applyNumberFormat="1" applyFont="1" applyFill="1" applyBorder="1" applyAlignment="1">
      <alignment horizontal="center"/>
    </xf>
    <xf numFmtId="175" fontId="45" fillId="10" borderId="14" xfId="0" applyNumberFormat="1" applyFont="1" applyFill="1" applyBorder="1" applyAlignment="1">
      <alignment horizontal="center"/>
    </xf>
    <xf numFmtId="182" fontId="0" fillId="16" borderId="1" xfId="0" applyNumberFormat="1" applyFill="1" applyBorder="1" applyAlignment="1" applyProtection="1">
      <alignment horizontal="center"/>
      <protection locked="0"/>
    </xf>
    <xf numFmtId="181" fontId="0" fillId="16" borderId="1" xfId="0" applyNumberFormat="1" applyFill="1" applyBorder="1" applyAlignment="1" applyProtection="1">
      <alignment horizontal="center"/>
      <protection locked="0"/>
    </xf>
    <xf numFmtId="0" fontId="0" fillId="19" borderId="0" xfId="0" applyFill="1"/>
    <xf numFmtId="188" fontId="0" fillId="0" borderId="1" xfId="0" applyNumberFormat="1" applyBorder="1" applyAlignment="1">
      <alignment horizontal="center"/>
    </xf>
    <xf numFmtId="188" fontId="0" fillId="6" borderId="1" xfId="0" applyNumberFormat="1" applyFill="1" applyBorder="1" applyAlignment="1">
      <alignment horizontal="center"/>
    </xf>
    <xf numFmtId="0" fontId="13" fillId="11" borderId="1" xfId="2" applyFont="1" applyFill="1" applyBorder="1" applyAlignment="1" applyProtection="1">
      <alignment vertical="center"/>
      <protection hidden="1"/>
    </xf>
    <xf numFmtId="176" fontId="12" fillId="10" borderId="1" xfId="2" applyNumberFormat="1" applyFont="1" applyFill="1" applyBorder="1" applyAlignment="1" applyProtection="1">
      <alignment vertical="center"/>
      <protection hidden="1"/>
    </xf>
    <xf numFmtId="165" fontId="0" fillId="2" borderId="1" xfId="0" applyNumberFormat="1" applyFill="1" applyBorder="1" applyAlignment="1">
      <alignment horizontal="center"/>
    </xf>
    <xf numFmtId="182" fontId="0" fillId="0" borderId="0" xfId="0" applyNumberFormat="1" applyAlignment="1">
      <alignment horizontal="center"/>
    </xf>
    <xf numFmtId="166" fontId="0" fillId="0" borderId="3" xfId="0" applyNumberFormat="1" applyBorder="1" applyAlignment="1">
      <alignment horizontal="center" vertical="center"/>
    </xf>
    <xf numFmtId="183" fontId="46" fillId="0" borderId="28" xfId="0" applyNumberFormat="1" applyFont="1" applyBorder="1"/>
    <xf numFmtId="176" fontId="12" fillId="0" borderId="1" xfId="0" applyNumberFormat="1" applyFont="1" applyBorder="1" applyAlignment="1" applyProtection="1">
      <alignment horizontal="left"/>
      <protection locked="0"/>
    </xf>
    <xf numFmtId="176" fontId="12" fillId="10" borderId="1" xfId="0" applyNumberFormat="1" applyFont="1" applyFill="1" applyBorder="1" applyAlignment="1" applyProtection="1">
      <alignment horizontal="left"/>
      <protection locked="0"/>
    </xf>
    <xf numFmtId="176" fontId="12" fillId="15" borderId="1" xfId="0" applyNumberFormat="1" applyFont="1" applyFill="1" applyBorder="1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 wrapText="1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quotePrefix="1" applyProtection="1">
      <protection locked="0"/>
    </xf>
    <xf numFmtId="166" fontId="0" fillId="0" borderId="0" xfId="0" applyNumberFormat="1" applyProtection="1">
      <protection locked="0"/>
    </xf>
    <xf numFmtId="0" fontId="13" fillId="11" borderId="14" xfId="2" applyFont="1" applyFill="1" applyBorder="1" applyAlignment="1" applyProtection="1">
      <alignment vertical="center"/>
      <protection hidden="1"/>
    </xf>
    <xf numFmtId="49" fontId="0" fillId="0" borderId="0" xfId="0" applyNumberFormat="1" applyAlignment="1">
      <alignment horizontal="center"/>
    </xf>
    <xf numFmtId="0" fontId="0" fillId="0" borderId="2" xfId="0" applyBorder="1" applyAlignment="1">
      <alignment horizontal="center" wrapText="1"/>
    </xf>
    <xf numFmtId="49" fontId="0" fillId="0" borderId="15" xfId="0" applyNumberFormat="1" applyBorder="1"/>
    <xf numFmtId="165" fontId="0" fillId="0" borderId="3" xfId="0" applyNumberFormat="1" applyBorder="1" applyAlignment="1">
      <alignment horizontal="center" vertical="center"/>
    </xf>
    <xf numFmtId="0" fontId="23" fillId="0" borderId="0" xfId="5" applyFont="1" applyAlignment="1" applyProtection="1">
      <alignment vertical="center"/>
      <protection hidden="1"/>
    </xf>
    <xf numFmtId="0" fontId="0" fillId="0" borderId="0" xfId="0" applyAlignment="1">
      <alignment vertical="center"/>
    </xf>
    <xf numFmtId="0" fontId="41" fillId="0" borderId="0" xfId="0" applyFont="1" applyAlignment="1">
      <alignment vertical="center"/>
    </xf>
    <xf numFmtId="0" fontId="47" fillId="8" borderId="0" xfId="0" applyFont="1" applyFill="1" applyAlignment="1">
      <alignment horizontal="center"/>
    </xf>
    <xf numFmtId="0" fontId="44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166" fontId="0" fillId="10" borderId="1" xfId="0" applyNumberFormat="1" applyFill="1" applyBorder="1" applyAlignment="1" applyProtection="1">
      <alignment horizontal="center"/>
      <protection locked="0"/>
    </xf>
    <xf numFmtId="165" fontId="45" fillId="10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87" fontId="0" fillId="0" borderId="1" xfId="0" applyNumberFormat="1" applyBorder="1" applyAlignment="1">
      <alignment horizontal="center"/>
    </xf>
    <xf numFmtId="14" fontId="0" fillId="0" borderId="0" xfId="0" applyNumberFormat="1" applyProtection="1">
      <protection locked="0"/>
    </xf>
    <xf numFmtId="14" fontId="9" fillId="0" borderId="0" xfId="0" applyNumberFormat="1" applyFont="1"/>
    <xf numFmtId="187" fontId="0" fillId="0" borderId="0" xfId="0" applyNumberFormat="1" applyAlignment="1">
      <alignment horizontal="center"/>
    </xf>
    <xf numFmtId="0" fontId="12" fillId="10" borderId="1" xfId="2" applyFont="1" applyFill="1" applyBorder="1" applyAlignment="1" applyProtection="1">
      <alignment horizontal="center" vertical="center"/>
      <protection hidden="1"/>
    </xf>
    <xf numFmtId="0" fontId="2" fillId="11" borderId="15" xfId="2" applyFont="1" applyFill="1" applyBorder="1" applyAlignment="1">
      <alignment horizontal="center" vertical="center"/>
    </xf>
    <xf numFmtId="0" fontId="2" fillId="11" borderId="16" xfId="2" applyFont="1" applyFill="1" applyBorder="1" applyAlignment="1">
      <alignment horizontal="center" vertical="center"/>
    </xf>
    <xf numFmtId="0" fontId="12" fillId="11" borderId="46" xfId="2" applyFont="1" applyFill="1" applyBorder="1" applyAlignment="1">
      <alignment horizontal="center" vertical="center"/>
    </xf>
    <xf numFmtId="0" fontId="2" fillId="11" borderId="36" xfId="2" applyFont="1" applyFill="1" applyBorder="1" applyAlignment="1">
      <alignment horizontal="center" vertical="center"/>
    </xf>
    <xf numFmtId="0" fontId="0" fillId="11" borderId="15" xfId="0" applyFill="1" applyBorder="1"/>
    <xf numFmtId="0" fontId="0" fillId="10" borderId="0" xfId="0" applyFill="1" applyAlignment="1">
      <alignment horizontal="center"/>
    </xf>
    <xf numFmtId="0" fontId="0" fillId="10" borderId="32" xfId="0" applyFill="1" applyBorder="1"/>
    <xf numFmtId="0" fontId="0" fillId="10" borderId="33" xfId="0" applyFill="1" applyBorder="1"/>
    <xf numFmtId="0" fontId="0" fillId="10" borderId="34" xfId="0" applyFill="1" applyBorder="1"/>
    <xf numFmtId="0" fontId="1" fillId="2" borderId="29" xfId="0" applyFont="1" applyFill="1" applyBorder="1"/>
    <xf numFmtId="0" fontId="1" fillId="2" borderId="11" xfId="0" applyFont="1" applyFill="1" applyBorder="1"/>
    <xf numFmtId="0" fontId="0" fillId="12" borderId="1" xfId="0" applyFill="1" applyBorder="1" applyAlignment="1">
      <alignment horizontal="center"/>
    </xf>
    <xf numFmtId="0" fontId="12" fillId="10" borderId="0" xfId="2" applyFont="1" applyFill="1" applyAlignment="1" applyProtection="1">
      <alignment horizontal="center" vertical="center" wrapText="1"/>
      <protection hidden="1"/>
    </xf>
    <xf numFmtId="165" fontId="0" fillId="0" borderId="1" xfId="0" applyNumberFormat="1" applyBorder="1"/>
    <xf numFmtId="1" fontId="0" fillId="16" borderId="1" xfId="0" applyNumberFormat="1" applyFill="1" applyBorder="1" applyAlignment="1" applyProtection="1">
      <alignment horizontal="center"/>
      <protection locked="0"/>
    </xf>
    <xf numFmtId="171" fontId="0" fillId="16" borderId="1" xfId="0" applyNumberFormat="1" applyFill="1" applyBorder="1" applyAlignment="1" applyProtection="1">
      <alignment horizontal="center"/>
      <protection locked="0"/>
    </xf>
    <xf numFmtId="182" fontId="0" fillId="0" borderId="1" xfId="0" applyNumberFormat="1" applyBorder="1" applyAlignment="1">
      <alignment horizontal="center"/>
    </xf>
    <xf numFmtId="0" fontId="48" fillId="0" borderId="0" xfId="5" applyFont="1" applyAlignment="1">
      <alignment horizontal="center" vertical="center" wrapText="1"/>
    </xf>
    <xf numFmtId="0" fontId="49" fillId="0" borderId="0" xfId="5" applyFont="1" applyAlignment="1">
      <alignment horizontal="center" vertical="center" wrapText="1"/>
    </xf>
    <xf numFmtId="0" fontId="50" fillId="0" borderId="0" xfId="5" applyFont="1" applyAlignment="1">
      <alignment horizontal="right" vertical="center" wrapText="1"/>
    </xf>
    <xf numFmtId="0" fontId="50" fillId="0" borderId="0" xfId="5" applyFont="1" applyAlignment="1">
      <alignment vertical="center" wrapText="1"/>
    </xf>
    <xf numFmtId="0" fontId="51" fillId="20" borderId="0" xfId="5" applyFont="1" applyFill="1" applyAlignment="1">
      <alignment horizontal="center" vertical="top"/>
    </xf>
    <xf numFmtId="0" fontId="51" fillId="0" borderId="0" xfId="5" applyFont="1" applyAlignment="1">
      <alignment horizontal="center" vertical="top"/>
    </xf>
    <xf numFmtId="0" fontId="52" fillId="0" borderId="0" xfId="5" applyFont="1" applyAlignment="1">
      <alignment horizontal="right" vertical="top"/>
    </xf>
    <xf numFmtId="0" fontId="52" fillId="0" borderId="0" xfId="5" applyFont="1" applyAlignment="1">
      <alignment vertical="top"/>
    </xf>
    <xf numFmtId="0" fontId="12" fillId="0" borderId="0" xfId="0" applyFont="1" applyAlignment="1">
      <alignment vertical="top"/>
    </xf>
    <xf numFmtId="0" fontId="6" fillId="0" borderId="0" xfId="5"/>
    <xf numFmtId="0" fontId="10" fillId="0" borderId="0" xfId="5" applyFont="1"/>
    <xf numFmtId="0" fontId="12" fillId="0" borderId="0" xfId="0" applyFont="1" applyAlignment="1">
      <alignment horizontal="left" vertical="top" wrapText="1"/>
    </xf>
    <xf numFmtId="0" fontId="41" fillId="0" borderId="0" xfId="5" applyFont="1"/>
    <xf numFmtId="0" fontId="53" fillId="0" borderId="0" xfId="0" applyFont="1" applyAlignment="1">
      <alignment horizontal="center"/>
    </xf>
    <xf numFmtId="167" fontId="53" fillId="0" borderId="0" xfId="0" applyNumberFormat="1" applyFont="1" applyAlignment="1">
      <alignment horizontal="center"/>
    </xf>
    <xf numFmtId="165" fontId="53" fillId="0" borderId="0" xfId="0" applyNumberFormat="1" applyFont="1" applyAlignment="1">
      <alignment horizontal="center" vertical="center"/>
    </xf>
    <xf numFmtId="0" fontId="0" fillId="2" borderId="58" xfId="0" applyFill="1" applyBorder="1" applyAlignment="1">
      <alignment horizontal="center"/>
    </xf>
    <xf numFmtId="0" fontId="0" fillId="2" borderId="59" xfId="0" applyFill="1" applyBorder="1" applyAlignment="1">
      <alignment horizontal="center"/>
    </xf>
    <xf numFmtId="0" fontId="0" fillId="2" borderId="60" xfId="0" applyFill="1" applyBorder="1" applyAlignment="1">
      <alignment horizontal="center"/>
    </xf>
    <xf numFmtId="176" fontId="0" fillId="12" borderId="1" xfId="0" applyNumberFormat="1" applyFill="1" applyBorder="1"/>
    <xf numFmtId="0" fontId="1" fillId="8" borderId="1" xfId="5" applyFont="1" applyFill="1" applyBorder="1" applyAlignment="1">
      <alignment horizontal="center" vertical="center" wrapText="1"/>
    </xf>
    <xf numFmtId="182" fontId="25" fillId="10" borderId="1" xfId="0" applyNumberFormat="1" applyFont="1" applyFill="1" applyBorder="1" applyAlignment="1">
      <alignment horizontal="right" vertical="center"/>
    </xf>
    <xf numFmtId="182" fontId="25" fillId="4" borderId="1" xfId="0" applyNumberFormat="1" applyFont="1" applyFill="1" applyBorder="1" applyAlignment="1">
      <alignment horizontal="right" vertical="center"/>
    </xf>
    <xf numFmtId="182" fontId="25" fillId="0" borderId="1" xfId="0" applyNumberFormat="1" applyFont="1" applyBorder="1" applyAlignment="1">
      <alignment horizontal="right" vertical="center"/>
    </xf>
    <xf numFmtId="182" fontId="27" fillId="0" borderId="1" xfId="0" applyNumberFormat="1" applyFont="1" applyBorder="1" applyAlignment="1">
      <alignment horizontal="right" vertical="center"/>
    </xf>
    <xf numFmtId="182" fontId="26" fillId="0" borderId="1" xfId="0" applyNumberFormat="1" applyFont="1" applyBorder="1" applyAlignment="1">
      <alignment horizontal="right" vertical="center"/>
    </xf>
    <xf numFmtId="182" fontId="27" fillId="0" borderId="14" xfId="0" applyNumberFormat="1" applyFont="1" applyBorder="1" applyAlignment="1">
      <alignment horizontal="right" vertical="center"/>
    </xf>
    <xf numFmtId="182" fontId="26" fillId="0" borderId="1" xfId="0" applyNumberFormat="1" applyFont="1" applyBorder="1" applyAlignment="1">
      <alignment horizontal="right"/>
    </xf>
    <xf numFmtId="182" fontId="0" fillId="0" borderId="1" xfId="0" applyNumberFormat="1" applyBorder="1" applyAlignment="1">
      <alignment horizontal="right"/>
    </xf>
    <xf numFmtId="182" fontId="27" fillId="0" borderId="14" xfId="0" quotePrefix="1" applyNumberFormat="1" applyFont="1" applyBorder="1" applyAlignment="1">
      <alignment horizontal="right" vertical="center"/>
    </xf>
    <xf numFmtId="182" fontId="27" fillId="0" borderId="1" xfId="0" quotePrefix="1" applyNumberFormat="1" applyFont="1" applyBorder="1" applyAlignment="1">
      <alignment horizontal="right" vertical="center"/>
    </xf>
    <xf numFmtId="182" fontId="25" fillId="4" borderId="1" xfId="0" applyNumberFormat="1" applyFont="1" applyFill="1" applyBorder="1" applyAlignment="1">
      <alignment horizontal="right" vertical="center" wrapText="1"/>
    </xf>
    <xf numFmtId="182" fontId="26" fillId="0" borderId="1" xfId="0" quotePrefix="1" applyNumberFormat="1" applyFont="1" applyBorder="1" applyAlignment="1">
      <alignment horizontal="right"/>
    </xf>
    <xf numFmtId="182" fontId="25" fillId="0" borderId="1" xfId="0" quotePrefix="1" applyNumberFormat="1" applyFont="1" applyBorder="1" applyAlignment="1">
      <alignment horizontal="right" vertical="center"/>
    </xf>
    <xf numFmtId="182" fontId="26" fillId="0" borderId="1" xfId="0" quotePrefix="1" applyNumberFormat="1" applyFont="1" applyBorder="1" applyAlignment="1">
      <alignment horizontal="right" vertical="center"/>
    </xf>
    <xf numFmtId="182" fontId="25" fillId="10" borderId="2" xfId="0" applyNumberFormat="1" applyFont="1" applyFill="1" applyBorder="1" applyAlignment="1">
      <alignment horizontal="right" vertical="center"/>
    </xf>
    <xf numFmtId="182" fontId="25" fillId="0" borderId="2" xfId="0" quotePrefix="1" applyNumberFormat="1" applyFont="1" applyBorder="1" applyAlignment="1">
      <alignment horizontal="right" vertical="center"/>
    </xf>
    <xf numFmtId="182" fontId="25" fillId="0" borderId="2" xfId="0" applyNumberFormat="1" applyFont="1" applyBorder="1" applyAlignment="1">
      <alignment horizontal="right" vertical="center"/>
    </xf>
    <xf numFmtId="182" fontId="27" fillId="0" borderId="2" xfId="0" quotePrefix="1" applyNumberFormat="1" applyFont="1" applyBorder="1" applyAlignment="1">
      <alignment horizontal="right" vertical="center"/>
    </xf>
    <xf numFmtId="182" fontId="26" fillId="0" borderId="2" xfId="0" applyNumberFormat="1" applyFont="1" applyBorder="1" applyAlignment="1">
      <alignment horizontal="right" vertical="center"/>
    </xf>
    <xf numFmtId="182" fontId="27" fillId="0" borderId="2" xfId="0" applyNumberFormat="1" applyFont="1" applyBorder="1" applyAlignment="1">
      <alignment horizontal="right" vertical="center"/>
    </xf>
    <xf numFmtId="182" fontId="26" fillId="0" borderId="2" xfId="0" applyNumberFormat="1" applyFont="1" applyBorder="1" applyAlignment="1">
      <alignment horizontal="right"/>
    </xf>
    <xf numFmtId="0" fontId="1" fillId="2" borderId="0" xfId="0" applyFont="1" applyFill="1" applyAlignment="1">
      <alignment horizontal="right"/>
    </xf>
    <xf numFmtId="0" fontId="9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2" fontId="53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8" fillId="0" borderId="0" xfId="5" applyFont="1" applyAlignment="1" applyProtection="1">
      <alignment horizontal="center"/>
      <protection hidden="1"/>
    </xf>
    <xf numFmtId="0" fontId="29" fillId="0" borderId="0" xfId="5" applyFont="1" applyAlignment="1" applyProtection="1">
      <alignment horizontal="center" vertical="center"/>
      <protection hidden="1"/>
    </xf>
    <xf numFmtId="0" fontId="28" fillId="0" borderId="0" xfId="5" applyFont="1" applyAlignment="1" applyProtection="1">
      <alignment horizontal="left"/>
      <protection hidden="1"/>
    </xf>
    <xf numFmtId="0" fontId="23" fillId="0" borderId="0" xfId="5" applyFont="1" applyAlignment="1" applyProtection="1">
      <alignment horizontal="left"/>
      <protection hidden="1"/>
    </xf>
    <xf numFmtId="0" fontId="29" fillId="0" borderId="0" xfId="5" applyFont="1" applyAlignment="1" applyProtection="1">
      <alignment horizontal="left"/>
      <protection hidden="1"/>
    </xf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left" wrapText="1"/>
    </xf>
    <xf numFmtId="0" fontId="1" fillId="8" borderId="7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40" xfId="0" applyFont="1" applyFill="1" applyBorder="1" applyAlignment="1">
      <alignment horizontal="center"/>
    </xf>
    <xf numFmtId="0" fontId="1" fillId="8" borderId="39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34" fillId="0" borderId="0" xfId="5" applyFont="1" applyAlignment="1" applyProtection="1">
      <alignment horizontal="left" vertical="center" wrapText="1"/>
      <protection hidden="1"/>
    </xf>
    <xf numFmtId="0" fontId="23" fillId="0" borderId="0" xfId="5" applyFont="1" applyAlignment="1" applyProtection="1">
      <alignment horizontal="left" vertical="center"/>
      <protection hidden="1"/>
    </xf>
    <xf numFmtId="176" fontId="23" fillId="0" borderId="0" xfId="5" applyNumberFormat="1" applyFont="1" applyAlignment="1" applyProtection="1">
      <alignment horizontal="left"/>
      <protection hidden="1"/>
    </xf>
    <xf numFmtId="1" fontId="23" fillId="0" borderId="0" xfId="5" applyNumberFormat="1" applyFont="1" applyAlignment="1" applyProtection="1">
      <alignment horizontal="left"/>
      <protection hidden="1"/>
    </xf>
    <xf numFmtId="0" fontId="33" fillId="0" borderId="0" xfId="5" applyFont="1" applyAlignment="1" applyProtection="1">
      <alignment horizontal="left"/>
      <protection hidden="1"/>
    </xf>
    <xf numFmtId="0" fontId="23" fillId="0" borderId="0" xfId="5" applyFont="1" applyProtection="1">
      <protection hidden="1"/>
    </xf>
    <xf numFmtId="0" fontId="34" fillId="0" borderId="0" xfId="5" applyFont="1" applyAlignment="1" applyProtection="1">
      <alignment horizontal="left" wrapText="1"/>
      <protection hidden="1"/>
    </xf>
    <xf numFmtId="1" fontId="23" fillId="0" borderId="26" xfId="5" applyNumberFormat="1" applyFont="1" applyBorder="1" applyAlignment="1" applyProtection="1">
      <alignment horizontal="center"/>
      <protection hidden="1"/>
    </xf>
    <xf numFmtId="0" fontId="28" fillId="0" borderId="0" xfId="5" applyFont="1" applyAlignment="1" applyProtection="1">
      <alignment horizontal="left" vertical="center"/>
      <protection hidden="1"/>
    </xf>
    <xf numFmtId="0" fontId="24" fillId="0" borderId="0" xfId="5" applyFont="1" applyAlignment="1" applyProtection="1">
      <alignment horizontal="left"/>
      <protection hidden="1"/>
    </xf>
    <xf numFmtId="0" fontId="29" fillId="0" borderId="26" xfId="5" applyFont="1" applyBorder="1" applyAlignment="1" applyProtection="1">
      <alignment horizontal="left"/>
      <protection hidden="1"/>
    </xf>
    <xf numFmtId="0" fontId="23" fillId="0" borderId="16" xfId="5" applyFont="1" applyBorder="1" applyAlignment="1" applyProtection="1">
      <alignment horizontal="left"/>
      <protection hidden="1"/>
    </xf>
    <xf numFmtId="0" fontId="23" fillId="0" borderId="26" xfId="5" applyFont="1" applyBorder="1" applyAlignment="1" applyProtection="1">
      <alignment horizontal="center"/>
      <protection hidden="1"/>
    </xf>
    <xf numFmtId="1" fontId="23" fillId="0" borderId="26" xfId="5" applyNumberFormat="1" applyFont="1" applyBorder="1" applyAlignment="1" applyProtection="1">
      <alignment horizontal="center" vertical="center"/>
      <protection hidden="1"/>
    </xf>
    <xf numFmtId="0" fontId="23" fillId="0" borderId="26" xfId="5" applyFont="1" applyBorder="1" applyAlignment="1" applyProtection="1">
      <alignment horizontal="left"/>
      <protection hidden="1"/>
    </xf>
    <xf numFmtId="0" fontId="23" fillId="0" borderId="0" xfId="5" applyFont="1" applyAlignment="1" applyProtection="1">
      <alignment horizontal="left" vertical="center" wrapText="1"/>
      <protection hidden="1"/>
    </xf>
    <xf numFmtId="0" fontId="23" fillId="0" borderId="0" xfId="5" applyFont="1" applyAlignment="1" applyProtection="1">
      <alignment vertical="top" wrapText="1"/>
      <protection hidden="1"/>
    </xf>
    <xf numFmtId="0" fontId="28" fillId="0" borderId="18" xfId="5" applyFont="1" applyBorder="1" applyAlignment="1" applyProtection="1">
      <alignment horizontal="left"/>
      <protection hidden="1"/>
    </xf>
    <xf numFmtId="1" fontId="23" fillId="0" borderId="16" xfId="5" applyNumberFormat="1" applyFont="1" applyBorder="1" applyAlignment="1" applyProtection="1">
      <alignment horizontal="center"/>
      <protection hidden="1"/>
    </xf>
    <xf numFmtId="0" fontId="23" fillId="0" borderId="16" xfId="5" applyFont="1" applyBorder="1" applyAlignment="1" applyProtection="1">
      <alignment horizontal="center"/>
      <protection hidden="1"/>
    </xf>
    <xf numFmtId="167" fontId="23" fillId="0" borderId="26" xfId="5" applyNumberFormat="1" applyFont="1" applyBorder="1" applyAlignment="1" applyProtection="1">
      <alignment horizontal="center"/>
      <protection hidden="1"/>
    </xf>
    <xf numFmtId="167" fontId="23" fillId="0" borderId="0" xfId="5" applyNumberFormat="1" applyFont="1" applyAlignment="1" applyProtection="1">
      <alignment horizontal="left"/>
      <protection hidden="1"/>
    </xf>
    <xf numFmtId="2" fontId="23" fillId="0" borderId="16" xfId="5" applyNumberFormat="1" applyFont="1" applyBorder="1" applyAlignment="1" applyProtection="1">
      <alignment horizontal="center"/>
      <protection hidden="1"/>
    </xf>
    <xf numFmtId="167" fontId="23" fillId="0" borderId="16" xfId="5" applyNumberFormat="1" applyFont="1" applyBorder="1" applyAlignment="1" applyProtection="1">
      <alignment horizontal="center"/>
      <protection hidden="1"/>
    </xf>
    <xf numFmtId="178" fontId="23" fillId="0" borderId="21" xfId="5" applyNumberFormat="1" applyFont="1" applyBorder="1" applyProtection="1">
      <protection hidden="1"/>
    </xf>
    <xf numFmtId="0" fontId="28" fillId="0" borderId="14" xfId="5" applyFont="1" applyBorder="1" applyAlignment="1" applyProtection="1">
      <alignment horizontal="center" vertical="center" wrapText="1"/>
      <protection hidden="1"/>
    </xf>
    <xf numFmtId="0" fontId="28" fillId="0" borderId="16" xfId="5" applyFont="1" applyBorder="1" applyAlignment="1" applyProtection="1">
      <alignment horizontal="center" vertical="center" wrapText="1"/>
      <protection hidden="1"/>
    </xf>
    <xf numFmtId="0" fontId="28" fillId="0" borderId="15" xfId="5" applyFont="1" applyBorder="1" applyAlignment="1" applyProtection="1">
      <alignment horizontal="center" vertical="center" wrapText="1"/>
      <protection hidden="1"/>
    </xf>
    <xf numFmtId="0" fontId="28" fillId="0" borderId="1" xfId="5" applyFont="1" applyBorder="1" applyAlignment="1" applyProtection="1">
      <alignment horizontal="center" vertical="center" wrapText="1"/>
      <protection hidden="1"/>
    </xf>
    <xf numFmtId="0" fontId="28" fillId="0" borderId="0" xfId="5" applyFont="1" applyAlignment="1" applyProtection="1">
      <alignment horizontal="left" wrapText="1"/>
      <protection hidden="1"/>
    </xf>
    <xf numFmtId="0" fontId="23" fillId="0" borderId="0" xfId="5" applyFont="1" applyAlignment="1" applyProtection="1">
      <alignment horizontal="left" wrapText="1"/>
      <protection hidden="1"/>
    </xf>
    <xf numFmtId="0" fontId="34" fillId="0" borderId="21" xfId="5" applyFont="1" applyBorder="1" applyAlignment="1" applyProtection="1">
      <alignment horizontal="left"/>
      <protection hidden="1"/>
    </xf>
    <xf numFmtId="0" fontId="23" fillId="0" borderId="1" xfId="5" applyFont="1" applyBorder="1" applyAlignment="1" applyProtection="1">
      <alignment horizontal="center" vertical="center" wrapText="1"/>
      <protection hidden="1"/>
    </xf>
    <xf numFmtId="176" fontId="23" fillId="0" borderId="1" xfId="5" applyNumberFormat="1" applyFont="1" applyBorder="1" applyAlignment="1" applyProtection="1">
      <alignment horizontal="center" vertical="center" wrapText="1"/>
      <protection hidden="1"/>
    </xf>
    <xf numFmtId="176" fontId="38" fillId="0" borderId="0" xfId="5" applyNumberFormat="1" applyFont="1" applyAlignment="1" applyProtection="1">
      <alignment horizontal="center" vertical="top" wrapText="1"/>
      <protection hidden="1"/>
    </xf>
    <xf numFmtId="0" fontId="23" fillId="0" borderId="0" xfId="5" applyFont="1" applyAlignment="1" applyProtection="1">
      <alignment horizontal="left" vertical="top" wrapText="1"/>
      <protection hidden="1"/>
    </xf>
    <xf numFmtId="176" fontId="23" fillId="0" borderId="0" xfId="5" applyNumberFormat="1" applyFont="1" applyAlignment="1" applyProtection="1">
      <alignment horizontal="left" vertical="top" wrapText="1"/>
      <protection locked="0"/>
    </xf>
    <xf numFmtId="0" fontId="23" fillId="0" borderId="36" xfId="5" applyFont="1" applyBorder="1" applyAlignment="1" applyProtection="1">
      <alignment horizontal="center" vertical="center" wrapText="1"/>
      <protection hidden="1"/>
    </xf>
    <xf numFmtId="176" fontId="23" fillId="0" borderId="36" xfId="5" applyNumberFormat="1" applyFont="1" applyBorder="1" applyAlignment="1" applyProtection="1">
      <alignment horizontal="center" vertical="center" wrapText="1"/>
      <protection hidden="1"/>
    </xf>
    <xf numFmtId="0" fontId="34" fillId="0" borderId="26" xfId="5" applyFont="1" applyBorder="1" applyAlignment="1" applyProtection="1">
      <alignment horizontal="left" vertical="top" wrapText="1"/>
      <protection hidden="1"/>
    </xf>
    <xf numFmtId="0" fontId="5" fillId="0" borderId="36" xfId="5" applyFont="1" applyBorder="1" applyAlignment="1" applyProtection="1">
      <alignment horizontal="left" vertical="top" wrapText="1"/>
      <protection hidden="1"/>
    </xf>
    <xf numFmtId="0" fontId="42" fillId="0" borderId="0" xfId="5" applyFont="1" applyAlignment="1" applyProtection="1">
      <alignment horizontal="center" vertical="top" wrapText="1"/>
      <protection hidden="1"/>
    </xf>
    <xf numFmtId="0" fontId="23" fillId="0" borderId="26" xfId="5" applyFont="1" applyBorder="1" applyAlignment="1" applyProtection="1">
      <alignment horizontal="center" vertical="center"/>
      <protection hidden="1"/>
    </xf>
    <xf numFmtId="167" fontId="23" fillId="0" borderId="26" xfId="5" applyNumberFormat="1" applyFont="1" applyBorder="1" applyAlignment="1" applyProtection="1">
      <alignment horizontal="center" vertical="center"/>
      <protection hidden="1"/>
    </xf>
    <xf numFmtId="0" fontId="23" fillId="0" borderId="26" xfId="5" applyFont="1" applyBorder="1" applyAlignment="1" applyProtection="1">
      <alignment horizontal="left" vertical="center"/>
      <protection hidden="1"/>
    </xf>
    <xf numFmtId="167" fontId="6" fillId="0" borderId="26" xfId="5" applyNumberFormat="1" applyBorder="1" applyAlignment="1" applyProtection="1">
      <alignment horizontal="left" vertical="center"/>
      <protection hidden="1"/>
    </xf>
    <xf numFmtId="0" fontId="28" fillId="0" borderId="0" xfId="5" applyFont="1" applyAlignment="1" applyProtection="1">
      <alignment horizontal="center" vertical="center"/>
      <protection hidden="1"/>
    </xf>
    <xf numFmtId="0" fontId="23" fillId="0" borderId="0" xfId="5" applyFont="1" applyAlignment="1" applyProtection="1">
      <alignment horizontal="center" vertical="center" wrapText="1"/>
      <protection hidden="1"/>
    </xf>
    <xf numFmtId="0" fontId="34" fillId="0" borderId="0" xfId="5" applyFont="1" applyAlignment="1" applyProtection="1">
      <alignment horizontal="left"/>
      <protection hidden="1"/>
    </xf>
    <xf numFmtId="2" fontId="23" fillId="0" borderId="1" xfId="0" applyNumberFormat="1" applyFont="1" applyBorder="1" applyAlignment="1">
      <alignment horizontal="center" vertical="center"/>
    </xf>
    <xf numFmtId="2" fontId="23" fillId="10" borderId="1" xfId="5" applyNumberFormat="1" applyFont="1" applyFill="1" applyBorder="1" applyAlignment="1" applyProtection="1">
      <alignment horizontal="center" vertical="center"/>
      <protection hidden="1"/>
    </xf>
    <xf numFmtId="167" fontId="23" fillId="0" borderId="1" xfId="0" applyNumberFormat="1" applyFont="1" applyBorder="1" applyAlignment="1">
      <alignment horizontal="center" vertical="center"/>
    </xf>
    <xf numFmtId="2" fontId="34" fillId="0" borderId="1" xfId="4" applyNumberFormat="1" applyFont="1" applyFill="1" applyBorder="1" applyAlignment="1" applyProtection="1">
      <alignment horizontal="center" vertical="center" wrapText="1"/>
      <protection hidden="1"/>
    </xf>
    <xf numFmtId="181" fontId="23" fillId="0" borderId="0" xfId="5" applyNumberFormat="1" applyFont="1" applyAlignment="1" applyProtection="1">
      <alignment horizontal="center" vertical="center" wrapText="1"/>
      <protection hidden="1"/>
    </xf>
    <xf numFmtId="2" fontId="23" fillId="0" borderId="0" xfId="5" applyNumberFormat="1" applyFont="1" applyAlignment="1" applyProtection="1">
      <alignment horizontal="center" vertical="center" wrapText="1"/>
      <protection hidden="1"/>
    </xf>
    <xf numFmtId="0" fontId="28" fillId="0" borderId="26" xfId="5" applyFont="1" applyBorder="1" applyAlignment="1" applyProtection="1">
      <alignment horizontal="left"/>
      <protection hidden="1"/>
    </xf>
    <xf numFmtId="0" fontId="23" fillId="0" borderId="0" xfId="5" applyFont="1" applyAlignment="1" applyProtection="1">
      <alignment horizontal="center" vertical="center"/>
      <protection hidden="1"/>
    </xf>
    <xf numFmtId="1" fontId="23" fillId="0" borderId="36" xfId="5" applyNumberFormat="1" applyFont="1" applyBorder="1" applyAlignment="1" applyProtection="1">
      <alignment horizontal="center" vertical="center"/>
      <protection hidden="1"/>
    </xf>
    <xf numFmtId="0" fontId="23" fillId="0" borderId="36" xfId="5" applyFont="1" applyBorder="1" applyAlignment="1" applyProtection="1">
      <alignment horizontal="left" vertical="center"/>
      <protection hidden="1"/>
    </xf>
    <xf numFmtId="1" fontId="23" fillId="0" borderId="36" xfId="5" applyNumberFormat="1" applyFont="1" applyBorder="1" applyAlignment="1" applyProtection="1">
      <alignment horizontal="left" vertical="center"/>
      <protection hidden="1"/>
    </xf>
    <xf numFmtId="0" fontId="23" fillId="0" borderId="16" xfId="5" applyFont="1" applyBorder="1" applyAlignment="1" applyProtection="1">
      <alignment horizontal="left" vertical="center"/>
      <protection hidden="1"/>
    </xf>
    <xf numFmtId="0" fontId="23" fillId="0" borderId="16" xfId="5" applyFont="1" applyBorder="1" applyAlignment="1" applyProtection="1">
      <alignment horizontal="center" vertical="center"/>
      <protection hidden="1"/>
    </xf>
    <xf numFmtId="1" fontId="23" fillId="0" borderId="0" xfId="5" applyNumberFormat="1" applyFont="1" applyAlignment="1" applyProtection="1">
      <alignment horizontal="center" vertical="center"/>
      <protection hidden="1"/>
    </xf>
    <xf numFmtId="1" fontId="23" fillId="0" borderId="0" xfId="5" applyNumberFormat="1" applyFont="1" applyAlignment="1" applyProtection="1">
      <alignment horizontal="left" vertical="center"/>
      <protection hidden="1"/>
    </xf>
    <xf numFmtId="0" fontId="28" fillId="0" borderId="1" xfId="0" applyFont="1" applyBorder="1" applyAlignment="1">
      <alignment horizontal="center" vertical="center" wrapText="1"/>
    </xf>
    <xf numFmtId="167" fontId="24" fillId="0" borderId="1" xfId="5" applyNumberFormat="1" applyFont="1" applyBorder="1" applyAlignment="1" applyProtection="1">
      <alignment horizontal="center" vertical="center" wrapText="1"/>
      <protection hidden="1"/>
    </xf>
    <xf numFmtId="0" fontId="6" fillId="0" borderId="1" xfId="5" applyBorder="1" applyAlignment="1" applyProtection="1">
      <alignment horizontal="right"/>
      <protection hidden="1"/>
    </xf>
    <xf numFmtId="0" fontId="40" fillId="0" borderId="0" xfId="5" applyFont="1" applyAlignment="1" applyProtection="1">
      <alignment horizontal="center"/>
      <protection hidden="1"/>
    </xf>
    <xf numFmtId="2" fontId="34" fillId="0" borderId="0" xfId="5" applyNumberFormat="1" applyFont="1" applyAlignment="1" applyProtection="1">
      <alignment horizontal="center" vertical="center" wrapText="1"/>
      <protection hidden="1"/>
    </xf>
    <xf numFmtId="166" fontId="23" fillId="0" borderId="0" xfId="5" applyNumberFormat="1" applyFont="1" applyAlignment="1" applyProtection="1">
      <alignment horizontal="center" vertical="center" wrapText="1"/>
      <protection hidden="1"/>
    </xf>
    <xf numFmtId="166" fontId="23" fillId="0" borderId="0" xfId="5" applyNumberFormat="1" applyFont="1" applyAlignment="1" applyProtection="1">
      <alignment horizontal="center" wrapText="1"/>
      <protection hidden="1"/>
    </xf>
    <xf numFmtId="0" fontId="23" fillId="0" borderId="1" xfId="2" applyFont="1" applyBorder="1" applyAlignment="1">
      <alignment horizontal="center" vertical="center"/>
    </xf>
    <xf numFmtId="0" fontId="48" fillId="0" borderId="0" xfId="5" applyFont="1" applyAlignment="1">
      <alignment horizontal="center" vertical="center" wrapText="1"/>
    </xf>
    <xf numFmtId="0" fontId="12" fillId="10" borderId="0" xfId="2" applyFont="1" applyFill="1" applyAlignment="1" applyProtection="1">
      <alignment horizontal="center" vertical="center" wrapText="1"/>
      <protection hidden="1"/>
    </xf>
    <xf numFmtId="0" fontId="50" fillId="0" borderId="0" xfId="5" applyFont="1" applyAlignment="1">
      <alignment horizontal="right" vertical="center" wrapText="1"/>
    </xf>
    <xf numFmtId="0" fontId="51" fillId="20" borderId="0" xfId="5" applyFont="1" applyFill="1" applyAlignment="1">
      <alignment horizontal="center" vertical="top"/>
    </xf>
    <xf numFmtId="0" fontId="52" fillId="0" borderId="0" xfId="5" applyFont="1" applyAlignment="1">
      <alignment horizontal="right" vertical="top"/>
    </xf>
    <xf numFmtId="0" fontId="6" fillId="0" borderId="1" xfId="5" applyBorder="1" applyAlignment="1" applyProtection="1">
      <alignment horizontal="left"/>
      <protection hidden="1"/>
    </xf>
    <xf numFmtId="176" fontId="6" fillId="0" borderId="1" xfId="5" applyNumberFormat="1" applyBorder="1" applyAlignment="1" applyProtection="1">
      <alignment horizontal="left"/>
      <protection hidden="1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2" borderId="2" xfId="0" applyFill="1" applyBorder="1" applyAlignment="1" applyProtection="1">
      <alignment horizontal="center" vertical="center" wrapText="1"/>
      <protection locked="0"/>
    </xf>
    <xf numFmtId="0" fontId="0" fillId="12" borderId="13" xfId="0" applyFill="1" applyBorder="1" applyAlignment="1" applyProtection="1">
      <alignment horizontal="center" vertical="center" wrapText="1"/>
      <protection locked="0"/>
    </xf>
    <xf numFmtId="0" fontId="0" fillId="12" borderId="3" xfId="0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0" fillId="18" borderId="17" xfId="0" applyFill="1" applyBorder="1" applyAlignment="1">
      <alignment horizontal="center" vertical="center"/>
    </xf>
    <xf numFmtId="0" fontId="0" fillId="18" borderId="18" xfId="0" applyFill="1" applyBorder="1" applyAlignment="1">
      <alignment horizontal="center" vertical="center"/>
    </xf>
    <xf numFmtId="0" fontId="0" fillId="18" borderId="19" xfId="0" applyFill="1" applyBorder="1" applyAlignment="1">
      <alignment horizontal="center" vertical="center"/>
    </xf>
    <xf numFmtId="0" fontId="0" fillId="0" borderId="14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26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2" fillId="10" borderId="20" xfId="2" applyFont="1" applyFill="1" applyBorder="1" applyAlignment="1" applyProtection="1">
      <alignment horizontal="left"/>
      <protection hidden="1"/>
    </xf>
    <xf numFmtId="0" fontId="12" fillId="10" borderId="21" xfId="2" applyFont="1" applyFill="1" applyBorder="1" applyAlignment="1" applyProtection="1">
      <alignment horizontal="left"/>
      <protection hidden="1"/>
    </xf>
    <xf numFmtId="176" fontId="12" fillId="10" borderId="21" xfId="2" applyNumberFormat="1" applyFont="1" applyFill="1" applyBorder="1" applyAlignment="1" applyProtection="1">
      <alignment horizontal="left"/>
      <protection hidden="1"/>
    </xf>
    <xf numFmtId="176" fontId="12" fillId="10" borderId="22" xfId="2" applyNumberFormat="1" applyFont="1" applyFill="1" applyBorder="1" applyAlignment="1" applyProtection="1">
      <alignment horizontal="left"/>
      <protection hidden="1"/>
    </xf>
    <xf numFmtId="0" fontId="12" fillId="10" borderId="1" xfId="2" applyFont="1" applyFill="1" applyBorder="1" applyAlignment="1" applyProtection="1">
      <alignment horizontal="center" vertical="center"/>
      <protection hidden="1"/>
    </xf>
    <xf numFmtId="0" fontId="13" fillId="5" borderId="1" xfId="2" applyFont="1" applyFill="1" applyBorder="1" applyAlignment="1" applyProtection="1">
      <alignment horizontal="center"/>
      <protection hidden="1"/>
    </xf>
    <xf numFmtId="0" fontId="14" fillId="5" borderId="52" xfId="2" applyFont="1" applyFill="1" applyBorder="1" applyAlignment="1" applyProtection="1">
      <alignment horizontal="center" vertical="center" wrapText="1"/>
      <protection hidden="1"/>
    </xf>
    <xf numFmtId="0" fontId="14" fillId="5" borderId="53" xfId="2" applyFont="1" applyFill="1" applyBorder="1" applyAlignment="1" applyProtection="1">
      <alignment horizontal="center" vertical="center" wrapText="1"/>
      <protection hidden="1"/>
    </xf>
    <xf numFmtId="0" fontId="14" fillId="5" borderId="54" xfId="2" applyFont="1" applyFill="1" applyBorder="1" applyAlignment="1" applyProtection="1">
      <alignment horizontal="center" vertical="center" wrapText="1"/>
      <protection hidden="1"/>
    </xf>
    <xf numFmtId="0" fontId="14" fillId="10" borderId="53" xfId="2" applyFont="1" applyFill="1" applyBorder="1" applyAlignment="1" applyProtection="1">
      <alignment horizontal="left" vertical="center" wrapText="1"/>
      <protection locked="0"/>
    </xf>
    <xf numFmtId="0" fontId="14" fillId="10" borderId="37" xfId="2" applyFont="1" applyFill="1" applyBorder="1" applyAlignment="1" applyProtection="1">
      <alignment horizontal="left" vertical="center" wrapText="1"/>
      <protection locked="0"/>
    </xf>
    <xf numFmtId="0" fontId="14" fillId="10" borderId="30" xfId="2" applyFont="1" applyFill="1" applyBorder="1" applyAlignment="1" applyProtection="1">
      <alignment horizontal="left" vertical="center" wrapText="1"/>
      <protection locked="0"/>
    </xf>
    <xf numFmtId="0" fontId="14" fillId="10" borderId="1" xfId="2" applyFont="1" applyFill="1" applyBorder="1" applyAlignment="1" applyProtection="1">
      <alignment horizontal="left" vertical="center" wrapText="1"/>
      <protection locked="0"/>
    </xf>
    <xf numFmtId="0" fontId="14" fillId="10" borderId="31" xfId="2" applyFont="1" applyFill="1" applyBorder="1" applyAlignment="1" applyProtection="1">
      <alignment horizontal="left" vertical="center" wrapText="1"/>
      <protection locked="0"/>
    </xf>
    <xf numFmtId="0" fontId="14" fillId="10" borderId="47" xfId="2" applyFont="1" applyFill="1" applyBorder="1" applyAlignment="1" applyProtection="1">
      <alignment horizontal="left" vertical="center" wrapText="1"/>
      <protection locked="0"/>
    </xf>
    <xf numFmtId="0" fontId="14" fillId="10" borderId="26" xfId="2" applyFont="1" applyFill="1" applyBorder="1" applyAlignment="1" applyProtection="1">
      <alignment horizontal="left" vertical="center" wrapText="1"/>
      <protection locked="0"/>
    </xf>
    <xf numFmtId="0" fontId="14" fillId="10" borderId="55" xfId="2" applyFont="1" applyFill="1" applyBorder="1" applyAlignment="1" applyProtection="1">
      <alignment horizontal="left" vertical="center" wrapText="1"/>
      <protection locked="0"/>
    </xf>
    <xf numFmtId="0" fontId="14" fillId="10" borderId="46" xfId="2" applyFont="1" applyFill="1" applyBorder="1" applyAlignment="1" applyProtection="1">
      <alignment horizontal="left" vertical="center" wrapText="1"/>
      <protection locked="0"/>
    </xf>
    <xf numFmtId="0" fontId="14" fillId="10" borderId="16" xfId="2" applyFont="1" applyFill="1" applyBorder="1" applyAlignment="1" applyProtection="1">
      <alignment horizontal="left" vertical="center" wrapText="1"/>
      <protection locked="0"/>
    </xf>
    <xf numFmtId="0" fontId="14" fillId="10" borderId="38" xfId="2" applyFont="1" applyFill="1" applyBorder="1" applyAlignment="1" applyProtection="1">
      <alignment horizontal="left" vertical="center" wrapText="1"/>
      <protection locked="0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13" fillId="10" borderId="14" xfId="2" applyFont="1" applyFill="1" applyBorder="1" applyAlignment="1" applyProtection="1">
      <alignment horizontal="center"/>
      <protection hidden="1"/>
    </xf>
    <xf numFmtId="0" fontId="13" fillId="10" borderId="15" xfId="2" applyFont="1" applyFill="1" applyBorder="1" applyAlignment="1" applyProtection="1">
      <alignment horizontal="center"/>
      <protection hidden="1"/>
    </xf>
    <xf numFmtId="0" fontId="13" fillId="10" borderId="14" xfId="2" applyFont="1" applyFill="1" applyBorder="1" applyAlignment="1" applyProtection="1">
      <alignment horizontal="center" vertical="center"/>
      <protection hidden="1"/>
    </xf>
    <xf numFmtId="0" fontId="13" fillId="10" borderId="15" xfId="2" applyFont="1" applyFill="1" applyBorder="1" applyAlignment="1" applyProtection="1">
      <alignment horizontal="center" vertical="center"/>
      <protection hidden="1"/>
    </xf>
    <xf numFmtId="167" fontId="0" fillId="0" borderId="14" xfId="0" applyNumberFormat="1" applyBorder="1" applyAlignment="1">
      <alignment horizontal="center" vertical="center"/>
    </xf>
    <xf numFmtId="167" fontId="0" fillId="0" borderId="15" xfId="0" applyNumberFormat="1" applyBorder="1" applyAlignment="1">
      <alignment horizontal="center" vertical="center"/>
    </xf>
    <xf numFmtId="0" fontId="12" fillId="10" borderId="1" xfId="2" applyFont="1" applyFill="1" applyBorder="1" applyAlignment="1" applyProtection="1">
      <alignment horizontal="center"/>
      <protection hidden="1"/>
    </xf>
    <xf numFmtId="0" fontId="12" fillId="10" borderId="23" xfId="2" applyFont="1" applyFill="1" applyBorder="1" applyAlignment="1" applyProtection="1">
      <alignment horizontal="left"/>
      <protection hidden="1"/>
    </xf>
    <xf numFmtId="0" fontId="12" fillId="10" borderId="0" xfId="2" applyFont="1" applyFill="1" applyAlignment="1" applyProtection="1">
      <alignment horizontal="left"/>
      <protection hidden="1"/>
    </xf>
    <xf numFmtId="0" fontId="12" fillId="10" borderId="24" xfId="2" applyFont="1" applyFill="1" applyBorder="1" applyAlignment="1" applyProtection="1">
      <alignment horizontal="left"/>
      <protection hidden="1"/>
    </xf>
    <xf numFmtId="0" fontId="14" fillId="10" borderId="40" xfId="2" applyFont="1" applyFill="1" applyBorder="1" applyAlignment="1" applyProtection="1">
      <alignment horizontal="center" vertical="center" wrapText="1"/>
      <protection locked="0"/>
    </xf>
    <xf numFmtId="0" fontId="14" fillId="10" borderId="49" xfId="2" applyFont="1" applyFill="1" applyBorder="1" applyAlignment="1" applyProtection="1">
      <alignment horizontal="center" vertical="center" wrapText="1"/>
      <protection locked="0"/>
    </xf>
    <xf numFmtId="0" fontId="14" fillId="10" borderId="39" xfId="2" applyFont="1" applyFill="1" applyBorder="1" applyAlignment="1" applyProtection="1">
      <alignment horizontal="center" vertical="center" wrapText="1"/>
      <protection locked="0"/>
    </xf>
    <xf numFmtId="167" fontId="13" fillId="10" borderId="0" xfId="2" applyNumberFormat="1" applyFont="1" applyFill="1" applyAlignment="1" applyProtection="1">
      <alignment horizontal="center"/>
      <protection hidden="1"/>
    </xf>
    <xf numFmtId="0" fontId="12" fillId="10" borderId="27" xfId="2" applyFont="1" applyFill="1" applyBorder="1" applyAlignment="1" applyProtection="1">
      <alignment horizontal="left"/>
      <protection locked="0"/>
    </xf>
    <xf numFmtId="0" fontId="12" fillId="10" borderId="41" xfId="2" applyFont="1" applyFill="1" applyBorder="1" applyAlignment="1" applyProtection="1">
      <alignment horizontal="left"/>
      <protection locked="0"/>
    </xf>
    <xf numFmtId="0" fontId="12" fillId="10" borderId="28" xfId="2" applyFont="1" applyFill="1" applyBorder="1" applyAlignment="1" applyProtection="1">
      <alignment horizontal="left"/>
      <protection locked="0"/>
    </xf>
    <xf numFmtId="0" fontId="13" fillId="10" borderId="27" xfId="2" applyFont="1" applyFill="1" applyBorder="1" applyAlignment="1" applyProtection="1">
      <alignment horizontal="left" wrapText="1"/>
      <protection locked="0"/>
    </xf>
    <xf numFmtId="0" fontId="13" fillId="10" borderId="41" xfId="2" applyFont="1" applyFill="1" applyBorder="1" applyAlignment="1" applyProtection="1">
      <alignment horizontal="left" wrapText="1"/>
      <protection locked="0"/>
    </xf>
    <xf numFmtId="0" fontId="13" fillId="10" borderId="28" xfId="2" applyFont="1" applyFill="1" applyBorder="1" applyAlignment="1" applyProtection="1">
      <alignment horizontal="left" wrapText="1"/>
      <protection locked="0"/>
    </xf>
    <xf numFmtId="0" fontId="13" fillId="10" borderId="27" xfId="2" applyFont="1" applyFill="1" applyBorder="1" applyAlignment="1" applyProtection="1">
      <alignment horizontal="left"/>
      <protection locked="0"/>
    </xf>
    <xf numFmtId="0" fontId="13" fillId="10" borderId="41" xfId="2" applyFont="1" applyFill="1" applyBorder="1" applyAlignment="1" applyProtection="1">
      <alignment horizontal="left"/>
      <protection locked="0"/>
    </xf>
    <xf numFmtId="0" fontId="13" fillId="10" borderId="28" xfId="2" applyFont="1" applyFill="1" applyBorder="1" applyAlignment="1" applyProtection="1">
      <alignment horizontal="left"/>
      <protection locked="0"/>
    </xf>
    <xf numFmtId="0" fontId="14" fillId="10" borderId="27" xfId="2" applyFont="1" applyFill="1" applyBorder="1" applyAlignment="1" applyProtection="1">
      <alignment horizontal="center" wrapText="1"/>
      <protection hidden="1"/>
    </xf>
    <xf numFmtId="0" fontId="14" fillId="10" borderId="41" xfId="2" applyFont="1" applyFill="1" applyBorder="1" applyAlignment="1" applyProtection="1">
      <alignment horizontal="center" wrapText="1"/>
      <protection hidden="1"/>
    </xf>
    <xf numFmtId="0" fontId="14" fillId="10" borderId="28" xfId="2" applyFont="1" applyFill="1" applyBorder="1" applyAlignment="1" applyProtection="1">
      <alignment horizontal="center" wrapText="1"/>
      <protection hidden="1"/>
    </xf>
    <xf numFmtId="0" fontId="12" fillId="10" borderId="27" xfId="2" applyFont="1" applyFill="1" applyBorder="1" applyAlignment="1" applyProtection="1">
      <alignment horizontal="left" vertical="center"/>
      <protection hidden="1"/>
    </xf>
    <xf numFmtId="0" fontId="12" fillId="10" borderId="41" xfId="2" applyFont="1" applyFill="1" applyBorder="1" applyAlignment="1" applyProtection="1">
      <alignment horizontal="left" vertical="center"/>
      <protection hidden="1"/>
    </xf>
    <xf numFmtId="0" fontId="12" fillId="10" borderId="28" xfId="2" applyFont="1" applyFill="1" applyBorder="1" applyAlignment="1" applyProtection="1">
      <alignment horizontal="left" vertical="center"/>
      <protection hidden="1"/>
    </xf>
    <xf numFmtId="0" fontId="12" fillId="10" borderId="17" xfId="2" applyFont="1" applyFill="1" applyBorder="1" applyAlignment="1" applyProtection="1">
      <alignment horizontal="left"/>
      <protection hidden="1"/>
    </xf>
    <xf numFmtId="0" fontId="12" fillId="10" borderId="18" xfId="2" applyFont="1" applyFill="1" applyBorder="1" applyAlignment="1" applyProtection="1">
      <alignment horizontal="left"/>
      <protection hidden="1"/>
    </xf>
    <xf numFmtId="0" fontId="12" fillId="10" borderId="19" xfId="2" applyFont="1" applyFill="1" applyBorder="1" applyAlignment="1" applyProtection="1">
      <alignment horizontal="left"/>
      <protection hidden="1"/>
    </xf>
    <xf numFmtId="0" fontId="12" fillId="10" borderId="35" xfId="2" applyFont="1" applyFill="1" applyBorder="1" applyAlignment="1" applyProtection="1">
      <alignment horizontal="center"/>
      <protection hidden="1"/>
    </xf>
    <xf numFmtId="0" fontId="12" fillId="10" borderId="43" xfId="2" applyFont="1" applyFill="1" applyBorder="1" applyAlignment="1" applyProtection="1">
      <alignment horizontal="center"/>
      <protection hidden="1"/>
    </xf>
    <xf numFmtId="0" fontId="20" fillId="11" borderId="35" xfId="2" applyFont="1" applyFill="1" applyBorder="1" applyAlignment="1" applyProtection="1">
      <alignment horizontal="center" vertical="center" wrapText="1"/>
      <protection hidden="1"/>
    </xf>
    <xf numFmtId="0" fontId="20" fillId="11" borderId="43" xfId="2" applyFont="1" applyFill="1" applyBorder="1" applyAlignment="1" applyProtection="1">
      <alignment horizontal="center" vertical="center" wrapText="1"/>
      <protection hidden="1"/>
    </xf>
    <xf numFmtId="0" fontId="20" fillId="11" borderId="42" xfId="2" applyFont="1" applyFill="1" applyBorder="1" applyAlignment="1" applyProtection="1">
      <alignment horizontal="center" vertical="center" wrapText="1"/>
      <protection hidden="1"/>
    </xf>
    <xf numFmtId="0" fontId="20" fillId="11" borderId="44" xfId="2" applyFont="1" applyFill="1" applyBorder="1" applyAlignment="1" applyProtection="1">
      <alignment horizontal="center" vertical="center" wrapText="1"/>
      <protection hidden="1"/>
    </xf>
    <xf numFmtId="0" fontId="13" fillId="11" borderId="1" xfId="2" applyFont="1" applyFill="1" applyBorder="1" applyAlignment="1" applyProtection="1">
      <alignment horizontal="center" vertical="center" wrapText="1"/>
      <protection hidden="1"/>
    </xf>
    <xf numFmtId="1" fontId="21" fillId="11" borderId="1" xfId="2" applyNumberFormat="1" applyFont="1" applyFill="1" applyBorder="1" applyAlignment="1" applyProtection="1">
      <alignment horizontal="center" vertical="center" textRotation="90"/>
      <protection hidden="1"/>
    </xf>
    <xf numFmtId="0" fontId="21" fillId="11" borderId="1" xfId="2" applyFont="1" applyFill="1" applyBorder="1" applyAlignment="1" applyProtection="1">
      <alignment horizontal="center" vertical="center" textRotation="90"/>
      <protection hidden="1"/>
    </xf>
    <xf numFmtId="0" fontId="13" fillId="11" borderId="35" xfId="2" applyFont="1" applyFill="1" applyBorder="1" applyAlignment="1" applyProtection="1">
      <alignment horizontal="center" vertical="center" wrapText="1"/>
      <protection hidden="1"/>
    </xf>
    <xf numFmtId="0" fontId="13" fillId="11" borderId="43" xfId="2" applyFont="1" applyFill="1" applyBorder="1" applyAlignment="1" applyProtection="1">
      <alignment horizontal="center" vertical="center" wrapText="1"/>
      <protection hidden="1"/>
    </xf>
    <xf numFmtId="0" fontId="13" fillId="11" borderId="42" xfId="2" applyFont="1" applyFill="1" applyBorder="1" applyAlignment="1" applyProtection="1">
      <alignment horizontal="center" vertical="center" wrapText="1"/>
      <protection hidden="1"/>
    </xf>
    <xf numFmtId="0" fontId="13" fillId="11" borderId="44" xfId="2" applyFont="1" applyFill="1" applyBorder="1" applyAlignment="1" applyProtection="1">
      <alignment horizontal="center" vertical="center" wrapText="1"/>
      <protection hidden="1"/>
    </xf>
    <xf numFmtId="167" fontId="1" fillId="0" borderId="46" xfId="0" applyNumberFormat="1" applyFont="1" applyBorder="1" applyAlignment="1" applyProtection="1">
      <alignment horizontal="center"/>
      <protection locked="0"/>
    </xf>
    <xf numFmtId="167" fontId="1" fillId="0" borderId="15" xfId="0" applyNumberFormat="1" applyFont="1" applyBorder="1" applyAlignment="1" applyProtection="1">
      <alignment horizontal="center"/>
      <protection locked="0"/>
    </xf>
    <xf numFmtId="0" fontId="12" fillId="5" borderId="26" xfId="2" applyFont="1" applyFill="1" applyBorder="1" applyAlignment="1" applyProtection="1">
      <alignment horizontal="center" vertical="center"/>
      <protection hidden="1"/>
    </xf>
    <xf numFmtId="0" fontId="12" fillId="5" borderId="44" xfId="2" applyFont="1" applyFill="1" applyBorder="1" applyAlignment="1" applyProtection="1">
      <alignment horizontal="center" vertical="center"/>
      <protection hidden="1"/>
    </xf>
    <xf numFmtId="0" fontId="12" fillId="5" borderId="1" xfId="2" applyFont="1" applyFill="1" applyBorder="1" applyAlignment="1" applyProtection="1">
      <alignment horizontal="center" vertical="center"/>
      <protection hidden="1"/>
    </xf>
    <xf numFmtId="0" fontId="12" fillId="10" borderId="14" xfId="2" applyFont="1" applyFill="1" applyBorder="1" applyAlignment="1" applyProtection="1">
      <alignment horizontal="center"/>
      <protection hidden="1"/>
    </xf>
    <xf numFmtId="0" fontId="12" fillId="10" borderId="15" xfId="2" applyFont="1" applyFill="1" applyBorder="1" applyAlignment="1" applyProtection="1">
      <alignment horizontal="center"/>
      <protection hidden="1"/>
    </xf>
    <xf numFmtId="2" fontId="1" fillId="0" borderId="46" xfId="0" applyNumberFormat="1" applyFont="1" applyBorder="1" applyAlignment="1" applyProtection="1">
      <alignment horizontal="center"/>
      <protection locked="0"/>
    </xf>
    <xf numFmtId="2" fontId="1" fillId="0" borderId="15" xfId="0" applyNumberFormat="1" applyFont="1" applyBorder="1" applyAlignment="1" applyProtection="1">
      <alignment horizontal="center"/>
      <protection locked="0"/>
    </xf>
    <xf numFmtId="2" fontId="1" fillId="0" borderId="46" xfId="0" quotePrefix="1" applyNumberFormat="1" applyFont="1" applyBorder="1" applyAlignment="1" applyProtection="1">
      <alignment horizontal="center"/>
      <protection locked="0"/>
    </xf>
    <xf numFmtId="167" fontId="1" fillId="0" borderId="46" xfId="0" quotePrefix="1" applyNumberFormat="1" applyFont="1" applyBorder="1" applyAlignment="1" applyProtection="1">
      <alignment horizontal="center"/>
      <protection locked="0"/>
    </xf>
    <xf numFmtId="1" fontId="54" fillId="11" borderId="1" xfId="2" applyNumberFormat="1" applyFont="1" applyFill="1" applyBorder="1" applyAlignment="1" applyProtection="1">
      <alignment horizontal="center" vertical="center" textRotation="90"/>
      <protection hidden="1"/>
    </xf>
    <xf numFmtId="0" fontId="54" fillId="11" borderId="1" xfId="2" applyFont="1" applyFill="1" applyBorder="1" applyAlignment="1" applyProtection="1">
      <alignment horizontal="center" vertical="center" textRotation="90"/>
      <protection hidden="1"/>
    </xf>
    <xf numFmtId="0" fontId="12" fillId="10" borderId="14" xfId="2" applyFont="1" applyFill="1" applyBorder="1" applyAlignment="1" applyProtection="1">
      <alignment horizontal="center" vertical="center"/>
      <protection hidden="1"/>
    </xf>
    <xf numFmtId="0" fontId="12" fillId="10" borderId="16" xfId="2" applyFont="1" applyFill="1" applyBorder="1" applyAlignment="1" applyProtection="1">
      <alignment horizontal="center" vertical="center"/>
      <protection hidden="1"/>
    </xf>
    <xf numFmtId="0" fontId="12" fillId="10" borderId="15" xfId="2" applyFont="1" applyFill="1" applyBorder="1" applyAlignment="1" applyProtection="1">
      <alignment horizontal="center" vertical="center"/>
      <protection hidden="1"/>
    </xf>
    <xf numFmtId="1" fontId="12" fillId="10" borderId="14" xfId="2" applyNumberFormat="1" applyFont="1" applyFill="1" applyBorder="1" applyAlignment="1" applyProtection="1">
      <alignment horizontal="center" vertical="center"/>
      <protection hidden="1"/>
    </xf>
    <xf numFmtId="0" fontId="0" fillId="4" borderId="2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18" borderId="23" xfId="0" applyFill="1" applyBorder="1" applyAlignment="1">
      <alignment horizontal="center"/>
    </xf>
    <xf numFmtId="0" fontId="0" fillId="18" borderId="0" xfId="0" applyFill="1" applyAlignment="1">
      <alignment horizontal="center"/>
    </xf>
    <xf numFmtId="0" fontId="12" fillId="10" borderId="0" xfId="2" applyFont="1" applyFill="1" applyAlignment="1" applyProtection="1">
      <alignment horizontal="center" vertical="center"/>
      <protection hidden="1"/>
    </xf>
    <xf numFmtId="0" fontId="13" fillId="5" borderId="14" xfId="2" applyFont="1" applyFill="1" applyBorder="1" applyAlignment="1" applyProtection="1">
      <alignment horizontal="center" vertical="center"/>
      <protection hidden="1"/>
    </xf>
    <xf numFmtId="0" fontId="13" fillId="5" borderId="16" xfId="2" applyFont="1" applyFill="1" applyBorder="1" applyAlignment="1" applyProtection="1">
      <alignment horizontal="center" vertical="center"/>
      <protection hidden="1"/>
    </xf>
    <xf numFmtId="0" fontId="13" fillId="5" borderId="15" xfId="2" applyFont="1" applyFill="1" applyBorder="1" applyAlignment="1" applyProtection="1">
      <alignment horizontal="center" vertical="center"/>
      <protection hidden="1"/>
    </xf>
    <xf numFmtId="0" fontId="12" fillId="11" borderId="1" xfId="2" applyFont="1" applyFill="1" applyBorder="1" applyAlignment="1" applyProtection="1">
      <alignment horizontal="center" vertical="center"/>
      <protection hidden="1"/>
    </xf>
    <xf numFmtId="0" fontId="12" fillId="11" borderId="16" xfId="2" applyFont="1" applyFill="1" applyBorder="1" applyAlignment="1" applyProtection="1">
      <alignment horizontal="center" vertical="center"/>
      <protection hidden="1"/>
    </xf>
    <xf numFmtId="0" fontId="12" fillId="11" borderId="15" xfId="2" applyFont="1" applyFill="1" applyBorder="1" applyAlignment="1" applyProtection="1">
      <alignment horizontal="center" vertical="center"/>
      <protection hidden="1"/>
    </xf>
    <xf numFmtId="0" fontId="12" fillId="11" borderId="14" xfId="2" applyFont="1" applyFill="1" applyBorder="1" applyAlignment="1" applyProtection="1">
      <alignment horizontal="center" vertical="center"/>
      <protection hidden="1"/>
    </xf>
    <xf numFmtId="176" fontId="14" fillId="10" borderId="0" xfId="2" applyNumberFormat="1" applyFont="1" applyFill="1" applyAlignment="1" applyProtection="1">
      <alignment horizontal="left"/>
      <protection hidden="1"/>
    </xf>
    <xf numFmtId="0" fontId="12" fillId="10" borderId="0" xfId="2" applyFont="1" applyFill="1" applyAlignment="1" applyProtection="1">
      <alignment horizontal="center"/>
      <protection hidden="1"/>
    </xf>
    <xf numFmtId="0" fontId="12" fillId="10" borderId="0" xfId="2" applyFont="1" applyFill="1" applyAlignment="1" applyProtection="1">
      <alignment horizontal="left" vertical="center"/>
      <protection hidden="1"/>
    </xf>
    <xf numFmtId="0" fontId="14" fillId="10" borderId="0" xfId="2" applyFont="1" applyFill="1" applyAlignment="1" applyProtection="1">
      <alignment horizontal="left"/>
      <protection hidden="1"/>
    </xf>
    <xf numFmtId="0" fontId="14" fillId="10" borderId="0" xfId="2" applyFont="1" applyFill="1" applyAlignment="1" applyProtection="1">
      <alignment horizontal="center" wrapText="1"/>
      <protection hidden="1"/>
    </xf>
    <xf numFmtId="167" fontId="12" fillId="11" borderId="1" xfId="2" applyNumberFormat="1" applyFont="1" applyFill="1" applyBorder="1" applyAlignment="1" applyProtection="1">
      <alignment horizontal="center"/>
      <protection hidden="1"/>
    </xf>
    <xf numFmtId="167" fontId="12" fillId="11" borderId="14" xfId="2" applyNumberFormat="1" applyFont="1" applyFill="1" applyBorder="1" applyAlignment="1" applyProtection="1">
      <alignment horizontal="center"/>
      <protection hidden="1"/>
    </xf>
    <xf numFmtId="167" fontId="12" fillId="10" borderId="27" xfId="2" applyNumberFormat="1" applyFont="1" applyFill="1" applyBorder="1" applyAlignment="1" applyProtection="1">
      <alignment horizontal="center"/>
      <protection locked="0" hidden="1"/>
    </xf>
    <xf numFmtId="167" fontId="12" fillId="10" borderId="41" xfId="2" applyNumberFormat="1" applyFont="1" applyFill="1" applyBorder="1" applyAlignment="1" applyProtection="1">
      <alignment horizontal="center"/>
      <protection locked="0" hidden="1"/>
    </xf>
    <xf numFmtId="167" fontId="12" fillId="10" borderId="28" xfId="2" applyNumberFormat="1" applyFont="1" applyFill="1" applyBorder="1" applyAlignment="1" applyProtection="1">
      <alignment horizontal="center"/>
      <protection locked="0" hidden="1"/>
    </xf>
    <xf numFmtId="1" fontId="12" fillId="10" borderId="27" xfId="2" applyNumberFormat="1" applyFont="1" applyFill="1" applyBorder="1" applyAlignment="1" applyProtection="1">
      <alignment horizontal="center"/>
      <protection locked="0" hidden="1"/>
    </xf>
    <xf numFmtId="1" fontId="12" fillId="10" borderId="41" xfId="2" applyNumberFormat="1" applyFont="1" applyFill="1" applyBorder="1" applyAlignment="1" applyProtection="1">
      <alignment horizontal="center"/>
      <protection locked="0" hidden="1"/>
    </xf>
    <xf numFmtId="1" fontId="12" fillId="10" borderId="28" xfId="2" applyNumberFormat="1" applyFont="1" applyFill="1" applyBorder="1" applyAlignment="1" applyProtection="1">
      <alignment horizontal="center"/>
      <protection locked="0" hidden="1"/>
    </xf>
    <xf numFmtId="0" fontId="13" fillId="11" borderId="14" xfId="2" applyFont="1" applyFill="1" applyBorder="1" applyAlignment="1" applyProtection="1">
      <alignment horizontal="center"/>
      <protection hidden="1"/>
    </xf>
    <xf numFmtId="0" fontId="13" fillId="11" borderId="16" xfId="2" applyFont="1" applyFill="1" applyBorder="1" applyAlignment="1" applyProtection="1">
      <alignment horizontal="center"/>
      <protection hidden="1"/>
    </xf>
    <xf numFmtId="0" fontId="13" fillId="11" borderId="15" xfId="2" applyFont="1" applyFill="1" applyBorder="1" applyAlignment="1" applyProtection="1">
      <alignment horizontal="center"/>
      <protection hidden="1"/>
    </xf>
    <xf numFmtId="0" fontId="12" fillId="10" borderId="48" xfId="2" applyFont="1" applyFill="1" applyBorder="1" applyAlignment="1" applyProtection="1">
      <alignment horizontal="center"/>
      <protection hidden="1"/>
    </xf>
    <xf numFmtId="0" fontId="13" fillId="11" borderId="49" xfId="2" applyFont="1" applyFill="1" applyBorder="1" applyAlignment="1" applyProtection="1">
      <alignment horizontal="center"/>
      <protection hidden="1"/>
    </xf>
    <xf numFmtId="0" fontId="13" fillId="11" borderId="50" xfId="2" applyFont="1" applyFill="1" applyBorder="1" applyAlignment="1" applyProtection="1">
      <alignment horizontal="center"/>
      <protection hidden="1"/>
    </xf>
    <xf numFmtId="0" fontId="13" fillId="11" borderId="51" xfId="2" applyFont="1" applyFill="1" applyBorder="1" applyAlignment="1" applyProtection="1">
      <alignment horizontal="center"/>
      <protection hidden="1"/>
    </xf>
    <xf numFmtId="0" fontId="12" fillId="10" borderId="1" xfId="2" applyFont="1" applyFill="1" applyBorder="1" applyAlignment="1" applyProtection="1">
      <alignment horizontal="center"/>
      <protection locked="0"/>
    </xf>
    <xf numFmtId="0" fontId="12" fillId="10" borderId="27" xfId="2" applyFont="1" applyFill="1" applyBorder="1" applyAlignment="1" applyProtection="1">
      <alignment horizontal="center"/>
      <protection locked="0" hidden="1"/>
    </xf>
    <xf numFmtId="0" fontId="12" fillId="10" borderId="41" xfId="2" applyFont="1" applyFill="1" applyBorder="1" applyAlignment="1" applyProtection="1">
      <alignment horizontal="center"/>
      <protection locked="0" hidden="1"/>
    </xf>
    <xf numFmtId="0" fontId="12" fillId="10" borderId="28" xfId="2" applyFont="1" applyFill="1" applyBorder="1" applyAlignment="1" applyProtection="1">
      <alignment horizontal="center"/>
      <protection locked="0" hidden="1"/>
    </xf>
    <xf numFmtId="0" fontId="12" fillId="11" borderId="14" xfId="2" applyFont="1" applyFill="1" applyBorder="1" applyAlignment="1" applyProtection="1">
      <alignment horizontal="left" vertical="center"/>
      <protection hidden="1"/>
    </xf>
    <xf numFmtId="0" fontId="12" fillId="11" borderId="16" xfId="2" applyFont="1" applyFill="1" applyBorder="1" applyAlignment="1" applyProtection="1">
      <alignment horizontal="left" vertical="center"/>
      <protection hidden="1"/>
    </xf>
    <xf numFmtId="0" fontId="17" fillId="10" borderId="27" xfId="2" applyFont="1" applyFill="1" applyBorder="1" applyAlignment="1" applyProtection="1">
      <alignment horizontal="center" vertical="center"/>
      <protection locked="0"/>
    </xf>
    <xf numFmtId="0" fontId="17" fillId="10" borderId="41" xfId="2" applyFont="1" applyFill="1" applyBorder="1" applyAlignment="1" applyProtection="1">
      <alignment horizontal="center" vertical="center"/>
      <protection locked="0"/>
    </xf>
    <xf numFmtId="0" fontId="17" fillId="10" borderId="28" xfId="2" applyFont="1" applyFill="1" applyBorder="1" applyAlignment="1" applyProtection="1">
      <alignment horizontal="center" vertical="center"/>
      <protection locked="0"/>
    </xf>
    <xf numFmtId="0" fontId="13" fillId="11" borderId="1" xfId="2" applyFont="1" applyFill="1" applyBorder="1" applyAlignment="1" applyProtection="1">
      <alignment horizontal="center" vertical="center"/>
      <protection hidden="1"/>
    </xf>
    <xf numFmtId="0" fontId="12" fillId="11" borderId="38" xfId="2" applyFont="1" applyFill="1" applyBorder="1" applyAlignment="1" applyProtection="1">
      <alignment horizontal="left" vertical="center"/>
      <protection hidden="1"/>
    </xf>
    <xf numFmtId="0" fontId="16" fillId="10" borderId="27" xfId="2" applyFont="1" applyFill="1" applyBorder="1" applyAlignment="1" applyProtection="1">
      <alignment horizontal="center" vertical="center"/>
      <protection locked="0"/>
    </xf>
    <xf numFmtId="0" fontId="16" fillId="10" borderId="41" xfId="2" applyFont="1" applyFill="1" applyBorder="1" applyAlignment="1" applyProtection="1">
      <alignment horizontal="center" vertical="center"/>
      <protection locked="0"/>
    </xf>
    <xf numFmtId="0" fontId="16" fillId="10" borderId="28" xfId="2" applyFont="1" applyFill="1" applyBorder="1" applyAlignment="1" applyProtection="1">
      <alignment horizontal="center" vertical="center"/>
      <protection locked="0"/>
    </xf>
    <xf numFmtId="0" fontId="16" fillId="5" borderId="1" xfId="2" applyFont="1" applyFill="1" applyBorder="1" applyAlignment="1" applyProtection="1">
      <alignment horizontal="center" vertical="center" wrapText="1"/>
      <protection hidden="1"/>
    </xf>
    <xf numFmtId="0" fontId="13" fillId="11" borderId="25" xfId="2" applyFont="1" applyFill="1" applyBorder="1" applyAlignment="1" applyProtection="1">
      <alignment horizontal="left" vertical="center"/>
      <protection hidden="1"/>
    </xf>
    <xf numFmtId="0" fontId="13" fillId="11" borderId="0" xfId="2" applyFont="1" applyFill="1" applyAlignment="1" applyProtection="1">
      <alignment horizontal="left" vertical="center"/>
      <protection hidden="1"/>
    </xf>
    <xf numFmtId="0" fontId="13" fillId="11" borderId="12" xfId="2" applyFont="1" applyFill="1" applyBorder="1" applyAlignment="1" applyProtection="1">
      <alignment horizontal="left" vertical="center"/>
      <protection hidden="1"/>
    </xf>
    <xf numFmtId="0" fontId="13" fillId="11" borderId="42" xfId="2" applyFont="1" applyFill="1" applyBorder="1" applyAlignment="1" applyProtection="1">
      <alignment horizontal="left" vertical="center"/>
      <protection hidden="1"/>
    </xf>
    <xf numFmtId="0" fontId="13" fillId="11" borderId="26" xfId="2" applyFont="1" applyFill="1" applyBorder="1" applyAlignment="1" applyProtection="1">
      <alignment horizontal="left" vertical="center"/>
      <protection hidden="1"/>
    </xf>
    <xf numFmtId="0" fontId="13" fillId="11" borderId="44" xfId="2" applyFont="1" applyFill="1" applyBorder="1" applyAlignment="1" applyProtection="1">
      <alignment horizontal="left" vertical="center"/>
      <protection hidden="1"/>
    </xf>
    <xf numFmtId="0" fontId="16" fillId="11" borderId="42" xfId="2" applyFont="1" applyFill="1" applyBorder="1" applyAlignment="1" applyProtection="1">
      <alignment horizontal="center" vertical="center"/>
      <protection hidden="1"/>
    </xf>
    <xf numFmtId="0" fontId="16" fillId="11" borderId="26" xfId="2" applyFont="1" applyFill="1" applyBorder="1" applyAlignment="1" applyProtection="1">
      <alignment horizontal="center" vertical="center"/>
      <protection hidden="1"/>
    </xf>
    <xf numFmtId="0" fontId="16" fillId="11" borderId="44" xfId="2" applyFont="1" applyFill="1" applyBorder="1" applyAlignment="1" applyProtection="1">
      <alignment horizontal="center" vertical="center"/>
      <protection hidden="1"/>
    </xf>
    <xf numFmtId="0" fontId="16" fillId="11" borderId="25" xfId="2" applyFont="1" applyFill="1" applyBorder="1" applyAlignment="1" applyProtection="1">
      <alignment horizontal="left" vertical="center"/>
      <protection hidden="1"/>
    </xf>
    <xf numFmtId="0" fontId="16" fillId="11" borderId="0" xfId="2" applyFont="1" applyFill="1" applyAlignment="1" applyProtection="1">
      <alignment horizontal="left" vertical="center"/>
      <protection hidden="1"/>
    </xf>
    <xf numFmtId="0" fontId="16" fillId="11" borderId="12" xfId="2" applyFont="1" applyFill="1" applyBorder="1" applyAlignment="1" applyProtection="1">
      <alignment horizontal="left" vertical="center"/>
      <protection hidden="1"/>
    </xf>
    <xf numFmtId="0" fontId="2" fillId="11" borderId="1" xfId="2" applyFont="1" applyFill="1" applyBorder="1" applyAlignment="1">
      <alignment horizontal="left" vertical="center"/>
    </xf>
    <xf numFmtId="0" fontId="2" fillId="11" borderId="14" xfId="2" applyFont="1" applyFill="1" applyBorder="1" applyAlignment="1">
      <alignment horizontal="left" vertical="center"/>
    </xf>
    <xf numFmtId="0" fontId="2" fillId="11" borderId="46" xfId="2" applyFont="1" applyFill="1" applyBorder="1" applyAlignment="1">
      <alignment horizontal="center" vertical="center"/>
    </xf>
    <xf numFmtId="0" fontId="2" fillId="11" borderId="16" xfId="2" applyFont="1" applyFill="1" applyBorder="1" applyAlignment="1">
      <alignment horizontal="center" vertical="center"/>
    </xf>
    <xf numFmtId="0" fontId="2" fillId="11" borderId="38" xfId="2" applyFont="1" applyFill="1" applyBorder="1" applyAlignment="1">
      <alignment horizontal="center" vertical="center"/>
    </xf>
    <xf numFmtId="0" fontId="2" fillId="11" borderId="47" xfId="2" applyFont="1" applyFill="1" applyBorder="1" applyAlignment="1">
      <alignment horizontal="center" vertical="center"/>
    </xf>
    <xf numFmtId="0" fontId="2" fillId="11" borderId="26" xfId="2" applyFont="1" applyFill="1" applyBorder="1" applyAlignment="1">
      <alignment horizontal="center" vertical="center"/>
    </xf>
    <xf numFmtId="0" fontId="2" fillId="17" borderId="14" xfId="2" applyFont="1" applyFill="1" applyBorder="1" applyAlignment="1" applyProtection="1">
      <alignment horizontal="left" vertical="center"/>
      <protection locked="0"/>
    </xf>
    <xf numFmtId="0" fontId="2" fillId="17" borderId="16" xfId="2" applyFont="1" applyFill="1" applyBorder="1" applyAlignment="1" applyProtection="1">
      <alignment horizontal="left" vertical="center"/>
      <protection locked="0"/>
    </xf>
    <xf numFmtId="0" fontId="2" fillId="11" borderId="23" xfId="2" applyFont="1" applyFill="1" applyBorder="1" applyAlignment="1">
      <alignment horizontal="center" vertical="center"/>
    </xf>
    <xf numFmtId="0" fontId="2" fillId="11" borderId="0" xfId="2" applyFont="1" applyFill="1" applyAlignment="1">
      <alignment horizontal="center" vertical="center"/>
    </xf>
    <xf numFmtId="0" fontId="2" fillId="11" borderId="24" xfId="2" applyFont="1" applyFill="1" applyBorder="1" applyAlignment="1">
      <alignment horizontal="center" vertical="center"/>
    </xf>
    <xf numFmtId="0" fontId="2" fillId="11" borderId="46" xfId="2" applyFont="1" applyFill="1" applyBorder="1" applyAlignment="1">
      <alignment horizontal="center"/>
    </xf>
    <xf numFmtId="0" fontId="2" fillId="11" borderId="16" xfId="2" applyFont="1" applyFill="1" applyBorder="1" applyAlignment="1">
      <alignment horizontal="center"/>
    </xf>
    <xf numFmtId="49" fontId="12" fillId="17" borderId="27" xfId="2" applyNumberFormat="1" applyFont="1" applyFill="1" applyBorder="1" applyAlignment="1" applyProtection="1">
      <alignment horizontal="center" vertical="center"/>
      <protection locked="0"/>
    </xf>
    <xf numFmtId="49" fontId="12" fillId="17" borderId="28" xfId="2" applyNumberFormat="1" applyFont="1" applyFill="1" applyBorder="1" applyAlignment="1" applyProtection="1">
      <alignment horizontal="center" vertical="center"/>
      <protection locked="0"/>
    </xf>
    <xf numFmtId="165" fontId="0" fillId="0" borderId="27" xfId="0" applyNumberFormat="1" applyBorder="1" applyAlignment="1">
      <alignment horizontal="center" vertical="center"/>
    </xf>
    <xf numFmtId="165" fontId="0" fillId="0" borderId="28" xfId="0" applyNumberFormat="1" applyBorder="1" applyAlignment="1">
      <alignment horizontal="center" vertical="center"/>
    </xf>
    <xf numFmtId="0" fontId="0" fillId="0" borderId="23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165" fontId="2" fillId="10" borderId="27" xfId="2" applyNumberFormat="1" applyFont="1" applyFill="1" applyBorder="1" applyAlignment="1">
      <alignment horizontal="center" vertical="center"/>
    </xf>
    <xf numFmtId="165" fontId="2" fillId="10" borderId="28" xfId="2" applyNumberFormat="1" applyFont="1" applyFill="1" applyBorder="1" applyAlignment="1">
      <alignment horizontal="center" vertical="center"/>
    </xf>
    <xf numFmtId="0" fontId="2" fillId="11" borderId="1" xfId="2" applyFont="1" applyFill="1" applyBorder="1" applyAlignment="1">
      <alignment horizontal="center" vertical="center"/>
    </xf>
    <xf numFmtId="0" fontId="2" fillId="11" borderId="14" xfId="2" applyFont="1" applyFill="1" applyBorder="1" applyAlignment="1">
      <alignment horizontal="center" vertical="center"/>
    </xf>
    <xf numFmtId="0" fontId="2" fillId="11" borderId="14" xfId="2" applyFont="1" applyFill="1" applyBorder="1" applyAlignment="1">
      <alignment horizontal="left"/>
    </xf>
    <xf numFmtId="0" fontId="2" fillId="11" borderId="16" xfId="2" applyFont="1" applyFill="1" applyBorder="1" applyAlignment="1">
      <alignment horizontal="left"/>
    </xf>
    <xf numFmtId="0" fontId="12" fillId="11" borderId="1" xfId="2" applyFont="1" applyFill="1" applyBorder="1" applyAlignment="1">
      <alignment horizontal="left" vertical="center"/>
    </xf>
    <xf numFmtId="0" fontId="12" fillId="11" borderId="14" xfId="2" applyFont="1" applyFill="1" applyBorder="1" applyAlignment="1">
      <alignment horizontal="left" vertical="center"/>
    </xf>
    <xf numFmtId="0" fontId="12" fillId="11" borderId="14" xfId="2" applyFont="1" applyFill="1" applyBorder="1" applyAlignment="1">
      <alignment horizontal="left"/>
    </xf>
    <xf numFmtId="0" fontId="12" fillId="11" borderId="16" xfId="2" applyFont="1" applyFill="1" applyBorder="1" applyAlignment="1">
      <alignment horizontal="left"/>
    </xf>
    <xf numFmtId="0" fontId="13" fillId="11" borderId="1" xfId="2" applyFont="1" applyFill="1" applyBorder="1" applyAlignment="1">
      <alignment horizontal="left" vertical="center"/>
    </xf>
    <xf numFmtId="0" fontId="12" fillId="11" borderId="1" xfId="2" applyFont="1" applyFill="1" applyBorder="1" applyAlignment="1">
      <alignment horizontal="center" vertical="center"/>
    </xf>
    <xf numFmtId="0" fontId="12" fillId="11" borderId="14" xfId="2" applyFont="1" applyFill="1" applyBorder="1" applyAlignment="1">
      <alignment horizontal="center" vertical="center"/>
    </xf>
    <xf numFmtId="49" fontId="12" fillId="10" borderId="27" xfId="2" applyNumberFormat="1" applyFont="1" applyFill="1" applyBorder="1" applyAlignment="1" applyProtection="1">
      <alignment horizontal="center" vertical="center"/>
      <protection locked="0"/>
    </xf>
    <xf numFmtId="49" fontId="12" fillId="10" borderId="28" xfId="2" applyNumberFormat="1" applyFont="1" applyFill="1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2" fillId="0" borderId="27" xfId="0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 applyProtection="1">
      <alignment horizontal="center" vertical="center"/>
      <protection locked="0"/>
    </xf>
    <xf numFmtId="0" fontId="0" fillId="0" borderId="56" xfId="0" quotePrefix="1" applyBorder="1" applyAlignment="1" applyProtection="1">
      <alignment horizontal="center" vertical="center"/>
      <protection locked="0"/>
    </xf>
    <xf numFmtId="0" fontId="0" fillId="0" borderId="41" xfId="0" applyBorder="1" applyAlignment="1" applyProtection="1">
      <alignment horizontal="center" vertical="center"/>
      <protection locked="0"/>
    </xf>
    <xf numFmtId="0" fontId="13" fillId="11" borderId="35" xfId="2" applyFont="1" applyFill="1" applyBorder="1" applyAlignment="1" applyProtection="1">
      <alignment horizontal="center" vertical="center"/>
      <protection locked="0"/>
    </xf>
    <xf numFmtId="0" fontId="13" fillId="11" borderId="36" xfId="2" applyFont="1" applyFill="1" applyBorder="1" applyAlignment="1" applyProtection="1">
      <alignment horizontal="center" vertical="center"/>
      <protection locked="0"/>
    </xf>
    <xf numFmtId="0" fontId="12" fillId="11" borderId="1" xfId="2" applyFont="1" applyFill="1" applyBorder="1" applyAlignment="1" applyProtection="1">
      <alignment horizontal="left" vertical="center"/>
      <protection hidden="1"/>
    </xf>
    <xf numFmtId="0" fontId="12" fillId="11" borderId="3" xfId="2" applyFont="1" applyFill="1" applyBorder="1" applyAlignment="1" applyProtection="1">
      <alignment horizontal="left" vertical="center"/>
      <protection hidden="1"/>
    </xf>
    <xf numFmtId="0" fontId="12" fillId="11" borderId="42" xfId="2" applyFont="1" applyFill="1" applyBorder="1" applyAlignment="1" applyProtection="1">
      <alignment horizontal="left" vertical="center"/>
      <protection hidden="1"/>
    </xf>
    <xf numFmtId="0" fontId="12" fillId="10" borderId="4" xfId="2" applyFont="1" applyFill="1" applyBorder="1" applyAlignment="1" applyProtection="1">
      <alignment horizontal="center" vertical="center"/>
      <protection locked="0"/>
    </xf>
    <xf numFmtId="0" fontId="12" fillId="10" borderId="6" xfId="2" applyFont="1" applyFill="1" applyBorder="1" applyAlignment="1" applyProtection="1">
      <alignment horizontal="center" vertical="center"/>
      <protection locked="0"/>
    </xf>
    <xf numFmtId="0" fontId="12" fillId="10" borderId="5" xfId="2" applyFont="1" applyFill="1" applyBorder="1" applyAlignment="1" applyProtection="1">
      <alignment horizontal="center" vertical="center"/>
      <protection locked="0"/>
    </xf>
    <xf numFmtId="0" fontId="13" fillId="10" borderId="25" xfId="2" applyFont="1" applyFill="1" applyBorder="1" applyAlignment="1" applyProtection="1">
      <alignment horizontal="center"/>
      <protection hidden="1"/>
    </xf>
    <xf numFmtId="0" fontId="13" fillId="10" borderId="0" xfId="2" applyFont="1" applyFill="1" applyAlignment="1" applyProtection="1">
      <alignment horizontal="center"/>
      <protection hidden="1"/>
    </xf>
    <xf numFmtId="0" fontId="13" fillId="10" borderId="24" xfId="2" applyFont="1" applyFill="1" applyBorder="1" applyAlignment="1" applyProtection="1">
      <alignment horizontal="center"/>
      <protection hidden="1"/>
    </xf>
    <xf numFmtId="0" fontId="13" fillId="5" borderId="16" xfId="2" applyFont="1" applyFill="1" applyBorder="1" applyAlignment="1">
      <alignment horizontal="center"/>
    </xf>
    <xf numFmtId="0" fontId="13" fillId="5" borderId="15" xfId="2" applyFont="1" applyFill="1" applyBorder="1" applyAlignment="1">
      <alignment horizontal="center"/>
    </xf>
    <xf numFmtId="0" fontId="12" fillId="11" borderId="2" xfId="2" applyFont="1" applyFill="1" applyBorder="1" applyAlignment="1" applyProtection="1">
      <alignment horizontal="left" vertical="center"/>
      <protection hidden="1"/>
    </xf>
    <xf numFmtId="0" fontId="12" fillId="11" borderId="35" xfId="2" applyFont="1" applyFill="1" applyBorder="1" applyAlignment="1" applyProtection="1">
      <alignment horizontal="left" vertical="center"/>
      <protection hidden="1"/>
    </xf>
    <xf numFmtId="49" fontId="12" fillId="10" borderId="4" xfId="2" applyNumberFormat="1" applyFont="1" applyFill="1" applyBorder="1" applyAlignment="1" applyProtection="1">
      <alignment horizontal="left" vertical="center"/>
      <protection locked="0"/>
    </xf>
    <xf numFmtId="49" fontId="12" fillId="10" borderId="6" xfId="2" applyNumberFormat="1" applyFont="1" applyFill="1" applyBorder="1" applyAlignment="1" applyProtection="1">
      <alignment horizontal="left" vertical="center"/>
      <protection locked="0"/>
    </xf>
    <xf numFmtId="49" fontId="12" fillId="10" borderId="5" xfId="2" applyNumberFormat="1" applyFont="1" applyFill="1" applyBorder="1" applyAlignment="1" applyProtection="1">
      <alignment horizontal="left" vertical="center"/>
      <protection locked="0"/>
    </xf>
    <xf numFmtId="0" fontId="12" fillId="11" borderId="43" xfId="2" applyFont="1" applyFill="1" applyBorder="1" applyAlignment="1" applyProtection="1">
      <alignment horizontal="left" vertical="center"/>
      <protection hidden="1"/>
    </xf>
    <xf numFmtId="0" fontId="12" fillId="10" borderId="4" xfId="2" applyFont="1" applyFill="1" applyBorder="1" applyAlignment="1" applyProtection="1">
      <alignment horizontal="left" vertical="center"/>
      <protection locked="0"/>
    </xf>
    <xf numFmtId="0" fontId="12" fillId="10" borderId="6" xfId="2" applyFont="1" applyFill="1" applyBorder="1" applyAlignment="1" applyProtection="1">
      <alignment horizontal="left" vertical="center"/>
      <protection locked="0"/>
    </xf>
    <xf numFmtId="0" fontId="12" fillId="10" borderId="5" xfId="2" applyFont="1" applyFill="1" applyBorder="1" applyAlignment="1" applyProtection="1">
      <alignment horizontal="left" vertical="center"/>
      <protection locked="0"/>
    </xf>
    <xf numFmtId="176" fontId="12" fillId="10" borderId="27" xfId="2" applyNumberFormat="1" applyFont="1" applyFill="1" applyBorder="1" applyAlignment="1" applyProtection="1">
      <alignment horizontal="center" vertical="center"/>
      <protection locked="0"/>
    </xf>
    <xf numFmtId="176" fontId="12" fillId="10" borderId="41" xfId="2" applyNumberFormat="1" applyFont="1" applyFill="1" applyBorder="1" applyAlignment="1" applyProtection="1">
      <alignment horizontal="center" vertical="center"/>
      <protection locked="0"/>
    </xf>
    <xf numFmtId="176" fontId="12" fillId="10" borderId="28" xfId="2" applyNumberFormat="1" applyFont="1" applyFill="1" applyBorder="1" applyAlignment="1" applyProtection="1">
      <alignment horizontal="center" vertical="center"/>
      <protection locked="0"/>
    </xf>
    <xf numFmtId="0" fontId="13" fillId="5" borderId="14" xfId="2" applyFont="1" applyFill="1" applyBorder="1" applyAlignment="1" applyProtection="1">
      <alignment horizontal="center"/>
      <protection hidden="1"/>
    </xf>
    <xf numFmtId="0" fontId="13" fillId="5" borderId="16" xfId="2" applyFont="1" applyFill="1" applyBorder="1" applyAlignment="1" applyProtection="1">
      <alignment horizontal="center"/>
      <protection hidden="1"/>
    </xf>
    <xf numFmtId="0" fontId="13" fillId="5" borderId="36" xfId="2" applyFont="1" applyFill="1" applyBorder="1" applyAlignment="1" applyProtection="1">
      <alignment horizontal="center"/>
      <protection hidden="1"/>
    </xf>
    <xf numFmtId="0" fontId="13" fillId="5" borderId="43" xfId="2" applyFont="1" applyFill="1" applyBorder="1" applyAlignment="1" applyProtection="1">
      <alignment horizontal="center"/>
      <protection hidden="1"/>
    </xf>
    <xf numFmtId="0" fontId="52" fillId="0" borderId="26" xfId="5" applyFont="1" applyBorder="1" applyAlignment="1">
      <alignment horizontal="right" vertical="top"/>
    </xf>
    <xf numFmtId="0" fontId="12" fillId="10" borderId="27" xfId="2" applyFont="1" applyFill="1" applyBorder="1" applyAlignment="1" applyProtection="1">
      <alignment horizontal="center" vertical="center"/>
      <protection locked="0"/>
    </xf>
    <xf numFmtId="0" fontId="12" fillId="10" borderId="41" xfId="2" applyFont="1" applyFill="1" applyBorder="1" applyAlignment="1" applyProtection="1">
      <alignment horizontal="center" vertical="center"/>
      <protection locked="0"/>
    </xf>
    <xf numFmtId="0" fontId="12" fillId="10" borderId="28" xfId="2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14" fontId="12" fillId="10" borderId="27" xfId="2" applyNumberFormat="1" applyFont="1" applyFill="1" applyBorder="1" applyAlignment="1" applyProtection="1">
      <alignment horizontal="center" vertical="center"/>
      <protection locked="0"/>
    </xf>
    <xf numFmtId="0" fontId="12" fillId="11" borderId="15" xfId="2" applyFont="1" applyFill="1" applyBorder="1" applyAlignment="1" applyProtection="1">
      <alignment horizontal="left" vertical="center"/>
      <protection hidden="1"/>
    </xf>
    <xf numFmtId="20" fontId="12" fillId="10" borderId="27" xfId="2" applyNumberFormat="1" applyFont="1" applyFill="1" applyBorder="1" applyAlignment="1" applyProtection="1">
      <alignment horizontal="center" vertical="center"/>
      <protection locked="0"/>
    </xf>
    <xf numFmtId="21" fontId="12" fillId="10" borderId="41" xfId="2" applyNumberFormat="1" applyFont="1" applyFill="1" applyBorder="1" applyAlignment="1" applyProtection="1">
      <alignment horizontal="center" vertical="center"/>
      <protection locked="0"/>
    </xf>
    <xf numFmtId="21" fontId="12" fillId="10" borderId="28" xfId="2" applyNumberFormat="1" applyFont="1" applyFill="1" applyBorder="1" applyAlignment="1" applyProtection="1">
      <alignment horizontal="center" vertical="center"/>
      <protection locked="0"/>
    </xf>
    <xf numFmtId="21" fontId="12" fillId="10" borderId="27" xfId="2" applyNumberFormat="1" applyFont="1" applyFill="1" applyBorder="1" applyAlignment="1" applyProtection="1">
      <alignment horizontal="center" vertical="center"/>
      <protection locked="0"/>
    </xf>
    <xf numFmtId="0" fontId="12" fillId="10" borderId="4" xfId="2" applyFont="1" applyFill="1" applyBorder="1" applyAlignment="1" applyProtection="1">
      <alignment horizontal="left" vertical="center" wrapText="1"/>
      <protection locked="0"/>
    </xf>
    <xf numFmtId="0" fontId="12" fillId="10" borderId="6" xfId="2" applyFont="1" applyFill="1" applyBorder="1" applyAlignment="1" applyProtection="1">
      <alignment horizontal="left" vertical="center" wrapText="1"/>
      <protection locked="0"/>
    </xf>
    <xf numFmtId="0" fontId="12" fillId="10" borderId="5" xfId="2" applyFont="1" applyFill="1" applyBorder="1" applyAlignment="1" applyProtection="1">
      <alignment horizontal="left" vertical="center" wrapText="1"/>
      <protection locked="0"/>
    </xf>
    <xf numFmtId="0" fontId="12" fillId="11" borderId="44" xfId="2" applyFont="1" applyFill="1" applyBorder="1" applyAlignment="1" applyProtection="1">
      <alignment horizontal="left" vertical="center"/>
      <protection hidden="1"/>
    </xf>
    <xf numFmtId="0" fontId="12" fillId="11" borderId="35" xfId="2" applyFont="1" applyFill="1" applyBorder="1" applyAlignment="1" applyProtection="1">
      <alignment horizontal="center"/>
      <protection hidden="1"/>
    </xf>
    <xf numFmtId="0" fontId="12" fillId="11" borderId="45" xfId="2" applyFont="1" applyFill="1" applyBorder="1" applyAlignment="1" applyProtection="1">
      <alignment horizontal="center"/>
      <protection hidden="1"/>
    </xf>
    <xf numFmtId="0" fontId="12" fillId="10" borderId="17" xfId="2" applyFont="1" applyFill="1" applyBorder="1" applyAlignment="1" applyProtection="1">
      <alignment horizontal="center"/>
      <protection hidden="1"/>
    </xf>
    <xf numFmtId="0" fontId="12" fillId="10" borderId="18" xfId="2" applyFont="1" applyFill="1" applyBorder="1" applyAlignment="1" applyProtection="1">
      <alignment horizontal="center"/>
      <protection hidden="1"/>
    </xf>
    <xf numFmtId="0" fontId="12" fillId="10" borderId="19" xfId="2" applyFont="1" applyFill="1" applyBorder="1" applyAlignment="1" applyProtection="1">
      <alignment horizontal="center"/>
      <protection hidden="1"/>
    </xf>
    <xf numFmtId="0" fontId="12" fillId="11" borderId="25" xfId="2" applyFont="1" applyFill="1" applyBorder="1" applyAlignment="1" applyProtection="1">
      <alignment horizontal="left" vertical="center"/>
      <protection hidden="1"/>
    </xf>
    <xf numFmtId="176" fontId="12" fillId="10" borderId="1" xfId="2" applyNumberFormat="1" applyFont="1" applyFill="1" applyBorder="1" applyAlignment="1" applyProtection="1">
      <alignment horizontal="center" vertical="center"/>
      <protection hidden="1"/>
    </xf>
    <xf numFmtId="0" fontId="0" fillId="12" borderId="4" xfId="0" applyFill="1" applyBorder="1" applyAlignment="1" applyProtection="1">
      <alignment horizontal="center"/>
      <protection locked="0"/>
    </xf>
    <xf numFmtId="0" fontId="0" fillId="12" borderId="5" xfId="0" applyFill="1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49" fontId="0" fillId="0" borderId="27" xfId="0" applyNumberFormat="1" applyBorder="1" applyAlignment="1" applyProtection="1">
      <alignment horizontal="center" vertical="center"/>
      <protection locked="0"/>
    </xf>
    <xf numFmtId="2" fontId="0" fillId="0" borderId="27" xfId="1" applyNumberFormat="1" applyFont="1" applyBorder="1" applyAlignment="1" applyProtection="1">
      <alignment horizontal="center" vertical="center"/>
    </xf>
    <xf numFmtId="2" fontId="0" fillId="0" borderId="41" xfId="1" applyNumberFormat="1" applyFont="1" applyBorder="1" applyAlignment="1" applyProtection="1">
      <alignment horizontal="center" vertical="center"/>
    </xf>
    <xf numFmtId="2" fontId="0" fillId="0" borderId="28" xfId="1" applyNumberFormat="1" applyFont="1" applyBorder="1" applyAlignment="1" applyProtection="1">
      <alignment horizontal="center" vertical="center"/>
    </xf>
    <xf numFmtId="0" fontId="2" fillId="0" borderId="20" xfId="2" applyFont="1" applyBorder="1" applyAlignment="1">
      <alignment horizontal="center" vertical="center"/>
    </xf>
    <xf numFmtId="0" fontId="2" fillId="0" borderId="22" xfId="2" applyFont="1" applyBorder="1" applyAlignment="1">
      <alignment horizontal="center" vertical="center"/>
    </xf>
    <xf numFmtId="0" fontId="1" fillId="2" borderId="17" xfId="0" applyFont="1" applyFill="1" applyBorder="1" applyAlignment="1" applyProtection="1">
      <alignment horizontal="center" vertical="center" wrapText="1"/>
      <protection locked="0"/>
    </xf>
    <xf numFmtId="0" fontId="1" fillId="2" borderId="18" xfId="0" applyFont="1" applyFill="1" applyBorder="1" applyAlignment="1" applyProtection="1">
      <alignment horizontal="center" vertical="center" wrapText="1"/>
      <protection locked="0"/>
    </xf>
    <xf numFmtId="0" fontId="1" fillId="2" borderId="19" xfId="0" applyFont="1" applyFill="1" applyBorder="1" applyAlignment="1" applyProtection="1">
      <alignment horizontal="center" vertical="center" wrapText="1"/>
      <protection locked="0"/>
    </xf>
    <xf numFmtId="0" fontId="1" fillId="2" borderId="23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2" borderId="24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 vertical="center"/>
    </xf>
    <xf numFmtId="0" fontId="0" fillId="0" borderId="12" xfId="0" applyBorder="1" applyAlignment="1">
      <alignment horizontal="center"/>
    </xf>
    <xf numFmtId="168" fontId="0" fillId="0" borderId="1" xfId="0" applyNumberFormat="1" applyBorder="1" applyAlignment="1">
      <alignment horizontal="left" vertical="center" indent="4"/>
    </xf>
    <xf numFmtId="0" fontId="0" fillId="0" borderId="25" xfId="0" applyBorder="1" applyAlignment="1">
      <alignment horizontal="center"/>
    </xf>
    <xf numFmtId="11" fontId="0" fillId="0" borderId="1" xfId="0" applyNumberFormat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167" fontId="0" fillId="0" borderId="9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165" fontId="46" fillId="0" borderId="1" xfId="0" applyNumberFormat="1" applyFont="1" applyBorder="1" applyAlignment="1">
      <alignment horizontal="center" vertical="center" wrapText="1"/>
    </xf>
    <xf numFmtId="2" fontId="46" fillId="0" borderId="1" xfId="0" applyNumberFormat="1" applyFont="1" applyBorder="1" applyAlignment="1">
      <alignment horizontal="center" vertical="center"/>
    </xf>
    <xf numFmtId="2" fontId="46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185" fontId="0" fillId="0" borderId="1" xfId="0" applyNumberForma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81" fontId="46" fillId="0" borderId="1" xfId="0" applyNumberFormat="1" applyFont="1" applyBorder="1" applyAlignment="1">
      <alignment horizontal="center" vertical="center"/>
    </xf>
    <xf numFmtId="181" fontId="46" fillId="0" borderId="2" xfId="0" applyNumberFormat="1" applyFont="1" applyBorder="1" applyAlignment="1">
      <alignment horizontal="center" vertical="center"/>
    </xf>
    <xf numFmtId="189" fontId="46" fillId="0" borderId="1" xfId="0" applyNumberFormat="1" applyFont="1" applyBorder="1" applyAlignment="1">
      <alignment horizontal="center" vertical="center"/>
    </xf>
    <xf numFmtId="187" fontId="46" fillId="0" borderId="1" xfId="0" applyNumberFormat="1" applyFont="1" applyBorder="1" applyAlignment="1">
      <alignment horizontal="center" vertical="center"/>
    </xf>
    <xf numFmtId="169" fontId="0" fillId="4" borderId="9" xfId="0" applyNumberFormat="1" applyFill="1" applyBorder="1" applyAlignment="1">
      <alignment horizontal="center" vertical="center"/>
    </xf>
    <xf numFmtId="169" fontId="0" fillId="4" borderId="11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4" fillId="14" borderId="25" xfId="0" applyFont="1" applyFill="1" applyBorder="1" applyAlignment="1">
      <alignment horizontal="center"/>
    </xf>
    <xf numFmtId="0" fontId="24" fillId="14" borderId="0" xfId="0" applyFont="1" applyFill="1" applyAlignment="1">
      <alignment horizontal="center"/>
    </xf>
    <xf numFmtId="0" fontId="1" fillId="13" borderId="14" xfId="5" applyFont="1" applyFill="1" applyBorder="1" applyAlignment="1">
      <alignment horizontal="center" vertical="center" wrapText="1"/>
    </xf>
    <xf numFmtId="0" fontId="1" fillId="13" borderId="16" xfId="5" applyFont="1" applyFill="1" applyBorder="1" applyAlignment="1">
      <alignment horizontal="center" vertical="center" wrapText="1"/>
    </xf>
    <xf numFmtId="0" fontId="1" fillId="13" borderId="15" xfId="5" applyFont="1" applyFill="1" applyBorder="1" applyAlignment="1">
      <alignment horizontal="center" vertical="center" wrapText="1"/>
    </xf>
    <xf numFmtId="166" fontId="1" fillId="0" borderId="46" xfId="0" quotePrefix="1" applyNumberFormat="1" applyFont="1" applyBorder="1" applyAlignment="1" applyProtection="1">
      <alignment horizontal="center"/>
      <protection locked="0"/>
    </xf>
    <xf numFmtId="166" fontId="1" fillId="0" borderId="15" xfId="0" applyNumberFormat="1" applyFont="1" applyBorder="1" applyAlignment="1" applyProtection="1">
      <alignment horizontal="center"/>
      <protection locked="0"/>
    </xf>
    <xf numFmtId="166" fontId="1" fillId="0" borderId="46" xfId="0" applyNumberFormat="1" applyFont="1" applyBorder="1" applyAlignment="1" applyProtection="1">
      <alignment horizontal="center"/>
      <protection locked="0"/>
    </xf>
    <xf numFmtId="165" fontId="23" fillId="0" borderId="1" xfId="0" applyNumberFormat="1" applyFont="1" applyBorder="1" applyAlignment="1">
      <alignment horizontal="center" vertical="center"/>
    </xf>
    <xf numFmtId="166" fontId="23" fillId="0" borderId="1" xfId="0" applyNumberFormat="1" applyFont="1" applyBorder="1" applyAlignment="1">
      <alignment horizontal="center" vertical="center"/>
    </xf>
    <xf numFmtId="165" fontId="34" fillId="0" borderId="1" xfId="4" applyNumberFormat="1" applyFont="1" applyFill="1" applyBorder="1" applyAlignment="1" applyProtection="1">
      <alignment horizontal="center" vertical="center" wrapText="1"/>
      <protection hidden="1"/>
    </xf>
    <xf numFmtId="187" fontId="23" fillId="10" borderId="1" xfId="5" applyNumberFormat="1" applyFont="1" applyFill="1" applyBorder="1" applyAlignment="1" applyProtection="1">
      <alignment horizontal="center" vertical="center"/>
      <protection hidden="1"/>
    </xf>
    <xf numFmtId="165" fontId="23" fillId="0" borderId="14" xfId="0" applyNumberFormat="1" applyFont="1" applyBorder="1" applyAlignment="1">
      <alignment horizontal="center" vertical="center"/>
    </xf>
    <xf numFmtId="165" fontId="23" fillId="0" borderId="16" xfId="0" applyNumberFormat="1" applyFont="1" applyBorder="1" applyAlignment="1">
      <alignment horizontal="center" vertical="center"/>
    </xf>
    <xf numFmtId="165" fontId="23" fillId="0" borderId="15" xfId="0" applyNumberFormat="1" applyFont="1" applyBorder="1" applyAlignment="1">
      <alignment horizontal="center" vertical="center"/>
    </xf>
    <xf numFmtId="2" fontId="39" fillId="0" borderId="1" xfId="0" applyNumberFormat="1" applyFont="1" applyBorder="1" applyAlignment="1">
      <alignment horizontal="center" vertical="center"/>
    </xf>
    <xf numFmtId="182" fontId="53" fillId="0" borderId="0" xfId="0" applyNumberFormat="1" applyFont="1" applyAlignment="1">
      <alignment horizontal="center"/>
    </xf>
  </cellXfs>
  <cellStyles count="6">
    <cellStyle name="Millares [0] 2" xfId="3" xr:uid="{00000000-0005-0000-0000-000000000000}"/>
    <cellStyle name="Moneda 2" xfId="4" xr:uid="{00000000-0005-0000-0000-000001000000}"/>
    <cellStyle name="Normal" xfId="0" builtinId="0"/>
    <cellStyle name="Normal 2" xfId="2" xr:uid="{00000000-0005-0000-0000-000003000000}"/>
    <cellStyle name="Normal 2 2" xfId="5" xr:uid="{00000000-0005-0000-0000-000004000000}"/>
    <cellStyle name="Porcentaje" xfId="1" builtinId="5"/>
  </cellStyles>
  <dxfs count="62">
    <dxf>
      <font>
        <color theme="0"/>
      </font>
      <border>
        <left/>
        <right/>
        <bottom/>
      </border>
    </dxf>
    <dxf>
      <font>
        <color rgb="FFFF0000"/>
      </font>
    </dxf>
    <dxf>
      <fill>
        <patternFill>
          <fgColor rgb="FFFF0000"/>
          <bgColor rgb="FFFF0000"/>
        </patternFill>
      </fill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rgb="FFFF0000"/>
      </font>
    </dxf>
    <dxf>
      <font>
        <color rgb="FFFF0000"/>
      </font>
    </dxf>
    <dxf>
      <border>
        <left/>
        <right/>
        <bottom/>
        <vertical/>
        <horizontal/>
      </border>
    </dxf>
    <dxf>
      <fill>
        <patternFill>
          <fgColor rgb="FFFF0000"/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border>
        <left/>
        <right/>
        <bottom/>
        <vertical/>
        <horizontal/>
      </border>
    </dxf>
    <dxf>
      <border>
        <left/>
        <right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border>
        <left/>
        <right/>
        <top style="thin">
          <color auto="1"/>
        </top>
        <bottom/>
        <vertical/>
        <horizontal/>
      </border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lightVertical"/>
      </fill>
    </dxf>
    <dxf>
      <fill>
        <patternFill patternType="lightVertical"/>
      </fill>
    </dxf>
    <dxf>
      <fill>
        <patternFill patternType="lightVertical"/>
      </fill>
    </dxf>
    <dxf>
      <fill>
        <patternFill patternType="lightVertical"/>
      </fill>
    </dxf>
    <dxf>
      <fill>
        <patternFill patternType="lightVertical"/>
      </fill>
    </dxf>
    <dxf>
      <fill>
        <patternFill patternType="lightVertical"/>
      </fill>
    </dxf>
    <dxf>
      <fill>
        <patternFill patternType="lightVertical"/>
      </fill>
    </dxf>
    <dxf>
      <font>
        <color theme="0"/>
      </font>
      <fill>
        <patternFill patternType="lightVertical"/>
      </fill>
    </dxf>
    <dxf>
      <font>
        <color theme="0"/>
      </font>
      <fill>
        <patternFill patternType="darkVertical"/>
      </fill>
    </dxf>
    <dxf>
      <fill>
        <patternFill patternType="lightVertical"/>
      </fill>
    </dxf>
    <dxf>
      <font>
        <color theme="0"/>
      </font>
      <fill>
        <patternFill patternType="lightVertical"/>
      </fill>
    </dxf>
    <dxf>
      <fill>
        <patternFill patternType="lightVertical"/>
      </fill>
    </dxf>
    <dxf>
      <font>
        <color theme="0"/>
      </font>
      <fill>
        <patternFill patternType="lightVertical"/>
      </fill>
    </dxf>
    <dxf>
      <fill>
        <patternFill patternType="lightVertical"/>
      </fill>
    </dxf>
    <dxf>
      <font>
        <color theme="0"/>
      </font>
      <fill>
        <patternFill patternType="darkVertical"/>
      </fill>
    </dxf>
    <dxf>
      <font>
        <color theme="0"/>
      </font>
      <fill>
        <patternFill patternType="lightVertical"/>
      </fill>
    </dxf>
    <dxf>
      <font>
        <color theme="0"/>
      </font>
    </dxf>
    <dxf>
      <fill>
        <patternFill patternType="lightVertical"/>
      </fill>
    </dxf>
    <dxf>
      <fill>
        <patternFill patternType="lightVertical"/>
      </fill>
    </dxf>
    <dxf>
      <fill>
        <patternFill patternType="lightVertical"/>
      </fill>
    </dxf>
    <dxf>
      <fill>
        <patternFill patternType="lightVertical"/>
      </fill>
    </dxf>
    <dxf>
      <fill>
        <patternFill patternType="lightVertical"/>
      </fill>
    </dxf>
    <dxf>
      <fill>
        <patternFill patternType="lightVertical"/>
      </fill>
    </dxf>
    <dxf>
      <fill>
        <patternFill patternType="lightVertical"/>
      </fill>
    </dxf>
    <dxf>
      <fill>
        <patternFill patternType="lightVertical"/>
      </fill>
    </dxf>
    <dxf>
      <fill>
        <patternFill patternType="lightVertical"/>
      </fill>
    </dxf>
    <dxf>
      <fill>
        <patternFill patternType="lightVertical"/>
      </fill>
    </dxf>
    <dxf>
      <font>
        <color theme="0"/>
      </font>
      <fill>
        <patternFill patternType="darkVertical"/>
      </fill>
    </dxf>
    <dxf>
      <font>
        <color theme="0"/>
      </font>
      <fill>
        <patternFill patternType="lightVertical"/>
      </fill>
    </dxf>
    <dxf>
      <fill>
        <patternFill patternType="lightVertical"/>
      </fill>
    </dxf>
    <dxf>
      <fill>
        <patternFill patternType="lightVertical"/>
      </fill>
    </dxf>
    <dxf>
      <fill>
        <patternFill patternType="lightVertical"/>
      </fill>
    </dxf>
    <dxf>
      <fill>
        <patternFill patternType="lightVertical"/>
      </fill>
    </dxf>
    <dxf>
      <fill>
        <patternFill patternType="lightVertical"/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ont>
        <color theme="0"/>
      </font>
      <fill>
        <patternFill patternType="lightVertical"/>
      </fill>
    </dxf>
    <dxf>
      <fill>
        <patternFill>
          <bgColor theme="7" tint="0.59996337778862885"/>
        </patternFill>
      </fill>
    </dxf>
    <dxf>
      <fill>
        <patternFill patternType="lightVertical"/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Curva de Ajuste Polinomio Grado 6</a:t>
            </a:r>
          </a:p>
        </c:rich>
      </c:tx>
      <c:layout>
        <c:manualLayout>
          <c:xMode val="edge"/>
          <c:yMode val="edge"/>
          <c:x val="0.14320192874913437"/>
          <c:y val="3.62691935773718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093014935934156E-2"/>
          <c:y val="0.33883731311291987"/>
          <c:w val="0.82330063778882678"/>
          <c:h val="0.602429444119892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0.1440471444299817"/>
                  <c:y val="-0.428510861720767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strRef>
              <c:f>'Base Patrones Presion'!$C$8:$C$19</c:f>
              <c:strCache>
                <c:ptCount val="9"/>
                <c:pt idx="0">
                  <c:v>-1,9992</c:v>
                </c:pt>
                <c:pt idx="1">
                  <c:v>-1,4995</c:v>
                </c:pt>
                <c:pt idx="2">
                  <c:v>-0,9995</c:v>
                </c:pt>
                <c:pt idx="3">
                  <c:v>-0,4997</c:v>
                </c:pt>
                <c:pt idx="4">
                  <c:v>0,0001</c:v>
                </c:pt>
                <c:pt idx="5">
                  <c:v>0,4998</c:v>
                </c:pt>
                <c:pt idx="6">
                  <c:v>0,9995</c:v>
                </c:pt>
                <c:pt idx="7">
                  <c:v>1,4993</c:v>
                </c:pt>
                <c:pt idx="8">
                  <c:v>1,9991</c:v>
                </c:pt>
              </c:strCache>
            </c:strRef>
          </c:xVal>
          <c:yVal>
            <c:numRef>
              <c:f>'Base Patrones Presion'!$D$8:$D$19</c:f>
              <c:numCache>
                <c:formatCode>0.0000</c:formatCode>
                <c:ptCount val="12"/>
                <c:pt idx="0">
                  <c:v>-5.0000000000105516E-5</c:v>
                </c:pt>
                <c:pt idx="1">
                  <c:v>1.7000000000000348E-4</c:v>
                </c:pt>
                <c:pt idx="2">
                  <c:v>1.100000000000545E-4</c:v>
                </c:pt>
                <c:pt idx="3">
                  <c:v>1.4000000000002899E-4</c:v>
                </c:pt>
                <c:pt idx="4">
                  <c:v>1.1E-4</c:v>
                </c:pt>
                <c:pt idx="5">
                  <c:v>8.0000000000024496E-5</c:v>
                </c:pt>
                <c:pt idx="6">
                  <c:v>2.1000000000004349E-4</c:v>
                </c:pt>
                <c:pt idx="7">
                  <c:v>9.9999999999988987E-5</c:v>
                </c:pt>
                <c:pt idx="8">
                  <c:v>7.0000000000014495E-5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A8-498B-BF6C-4881B519B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94884720"/>
        <c:axId val="-1094885808"/>
      </c:scatterChart>
      <c:valAx>
        <c:axId val="-109488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094885808"/>
        <c:crosses val="autoZero"/>
        <c:crossBetween val="midCat"/>
      </c:valAx>
      <c:valAx>
        <c:axId val="-109488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09488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Curva de ajuste incertidumbre</a:t>
            </a:r>
          </a:p>
        </c:rich>
      </c:tx>
      <c:layout>
        <c:manualLayout>
          <c:xMode val="edge"/>
          <c:yMode val="edge"/>
          <c:x val="6.4920321003909515E-2"/>
          <c:y val="2.04909436482915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4.7092306232805234E-2"/>
          <c:y val="0.32958879972694466"/>
          <c:w val="0.85240970179932329"/>
          <c:h val="0.5387897643557332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0.1500153344399057"/>
                  <c:y val="-0.191274891656152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strRef>
              <c:f>'Base Patrones Presion'!$C$8:$C$19</c:f>
              <c:strCache>
                <c:ptCount val="9"/>
                <c:pt idx="0">
                  <c:v>-1,9992</c:v>
                </c:pt>
                <c:pt idx="1">
                  <c:v>-1,4995</c:v>
                </c:pt>
                <c:pt idx="2">
                  <c:v>-0,9995</c:v>
                </c:pt>
                <c:pt idx="3">
                  <c:v>-0,4997</c:v>
                </c:pt>
                <c:pt idx="4">
                  <c:v>0,0001</c:v>
                </c:pt>
                <c:pt idx="5">
                  <c:v>0,4998</c:v>
                </c:pt>
                <c:pt idx="6">
                  <c:v>0,9995</c:v>
                </c:pt>
                <c:pt idx="7">
                  <c:v>1,4993</c:v>
                </c:pt>
                <c:pt idx="8">
                  <c:v>1,9991</c:v>
                </c:pt>
              </c:strCache>
            </c:strRef>
          </c:xVal>
          <c:yVal>
            <c:numRef>
              <c:f>'Base Patrones Presion'!$E$8:$E$19</c:f>
              <c:numCache>
                <c:formatCode>0.00E+00</c:formatCode>
                <c:ptCount val="12"/>
                <c:pt idx="0">
                  <c:v>5.1999999999999995E-4</c:v>
                </c:pt>
                <c:pt idx="1">
                  <c:v>5.0000000000000001E-4</c:v>
                </c:pt>
                <c:pt idx="2">
                  <c:v>4.8999999999999998E-4</c:v>
                </c:pt>
                <c:pt idx="3">
                  <c:v>4.8999999999999998E-4</c:v>
                </c:pt>
                <c:pt idx="4">
                  <c:v>4.8999999999999998E-4</c:v>
                </c:pt>
                <c:pt idx="5">
                  <c:v>4.8999999999999998E-4</c:v>
                </c:pt>
                <c:pt idx="6">
                  <c:v>4.8999999999999998E-4</c:v>
                </c:pt>
                <c:pt idx="7">
                  <c:v>4.8999999999999998E-4</c:v>
                </c:pt>
                <c:pt idx="8">
                  <c:v>5.0000000000000001E-4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85-40BA-A976-8038666919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-951669392"/>
        <c:axId val="-951675920"/>
      </c:scatterChart>
      <c:valAx>
        <c:axId val="-95166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951675920"/>
        <c:crosses val="autoZero"/>
        <c:crossBetween val="midCat"/>
      </c:valAx>
      <c:valAx>
        <c:axId val="-95167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95166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'TOMA DE DATOS'!$F$20</c:f>
              <c:strCache>
                <c:ptCount val="1"/>
                <c:pt idx="0">
                  <c:v>InH2O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'Tabla de resultados'!$AL$92:$AL$101</c:f>
                <c:numCache>
                  <c:formatCode>General</c:formatCode>
                  <c:ptCount val="10"/>
                  <c:pt idx="0">
                    <c:v>3.467584239495362E-3</c:v>
                  </c:pt>
                  <c:pt idx="1">
                    <c:v>3.4285763046457336E-3</c:v>
                  </c:pt>
                  <c:pt idx="2">
                    <c:v>3.2679411364645305E-3</c:v>
                  </c:pt>
                  <c:pt idx="3">
                    <c:v>3.7084399158444467E-3</c:v>
                  </c:pt>
                  <c:pt idx="4">
                    <c:v>4.2249301795724828E-3</c:v>
                  </c:pt>
                  <c:pt idx="5">
                    <c:v>3.2679191481815475E-3</c:v>
                  </c:pt>
                  <c:pt idx="6">
                    <c:v>3.2364737880517989E-3</c:v>
                  </c:pt>
                  <c:pt idx="7">
                    <c:v>3.2364737880517989E-3</c:v>
                  </c:pt>
                  <c:pt idx="8">
                    <c:v>3.2364737880517989E-3</c:v>
                  </c:pt>
                  <c:pt idx="9">
                    <c:v>3.2364737880517989E-3</c:v>
                  </c:pt>
                </c:numCache>
              </c:numRef>
            </c:plus>
            <c:minus>
              <c:numRef>
                <c:f>'Tabla de resultados'!$AL$92:$AL$101</c:f>
                <c:numCache>
                  <c:formatCode>General</c:formatCode>
                  <c:ptCount val="10"/>
                  <c:pt idx="0">
                    <c:v>3.467584239495362E-3</c:v>
                  </c:pt>
                  <c:pt idx="1">
                    <c:v>3.4285763046457336E-3</c:v>
                  </c:pt>
                  <c:pt idx="2">
                    <c:v>3.2679411364645305E-3</c:v>
                  </c:pt>
                  <c:pt idx="3">
                    <c:v>3.7084399158444467E-3</c:v>
                  </c:pt>
                  <c:pt idx="4">
                    <c:v>4.2249301795724828E-3</c:v>
                  </c:pt>
                  <c:pt idx="5">
                    <c:v>3.2679191481815475E-3</c:v>
                  </c:pt>
                  <c:pt idx="6">
                    <c:v>3.2364737880517989E-3</c:v>
                  </c:pt>
                  <c:pt idx="7">
                    <c:v>3.2364737880517989E-3</c:v>
                  </c:pt>
                  <c:pt idx="8">
                    <c:v>3.2364737880517989E-3</c:v>
                  </c:pt>
                  <c:pt idx="9">
                    <c:v>3.2364737880517989E-3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'Tabla de resultados'!$AN$92:$AN$101</c:f>
              <c:numCache>
                <c:formatCode>0.00000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xVal>
          <c:yVal>
            <c:numRef>
              <c:f>'Tabla de resultados'!$AM$92:$AM$101</c:f>
              <c:numCache>
                <c:formatCode>0.00</c:formatCode>
                <c:ptCount val="10"/>
                <c:pt idx="0">
                  <c:v>-4.3906123422819774E-3</c:v>
                </c:pt>
                <c:pt idx="1">
                  <c:v>-6.9724144015978484E-4</c:v>
                </c:pt>
                <c:pt idx="2">
                  <c:v>4.0963844663204629E-3</c:v>
                </c:pt>
                <c:pt idx="3">
                  <c:v>1.1893614657807472E-3</c:v>
                </c:pt>
                <c:pt idx="4">
                  <c:v>3.8339679135848681E-4</c:v>
                </c:pt>
                <c:pt idx="5">
                  <c:v>-8.2149991936547595E-4</c:v>
                </c:pt>
                <c:pt idx="6" formatCode="0.000">
                  <c:v>0</c:v>
                </c:pt>
                <c:pt idx="7" formatCode="0.000">
                  <c:v>0</c:v>
                </c:pt>
                <c:pt idx="8" formatCode="0.000">
                  <c:v>0</c:v>
                </c:pt>
                <c:pt idx="9" formatCode="0.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B5-4355-92D6-CB552041B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94879280"/>
        <c:axId val="-1094884176"/>
      </c:scatterChart>
      <c:valAx>
        <c:axId val="-1094879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Presión Aplicada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094884176"/>
        <c:crosses val="autoZero"/>
        <c:crossBetween val="midCat"/>
      </c:valAx>
      <c:valAx>
        <c:axId val="-109488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09487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3</xdr:row>
      <xdr:rowOff>2646</xdr:rowOff>
    </xdr:from>
    <xdr:to>
      <xdr:col>10</xdr:col>
      <xdr:colOff>1169457</xdr:colOff>
      <xdr:row>16</xdr:row>
      <xdr:rowOff>58208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57E34F-2A0E-409E-9879-55A6582FE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438148</xdr:colOff>
      <xdr:row>61</xdr:row>
      <xdr:rowOff>125412</xdr:rowOff>
    </xdr:from>
    <xdr:ext cx="38576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78526804-BBB1-4BE7-A200-8710EFAA6FB8}"/>
                </a:ext>
              </a:extLst>
            </xdr:cNvPr>
            <xdr:cNvSpPr txBox="1"/>
          </xdr:nvSpPr>
          <xdr:spPr>
            <a:xfrm>
              <a:off x="11210923" y="16536987"/>
              <a:ext cx="38576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𝑖𝑛𝑡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78526804-BBB1-4BE7-A200-8710EFAA6FB8}"/>
                </a:ext>
              </a:extLst>
            </xdr:cNvPr>
            <xdr:cNvSpPr txBox="1"/>
          </xdr:nvSpPr>
          <xdr:spPr>
            <a:xfrm>
              <a:off x="11210923" y="16536987"/>
              <a:ext cx="38576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𝑆_𝑖𝑛𝑡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10</xdr:col>
      <xdr:colOff>298449</xdr:colOff>
      <xdr:row>61</xdr:row>
      <xdr:rowOff>19048</xdr:rowOff>
    </xdr:from>
    <xdr:ext cx="757238" cy="3496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59AB650B-ABA6-4CA6-A27F-68DA31ACA947}"/>
                </a:ext>
              </a:extLst>
            </xdr:cNvPr>
            <xdr:cNvSpPr txBox="1"/>
          </xdr:nvSpPr>
          <xdr:spPr>
            <a:xfrm>
              <a:off x="12366624" y="16430623"/>
              <a:ext cx="757238" cy="3496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𝑖𝑛𝑡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s-CO" sz="110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59AB650B-ABA6-4CA6-A27F-68DA31ACA947}"/>
                </a:ext>
              </a:extLst>
            </xdr:cNvPr>
            <xdr:cNvSpPr txBox="1"/>
          </xdr:nvSpPr>
          <xdr:spPr>
            <a:xfrm>
              <a:off x="12366624" y="16430623"/>
              <a:ext cx="757238" cy="3496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𝑆_𝑖𝑛𝑡/√(</a:t>
              </a:r>
              <a:r>
                <a:rPr lang="es-ES" sz="1100" b="0" i="0">
                  <a:latin typeface="Cambria Math" panose="02040503050406030204" pitchFamily="18" charset="0"/>
                </a:rPr>
                <a:t>𝑛−1</a:t>
              </a:r>
              <a:r>
                <a:rPr lang="es-CO" sz="1100" b="0" i="0">
                  <a:latin typeface="Cambria Math" panose="02040503050406030204" pitchFamily="18" charset="0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twoCellAnchor>
    <xdr:from>
      <xdr:col>11</xdr:col>
      <xdr:colOff>15346</xdr:colOff>
      <xdr:row>3</xdr:row>
      <xdr:rowOff>39689</xdr:rowOff>
    </xdr:from>
    <xdr:to>
      <xdr:col>16</xdr:col>
      <xdr:colOff>0</xdr:colOff>
      <xdr:row>16</xdr:row>
      <xdr:rowOff>31750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60A6BA4-26BA-4510-88A5-5528634B5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12</xdr:col>
      <xdr:colOff>264579</xdr:colOff>
      <xdr:row>61</xdr:row>
      <xdr:rowOff>0</xdr:rowOff>
    </xdr:from>
    <xdr:ext cx="757238" cy="3496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49F028B9-34CC-496B-AED8-6C1F6673AC47}"/>
                </a:ext>
              </a:extLst>
            </xdr:cNvPr>
            <xdr:cNvSpPr txBox="1"/>
          </xdr:nvSpPr>
          <xdr:spPr>
            <a:xfrm>
              <a:off x="14626162" y="16446500"/>
              <a:ext cx="757238" cy="3496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𝑖𝑛𝑡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s-CO" sz="110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49F028B9-34CC-496B-AED8-6C1F6673AC47}"/>
                </a:ext>
              </a:extLst>
            </xdr:cNvPr>
            <xdr:cNvSpPr txBox="1"/>
          </xdr:nvSpPr>
          <xdr:spPr>
            <a:xfrm>
              <a:off x="14626162" y="16446500"/>
              <a:ext cx="757238" cy="3496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𝑆_𝑖𝑛𝑡/√(</a:t>
              </a:r>
              <a:r>
                <a:rPr lang="es-ES" sz="1100" b="0" i="0">
                  <a:latin typeface="Cambria Math" panose="02040503050406030204" pitchFamily="18" charset="0"/>
                </a:rPr>
                <a:t>𝑛−1</a:t>
              </a:r>
              <a:r>
                <a:rPr lang="es-CO" sz="1100" b="0" i="0">
                  <a:latin typeface="Cambria Math" panose="02040503050406030204" pitchFamily="18" charset="0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12</xdr:col>
      <xdr:colOff>31750</xdr:colOff>
      <xdr:row>77</xdr:row>
      <xdr:rowOff>148167</xdr:rowOff>
    </xdr:from>
    <xdr:ext cx="2635250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0234F5A2-B9CB-4015-A325-864860D2F9C1}"/>
                </a:ext>
              </a:extLst>
            </xdr:cNvPr>
            <xdr:cNvSpPr txBox="1"/>
          </xdr:nvSpPr>
          <xdr:spPr>
            <a:xfrm>
              <a:off x="14393333" y="19991917"/>
              <a:ext cx="263525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𝐷𝑒𝑠𝑣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− </m:t>
                    </m:r>
                    <m:sSub>
                      <m:sSubPr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𝐷𝑒𝑠𝑣</m:t>
                        </m:r>
                      </m:e>
                      <m: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0234F5A2-B9CB-4015-A325-864860D2F9C1}"/>
                </a:ext>
              </a:extLst>
            </xdr:cNvPr>
            <xdr:cNvSpPr txBox="1"/>
          </xdr:nvSpPr>
          <xdr:spPr>
            <a:xfrm>
              <a:off x="14393333" y="19991917"/>
              <a:ext cx="263525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𝐷𝑒𝑠𝑣〗_</a:t>
              </a:r>
              <a:r>
                <a:rPr lang="es-CO" sz="1100" b="0" i="0">
                  <a:latin typeface="Cambria Math" panose="02040503050406030204" pitchFamily="18" charset="0"/>
                </a:rPr>
                <a:t>𝑝−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〖𝐷𝑒𝑠𝑣〗_(𝑝−1)</a:t>
              </a:r>
              <a:endParaRPr lang="es-CO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466725</xdr:colOff>
      <xdr:row>4</xdr:row>
      <xdr:rowOff>68036</xdr:rowOff>
    </xdr:from>
    <xdr:to>
      <xdr:col>42</xdr:col>
      <xdr:colOff>371475</xdr:colOff>
      <xdr:row>14</xdr:row>
      <xdr:rowOff>150812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6075" y="1020536"/>
          <a:ext cx="4476750" cy="219891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323852</xdr:colOff>
      <xdr:row>0</xdr:row>
      <xdr:rowOff>39645</xdr:rowOff>
    </xdr:from>
    <xdr:to>
      <xdr:col>3</xdr:col>
      <xdr:colOff>95251</xdr:colOff>
      <xdr:row>1</xdr:row>
      <xdr:rowOff>161924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648BC92A-B16E-4968-871B-732143943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" b="11752"/>
        <a:stretch>
          <a:fillRect/>
        </a:stretch>
      </xdr:blipFill>
      <xdr:spPr bwMode="auto">
        <a:xfrm>
          <a:off x="323852" y="39645"/>
          <a:ext cx="1114424" cy="3604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142426</xdr:colOff>
      <xdr:row>102</xdr:row>
      <xdr:rowOff>18154</xdr:rowOff>
    </xdr:from>
    <xdr:to>
      <xdr:col>25</xdr:col>
      <xdr:colOff>6275</xdr:colOff>
      <xdr:row>114</xdr:row>
      <xdr:rowOff>8628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131732</xdr:colOff>
      <xdr:row>7</xdr:row>
      <xdr:rowOff>3651</xdr:rowOff>
    </xdr:from>
    <xdr:ext cx="1249394" cy="469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5808632" y="1356201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porDesviacion</a:t>
              </a:r>
              <a:r>
                <a:rPr lang="es-CO" sz="1000" baseline="0"/>
                <a:t> del cero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100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CO" sz="1000" b="0" i="1" baseline="0"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s-CO" sz="10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E35215EB-E0A0-427F-B5CE-ACBB2308444A}"/>
                </a:ext>
              </a:extLst>
            </xdr:cNvPr>
            <xdr:cNvSpPr txBox="1"/>
          </xdr:nvSpPr>
          <xdr:spPr>
            <a:xfrm>
              <a:off x="5808632" y="1356201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porDesviacion</a:t>
              </a:r>
              <a:r>
                <a:rPr lang="es-CO" sz="1000" baseline="0"/>
                <a:t> del cero</a:t>
              </a:r>
            </a:p>
            <a:p>
              <a:r>
                <a:rPr lang="es-CO" sz="1000" baseline="0"/>
                <a:t>                </a:t>
              </a:r>
              <a:r>
                <a:rPr lang="es-CO" sz="1000" b="0" i="0" baseline="0">
                  <a:latin typeface="Cambria Math" panose="02040503050406030204" pitchFamily="18" charset="0"/>
                </a:rPr>
                <a:t>𝑓_0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5</xdr:col>
      <xdr:colOff>42862</xdr:colOff>
      <xdr:row>4</xdr:row>
      <xdr:rowOff>42862</xdr:rowOff>
    </xdr:from>
    <xdr:ext cx="12474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 txBox="1"/>
          </xdr:nvSpPr>
          <xdr:spPr>
            <a:xfrm>
              <a:off x="4338637" y="804862"/>
              <a:ext cx="12474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𝑖𝑛𝑑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𝑟</m:t>
                                    </m:r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4BF3F28D-226B-4853-B77C-C043BD2CA8D6}"/>
                </a:ext>
              </a:extLst>
            </xdr:cNvPr>
            <xdr:cNvSpPr txBox="1"/>
          </xdr:nvSpPr>
          <xdr:spPr>
            <a:xfrm>
              <a:off x="4338637" y="804862"/>
              <a:ext cx="12474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𝑃_(𝑖𝑛𝑑 𝑟)=√(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1/3 (2𝑟/2)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〗^2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4</xdr:row>
      <xdr:rowOff>0</xdr:rowOff>
    </xdr:from>
    <xdr:ext cx="1412823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 txBox="1"/>
          </xdr:nvSpPr>
          <xdr:spPr>
            <a:xfrm>
              <a:off x="5676900" y="762000"/>
              <a:ext cx="141282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𝑑𝑒𝑠𝑣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𝑐𝑒𝑟𝑜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𝑓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0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B8569139-E500-415F-9F16-5404572D182C}"/>
                </a:ext>
              </a:extLst>
            </xdr:cNvPr>
            <xdr:cNvSpPr txBox="1"/>
          </xdr:nvSpPr>
          <xdr:spPr>
            <a:xfrm>
              <a:off x="5676900" y="762000"/>
              <a:ext cx="141282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𝑃_(𝑑𝑒𝑠𝑣 𝑐𝑒𝑟𝑜)=√(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1/3 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𝑓_0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/2)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〗^2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152400</xdr:colOff>
      <xdr:row>7</xdr:row>
      <xdr:rowOff>9525</xdr:rowOff>
    </xdr:from>
    <xdr:ext cx="1110240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 txBox="1"/>
          </xdr:nvSpPr>
          <xdr:spPr>
            <a:xfrm>
              <a:off x="14182725" y="1362075"/>
              <a:ext cx="111024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/>
                <a:t>Desviacion</a:t>
              </a:r>
              <a:r>
                <a:rPr lang="es-CO" sz="1100" baseline="0"/>
                <a:t> del cero</a:t>
              </a:r>
            </a:p>
            <a:p>
              <a:r>
                <a:rPr lang="es-CO" sz="1100" baseline="0"/>
                <a:t>               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110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CO" sz="1100" b="0" i="1" baseline="0"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s-CO" sz="11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endParaRPr lang="es-CO" sz="11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951C17EB-47D7-4929-A94E-14890888D840}"/>
                </a:ext>
              </a:extLst>
            </xdr:cNvPr>
            <xdr:cNvSpPr txBox="1"/>
          </xdr:nvSpPr>
          <xdr:spPr>
            <a:xfrm>
              <a:off x="14182725" y="1362075"/>
              <a:ext cx="111024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/>
                <a:t>Desviacion</a:t>
              </a:r>
              <a:r>
                <a:rPr lang="es-CO" sz="1100" baseline="0"/>
                <a:t> del cero</a:t>
              </a:r>
            </a:p>
            <a:p>
              <a:r>
                <a:rPr lang="es-CO" sz="1100" baseline="0"/>
                <a:t>                </a:t>
              </a:r>
              <a:r>
                <a:rPr lang="es-CO" sz="1100" b="0" i="0" baseline="0">
                  <a:latin typeface="Cambria Math" panose="02040503050406030204" pitchFamily="18" charset="0"/>
                </a:rPr>
                <a:t>𝑓_0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23812</xdr:colOff>
      <xdr:row>8</xdr:row>
      <xdr:rowOff>14287</xdr:rowOff>
    </xdr:from>
    <xdr:ext cx="658385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 txBox="1"/>
          </xdr:nvSpPr>
          <xdr:spPr>
            <a:xfrm>
              <a:off x="14054137" y="1852612"/>
              <a:ext cx="65838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2,0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1,0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311B8625-889F-4C1C-A526-0FCC0406FDC0}"/>
                </a:ext>
              </a:extLst>
            </xdr:cNvPr>
            <xdr:cNvSpPr txBox="1"/>
          </xdr:nvSpPr>
          <xdr:spPr>
            <a:xfrm>
              <a:off x="14054137" y="1852612"/>
              <a:ext cx="65838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𝑋_2,0−𝑋_1,0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28575</xdr:colOff>
      <xdr:row>9</xdr:row>
      <xdr:rowOff>28575</xdr:rowOff>
    </xdr:from>
    <xdr:ext cx="661656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 txBox="1"/>
          </xdr:nvSpPr>
          <xdr:spPr>
            <a:xfrm>
              <a:off x="14058900" y="2057400"/>
              <a:ext cx="66165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4,0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3,0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9BD3015-0269-403D-BAC1-C7FD59BD797C}"/>
                </a:ext>
              </a:extLst>
            </xdr:cNvPr>
            <xdr:cNvSpPr txBox="1"/>
          </xdr:nvSpPr>
          <xdr:spPr>
            <a:xfrm>
              <a:off x="14058900" y="2057400"/>
              <a:ext cx="66165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𝑋_4,0−𝑋_3,0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7</xdr:col>
      <xdr:colOff>180975</xdr:colOff>
      <xdr:row>6</xdr:row>
      <xdr:rowOff>190500</xdr:rowOff>
    </xdr:from>
    <xdr:ext cx="1249394" cy="5021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 txBox="1"/>
          </xdr:nvSpPr>
          <xdr:spPr>
            <a:xfrm>
              <a:off x="7343775" y="1343025"/>
              <a:ext cx="1249394" cy="502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repetibilidad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sSup>
                    <m:sSupPr>
                      <m:ctrlPr>
                        <a:rPr lang="es-CO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s-CO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𝑏</m:t>
                      </m:r>
                    </m:e>
                    <m:sup>
                      <m:r>
                        <a:rPr lang="es-CO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′</m:t>
                      </m:r>
                    </m:sup>
                  </m:sSup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AA2CD52F-D8CA-466C-8048-025766508D0F}"/>
                </a:ext>
              </a:extLst>
            </xdr:cNvPr>
            <xdr:cNvSpPr txBox="1"/>
          </xdr:nvSpPr>
          <xdr:spPr>
            <a:xfrm>
              <a:off x="7343775" y="1343025"/>
              <a:ext cx="1249394" cy="502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repetibilidad</a:t>
              </a:r>
            </a:p>
            <a:p>
              <a:r>
                <a:rPr lang="es-CO" sz="1000" baseline="0"/>
                <a:t>               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𝑏^′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7</xdr:col>
      <xdr:colOff>76200</xdr:colOff>
      <xdr:row>4</xdr:row>
      <xdr:rowOff>9525</xdr:rowOff>
    </xdr:from>
    <xdr:ext cx="1250599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SpPr txBox="1"/>
          </xdr:nvSpPr>
          <xdr:spPr>
            <a:xfrm>
              <a:off x="7239000" y="771525"/>
              <a:ext cx="125059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𝑟𝑒𝑝𝑒𝑡𝑖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p>
                                      <m:sSup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𝑏</m:t>
                                        </m:r>
                                      </m:e>
                                      <m:sup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′</m:t>
                                        </m:r>
                                      </m:sup>
                                    </m:sSup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0451899A-4B67-4932-8A8B-45BE9F921A60}"/>
                </a:ext>
              </a:extLst>
            </xdr:cNvPr>
            <xdr:cNvSpPr txBox="1"/>
          </xdr:nvSpPr>
          <xdr:spPr>
            <a:xfrm>
              <a:off x="7239000" y="771525"/>
              <a:ext cx="125059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𝑃_𝑟𝑒𝑝𝑒𝑡𝑖=√(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1/3 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/2)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〗^2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274606</xdr:colOff>
      <xdr:row>9</xdr:row>
      <xdr:rowOff>184626</xdr:rowOff>
    </xdr:from>
    <xdr:ext cx="15279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14304931" y="2222976"/>
              <a:ext cx="1527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0A2485EA-DDE1-42F0-8F0A-CF2DD0E1CA39}"/>
                </a:ext>
              </a:extLst>
            </xdr:cNvPr>
            <xdr:cNvSpPr txBox="1"/>
          </xdr:nvSpPr>
          <xdr:spPr>
            <a:xfrm>
              <a:off x="14304931" y="2222976"/>
              <a:ext cx="1527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𝑓_0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404812</xdr:colOff>
      <xdr:row>5</xdr:row>
      <xdr:rowOff>42862</xdr:rowOff>
    </xdr:from>
    <xdr:ext cx="2207336" cy="1910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 txBox="1"/>
          </xdr:nvSpPr>
          <xdr:spPr>
            <a:xfrm>
              <a:off x="13673137" y="1004887"/>
              <a:ext cx="2207336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𝑚𝑎𝑥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2,0</m:t>
                                </m:r>
                              </m:sub>
                            </m:s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1,0</m:t>
                                </m:r>
                              </m:sub>
                            </m:sSub>
                          </m:e>
                        </m:d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;</m:t>
                        </m:r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</m:e>
                        </m:d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27F90881-00EE-4DC1-8849-D5D4F11ED621}"/>
                </a:ext>
              </a:extLst>
            </xdr:cNvPr>
            <xdr:cNvSpPr txBox="1"/>
          </xdr:nvSpPr>
          <xdr:spPr>
            <a:xfrm>
              <a:off x="13673137" y="1004887"/>
              <a:ext cx="2207336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𝑓_0=𝑚𝑎𝑥{|𝑋_2,0−𝑋_1,0 |;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|𝑋_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,0−𝑋_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,0 |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8</xdr:col>
      <xdr:colOff>171450</xdr:colOff>
      <xdr:row>7</xdr:row>
      <xdr:rowOff>9525</xdr:rowOff>
    </xdr:from>
    <xdr:ext cx="1249394" cy="469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SpPr txBox="1"/>
          </xdr:nvSpPr>
          <xdr:spPr>
            <a:xfrm>
              <a:off x="8839200" y="1362075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histeris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r>
                    <a:rPr lang="es-CO" sz="1000" b="0" i="1" baseline="0">
                      <a:latin typeface="Cambria Math" panose="02040503050406030204" pitchFamily="18" charset="0"/>
                    </a:rPr>
                    <m:t>h</m:t>
                  </m:r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2783B14A-A91C-43C7-A78C-53F7A6BD54A9}"/>
                </a:ext>
              </a:extLst>
            </xdr:cNvPr>
            <xdr:cNvSpPr txBox="1"/>
          </xdr:nvSpPr>
          <xdr:spPr>
            <a:xfrm>
              <a:off x="8839200" y="1362075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histeris</a:t>
              </a:r>
            </a:p>
            <a:p>
              <a:r>
                <a:rPr lang="es-CO" sz="1000" baseline="0"/>
                <a:t>                </a:t>
              </a:r>
              <a:r>
                <a:rPr lang="es-CO" sz="1000" b="0" i="0" baseline="0">
                  <a:latin typeface="Cambria Math" panose="02040503050406030204" pitchFamily="18" charset="0"/>
                </a:rPr>
                <a:t>ℎ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8</xdr:col>
      <xdr:colOff>28575</xdr:colOff>
      <xdr:row>4</xdr:row>
      <xdr:rowOff>0</xdr:rowOff>
    </xdr:from>
    <xdr:ext cx="1285929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SpPr txBox="1"/>
          </xdr:nvSpPr>
          <xdr:spPr>
            <a:xfrm>
              <a:off x="8696325" y="762000"/>
              <a:ext cx="128592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h𝑖𝑠𝑡𝑒𝑟𝑖𝑠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h</m:t>
                                    </m:r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601188E1-065D-4E84-BF1B-6BA112F105CB}"/>
                </a:ext>
              </a:extLst>
            </xdr:cNvPr>
            <xdr:cNvSpPr txBox="1"/>
          </xdr:nvSpPr>
          <xdr:spPr>
            <a:xfrm>
              <a:off x="8696325" y="762000"/>
              <a:ext cx="128592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𝑃_ℎ𝑖𝑠𝑡𝑒𝑟𝑖𝑠=√(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1/3 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/2)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〗^2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5</xdr:col>
      <xdr:colOff>398431</xdr:colOff>
      <xdr:row>12</xdr:row>
      <xdr:rowOff>89376</xdr:rowOff>
    </xdr:from>
    <xdr:ext cx="65" cy="17222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5008531" y="270875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</xdr:col>
      <xdr:colOff>100012</xdr:colOff>
      <xdr:row>17</xdr:row>
      <xdr:rowOff>52387</xdr:rowOff>
    </xdr:from>
    <xdr:ext cx="1386983" cy="6585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00000000-0008-0000-0200-000011000000}"/>
                </a:ext>
              </a:extLst>
            </xdr:cNvPr>
            <xdr:cNvSpPr txBox="1"/>
          </xdr:nvSpPr>
          <xdr:spPr>
            <a:xfrm>
              <a:off x="1966912" y="4005262"/>
              <a:ext cx="138698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nary>
                          <m:naryPr>
                            <m:chr m:val="∑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sup>
                          <m:e>
                            <m:sSup>
                              <m:sSup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𝑐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∗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𝜇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(</m:t>
                                    </m:r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302FCCC-7CBA-4FAE-B94A-65B79E663E0C}"/>
                </a:ext>
              </a:extLst>
            </xdr:cNvPr>
            <xdr:cNvSpPr txBox="1"/>
          </xdr:nvSpPr>
          <xdr:spPr>
            <a:xfrm>
              <a:off x="1966912" y="4005262"/>
              <a:ext cx="138698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𝑐=√(∑24_(𝑖=1)^𝑁▒〖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(𝑐_𝑖∗𝜇(𝑥_𝑖 ))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s-CO" sz="1100" b="0" i="0">
                  <a:latin typeface="Cambria Math" panose="02040503050406030204" pitchFamily="18" charset="0"/>
                </a:rPr>
                <a:t>2 )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214312</xdr:colOff>
      <xdr:row>4</xdr:row>
      <xdr:rowOff>166687</xdr:rowOff>
    </xdr:from>
    <xdr:ext cx="90601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SpPr txBox="1"/>
          </xdr:nvSpPr>
          <xdr:spPr>
            <a:xfrm>
              <a:off x="3605212" y="928687"/>
              <a:ext cx="9060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𝑃𝑎𝑡𝑟𝑜𝑛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/2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320493E5-7B08-43FE-961F-99BBDD202B75}"/>
                </a:ext>
              </a:extLst>
            </xdr:cNvPr>
            <xdr:cNvSpPr txBox="1"/>
          </xdr:nvSpPr>
          <xdr:spPr>
            <a:xfrm>
              <a:off x="3605212" y="928687"/>
              <a:ext cx="9060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𝑃𝑎𝑡𝑟𝑜𝑛=𝑈/2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71436</xdr:colOff>
      <xdr:row>21</xdr:row>
      <xdr:rowOff>157162</xdr:rowOff>
    </xdr:from>
    <xdr:ext cx="1395413" cy="51834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SpPr txBox="1"/>
          </xdr:nvSpPr>
          <xdr:spPr>
            <a:xfrm>
              <a:off x="1938336" y="5253037"/>
              <a:ext cx="1395413" cy="518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𝑒𝑓𝑓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e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num>
                      <m:den>
                        <m:nary>
                          <m:naryPr>
                            <m:chr m:val="∑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f>
                              <m:f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es-CO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𝜇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4</m:t>
                                    </m:r>
                                  </m:sup>
                                </m:sSup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𝑣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den>
                            </m:f>
                          </m:e>
                        </m:nary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B55B5C98-3258-4923-8EF8-2B020672D08B}"/>
                </a:ext>
              </a:extLst>
            </xdr:cNvPr>
            <xdr:cNvSpPr txBox="1"/>
          </xdr:nvSpPr>
          <xdr:spPr>
            <a:xfrm>
              <a:off x="1938336" y="5253037"/>
              <a:ext cx="1395413" cy="518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𝑣_𝑒𝑓𝑓=〖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𝑐〗^4/(∑24_(𝑖=1)^𝑛▒(〖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𝑖〗^4 (𝑥_𝑖))/𝑣_𝑖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690562</xdr:colOff>
      <xdr:row>14</xdr:row>
      <xdr:rowOff>80962</xdr:rowOff>
    </xdr:from>
    <xdr:ext cx="1527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SpPr txBox="1"/>
          </xdr:nvSpPr>
          <xdr:spPr>
            <a:xfrm>
              <a:off x="2557462" y="3081337"/>
              <a:ext cx="152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F5BDA795-8804-4F0B-A6F1-C9AD3802E8AF}"/>
                </a:ext>
              </a:extLst>
            </xdr:cNvPr>
            <xdr:cNvSpPr txBox="1"/>
          </xdr:nvSpPr>
          <xdr:spPr>
            <a:xfrm>
              <a:off x="2557462" y="3081337"/>
              <a:ext cx="152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𝑣_𝑖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338137</xdr:colOff>
      <xdr:row>16</xdr:row>
      <xdr:rowOff>519112</xdr:rowOff>
    </xdr:from>
    <xdr:ext cx="2236831" cy="2027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00000000-0008-0000-0200-000015000000}"/>
                </a:ext>
              </a:extLst>
            </xdr:cNvPr>
            <xdr:cNvSpPr txBox="1"/>
          </xdr:nvSpPr>
          <xdr:spPr>
            <a:xfrm>
              <a:off x="15092362" y="4281487"/>
              <a:ext cx="2236831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𝑎𝑠𝑐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3,0)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1,0)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7D21DDFA-0B16-4725-BA9B-CC02F6ED5C0D}"/>
                </a:ext>
              </a:extLst>
            </xdr:cNvPr>
            <xdr:cNvSpPr txBox="1"/>
          </xdr:nvSpPr>
          <xdr:spPr>
            <a:xfrm>
              <a:off x="15092362" y="4281487"/>
              <a:ext cx="2236831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𝑏^′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0" i="0">
                  <a:latin typeface="Cambria Math" panose="02040503050406030204" pitchFamily="18" charset="0"/>
                </a:rPr>
                <a:t>𝑎𝑠𝑐,𝑗)=|(𝑥_(3,𝑗)−𝑥_(3,0))−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(𝑥_(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,𝑗)−𝑥_(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,0))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|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342900</xdr:colOff>
      <xdr:row>18</xdr:row>
      <xdr:rowOff>66675</xdr:rowOff>
    </xdr:from>
    <xdr:ext cx="2218749" cy="2027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00000000-0008-0000-0200-000016000000}"/>
                </a:ext>
              </a:extLst>
            </xdr:cNvPr>
            <xdr:cNvSpPr txBox="1"/>
          </xdr:nvSpPr>
          <xdr:spPr>
            <a:xfrm>
              <a:off x="15097125" y="4591050"/>
              <a:ext cx="2218749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𝑑𝑒𝑠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4,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3,0)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1,0)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01CC5FC2-7E6F-47FD-83F0-3F8F418C2F58}"/>
                </a:ext>
              </a:extLst>
            </xdr:cNvPr>
            <xdr:cNvSpPr txBox="1"/>
          </xdr:nvSpPr>
          <xdr:spPr>
            <a:xfrm>
              <a:off x="15097125" y="4591050"/>
              <a:ext cx="2218749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𝑏^′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0" i="0">
                  <a:latin typeface="Cambria Math" panose="02040503050406030204" pitchFamily="18" charset="0"/>
                </a:rPr>
                <a:t>𝑑𝑒𝑠,𝑗)=|(𝑥_(4,𝑗)−𝑥_(3,0))−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(𝑥_(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,𝑗)−𝑥_(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,0))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|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314325</xdr:colOff>
      <xdr:row>19</xdr:row>
      <xdr:rowOff>180975</xdr:rowOff>
    </xdr:from>
    <xdr:ext cx="1793055" cy="2024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00000000-0008-0000-0200-000017000000}"/>
                </a:ext>
              </a:extLst>
            </xdr:cNvPr>
            <xdr:cNvSpPr txBox="1"/>
          </xdr:nvSpPr>
          <xdr:spPr>
            <a:xfrm>
              <a:off x="15068550" y="4895850"/>
              <a:ext cx="1793055" cy="2024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𝑚𝑒𝑑𝑖𝑜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CO" sz="1100" b="0" i="0">
                        <a:latin typeface="Cambria Math" panose="02040503050406030204" pitchFamily="18" charset="0"/>
                      </a:rPr>
                      <m:t>max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𝑎𝑠𝑐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; </m:t>
                        </m:r>
                        <m:sSub>
                          <m:sSub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𝑑𝑒𝑠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9F78DD2A-8154-486F-B5EF-FF11E47A318C}"/>
                </a:ext>
              </a:extLst>
            </xdr:cNvPr>
            <xdr:cNvSpPr txBox="1"/>
          </xdr:nvSpPr>
          <xdr:spPr>
            <a:xfrm>
              <a:off x="15068550" y="4895850"/>
              <a:ext cx="1793055" cy="2024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𝑏^′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s-CO" sz="1100" b="0" i="0">
                  <a:latin typeface="Cambria Math" panose="02040503050406030204" pitchFamily="18" charset="0"/>
                </a:rPr>
                <a:t>𝑚𝑒𝑑𝑖𝑜=max{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〖𝑏^′〗_(𝑎𝑠𝑐,𝑗)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;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〖𝑏^′〗_(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𝑑𝑒𝑠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,𝑗)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57150</xdr:colOff>
      <xdr:row>24</xdr:row>
      <xdr:rowOff>19050</xdr:rowOff>
    </xdr:from>
    <xdr:ext cx="4006546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00000000-0008-0000-0200-000018000000}"/>
                </a:ext>
              </a:extLst>
            </xdr:cNvPr>
            <xdr:cNvSpPr txBox="1"/>
          </xdr:nvSpPr>
          <xdr:spPr>
            <a:xfrm>
              <a:off x="14811375" y="5686425"/>
              <a:ext cx="400654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2,</m:t>
                                </m:r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d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d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46F52180-9591-480B-97A1-404EDD2891A9}"/>
                </a:ext>
              </a:extLst>
            </xdr:cNvPr>
            <xdr:cNvSpPr txBox="1"/>
          </xdr:nvSpPr>
          <xdr:spPr>
            <a:xfrm>
              <a:off x="14811375" y="5686425"/>
              <a:ext cx="400654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ℎ=1/𝑛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×{|〖(𝑋〗_(2,𝑗)−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𝑋_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〖(𝑋〗_(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,𝑗)−𝑋_1,0)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|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|〖(𝑋〗_(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,𝑗)−𝑋_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,0)−〖(𝑋〗_(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,𝑗)−𝑋_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,0)|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452437</xdr:colOff>
      <xdr:row>26</xdr:row>
      <xdr:rowOff>166687</xdr:rowOff>
    </xdr:from>
    <xdr:ext cx="66678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 txBox="1"/>
          </xdr:nvSpPr>
          <xdr:spPr>
            <a:xfrm>
              <a:off x="2319337" y="6215062"/>
              <a:ext cx="6667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𝑘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AD14F340-D5ED-41C5-81BC-FED3400ABB2A}"/>
                </a:ext>
              </a:extLst>
            </xdr:cNvPr>
            <xdr:cNvSpPr txBox="1"/>
          </xdr:nvSpPr>
          <xdr:spPr>
            <a:xfrm>
              <a:off x="2319337" y="6215062"/>
              <a:ext cx="6667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𝑈=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𝑐∗𝑘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728662</xdr:colOff>
      <xdr:row>25</xdr:row>
      <xdr:rowOff>23812</xdr:rowOff>
    </xdr:from>
    <xdr:ext cx="11381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CuadroTexto 25">
              <a:extLst>
                <a:ext uri="{FF2B5EF4-FFF2-40B4-BE49-F238E27FC236}">
                  <a16:creationId xmlns:a16="http://schemas.microsoft.com/office/drawing/2014/main" id="{00000000-0008-0000-0200-00001A000000}"/>
                </a:ext>
              </a:extLst>
            </xdr:cNvPr>
            <xdr:cNvSpPr txBox="1"/>
          </xdr:nvSpPr>
          <xdr:spPr>
            <a:xfrm>
              <a:off x="2595562" y="5881687"/>
              <a:ext cx="1138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𝑘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6" name="CuadroTexto 25">
              <a:extLst>
                <a:ext uri="{FF2B5EF4-FFF2-40B4-BE49-F238E27FC236}">
                  <a16:creationId xmlns:a16="http://schemas.microsoft.com/office/drawing/2014/main" id="{4DCA651F-AE0E-45D3-A168-BFD098CBF9D3}"/>
                </a:ext>
              </a:extLst>
            </xdr:cNvPr>
            <xdr:cNvSpPr txBox="1"/>
          </xdr:nvSpPr>
          <xdr:spPr>
            <a:xfrm>
              <a:off x="2595562" y="5881687"/>
              <a:ext cx="1138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𝑘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6</xdr:col>
      <xdr:colOff>131732</xdr:colOff>
      <xdr:row>38</xdr:row>
      <xdr:rowOff>3651</xdr:rowOff>
    </xdr:from>
    <xdr:ext cx="1249394" cy="469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CuadroTexto 26">
              <a:extLst>
                <a:ext uri="{FF2B5EF4-FFF2-40B4-BE49-F238E27FC236}">
                  <a16:creationId xmlns:a16="http://schemas.microsoft.com/office/drawing/2014/main" id="{00000000-0008-0000-0200-00001B000000}"/>
                </a:ext>
              </a:extLst>
            </xdr:cNvPr>
            <xdr:cNvSpPr txBox="1"/>
          </xdr:nvSpPr>
          <xdr:spPr>
            <a:xfrm>
              <a:off x="6122957" y="1356201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porDesviacion</a:t>
              </a:r>
              <a:r>
                <a:rPr lang="es-CO" sz="1000" baseline="0"/>
                <a:t> del cero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100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CO" sz="1000" b="0" i="1" baseline="0"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s-CO" sz="10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27" name="CuadroTexto 26">
              <a:extLst>
                <a:ext uri="{FF2B5EF4-FFF2-40B4-BE49-F238E27FC236}">
                  <a16:creationId xmlns:a16="http://schemas.microsoft.com/office/drawing/2014/main" id="{9A10236C-0A5F-4F67-83F9-551A48B19669}"/>
                </a:ext>
              </a:extLst>
            </xdr:cNvPr>
            <xdr:cNvSpPr txBox="1"/>
          </xdr:nvSpPr>
          <xdr:spPr>
            <a:xfrm>
              <a:off x="6122957" y="1356201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porDesviacion</a:t>
              </a:r>
              <a:r>
                <a:rPr lang="es-CO" sz="1000" baseline="0"/>
                <a:t> del cero</a:t>
              </a:r>
            </a:p>
            <a:p>
              <a:r>
                <a:rPr lang="es-CO" sz="1000" baseline="0"/>
                <a:t>                </a:t>
              </a:r>
              <a:r>
                <a:rPr lang="es-CO" sz="1000" b="0" i="0" baseline="0">
                  <a:latin typeface="Cambria Math" panose="02040503050406030204" pitchFamily="18" charset="0"/>
                </a:rPr>
                <a:t>𝑓_0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5</xdr:col>
      <xdr:colOff>42862</xdr:colOff>
      <xdr:row>35</xdr:row>
      <xdr:rowOff>42862</xdr:rowOff>
    </xdr:from>
    <xdr:ext cx="12474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CuadroTexto 27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SpPr txBox="1"/>
          </xdr:nvSpPr>
          <xdr:spPr>
            <a:xfrm>
              <a:off x="4652962" y="804862"/>
              <a:ext cx="12474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𝑖𝑛𝑑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𝑟</m:t>
                                    </m:r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8" name="CuadroTexto 27">
              <a:extLst>
                <a:ext uri="{FF2B5EF4-FFF2-40B4-BE49-F238E27FC236}">
                  <a16:creationId xmlns:a16="http://schemas.microsoft.com/office/drawing/2014/main" id="{76A6577F-476E-437D-98D2-50443EE4382B}"/>
                </a:ext>
              </a:extLst>
            </xdr:cNvPr>
            <xdr:cNvSpPr txBox="1"/>
          </xdr:nvSpPr>
          <xdr:spPr>
            <a:xfrm>
              <a:off x="4652962" y="804862"/>
              <a:ext cx="12474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𝑃_(𝑖𝑛𝑑 𝑟)=√(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1/3 (2𝑟/2)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〗^2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35</xdr:row>
      <xdr:rowOff>0</xdr:rowOff>
    </xdr:from>
    <xdr:ext cx="1412823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CuadroTexto 28">
              <a:extLst>
                <a:ext uri="{FF2B5EF4-FFF2-40B4-BE49-F238E27FC236}">
                  <a16:creationId xmlns:a16="http://schemas.microsoft.com/office/drawing/2014/main" id="{00000000-0008-0000-0200-00001D000000}"/>
                </a:ext>
              </a:extLst>
            </xdr:cNvPr>
            <xdr:cNvSpPr txBox="1"/>
          </xdr:nvSpPr>
          <xdr:spPr>
            <a:xfrm>
              <a:off x="5991225" y="762000"/>
              <a:ext cx="141282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𝑑𝑒𝑠𝑣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𝑐𝑒𝑟𝑜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𝑓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0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9" name="CuadroTexto 28">
              <a:extLst>
                <a:ext uri="{FF2B5EF4-FFF2-40B4-BE49-F238E27FC236}">
                  <a16:creationId xmlns:a16="http://schemas.microsoft.com/office/drawing/2014/main" id="{78CFC6E5-0335-44EE-B3B9-80A646165A73}"/>
                </a:ext>
              </a:extLst>
            </xdr:cNvPr>
            <xdr:cNvSpPr txBox="1"/>
          </xdr:nvSpPr>
          <xdr:spPr>
            <a:xfrm>
              <a:off x="5991225" y="762000"/>
              <a:ext cx="141282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𝑃_(𝑑𝑒𝑠𝑣 𝑐𝑒𝑟𝑜)=√(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1/3 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𝑓_0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/2)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〗^2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152400</xdr:colOff>
      <xdr:row>38</xdr:row>
      <xdr:rowOff>9525</xdr:rowOff>
    </xdr:from>
    <xdr:ext cx="1110240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CuadroTexto 29">
              <a:extLst>
                <a:ext uri="{FF2B5EF4-FFF2-40B4-BE49-F238E27FC236}">
                  <a16:creationId xmlns:a16="http://schemas.microsoft.com/office/drawing/2014/main" id="{00000000-0008-0000-0200-00001E000000}"/>
                </a:ext>
              </a:extLst>
            </xdr:cNvPr>
            <xdr:cNvSpPr txBox="1"/>
          </xdr:nvSpPr>
          <xdr:spPr>
            <a:xfrm>
              <a:off x="15668625" y="1362075"/>
              <a:ext cx="111024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/>
                <a:t>Desviacion</a:t>
              </a:r>
              <a:r>
                <a:rPr lang="es-CO" sz="1100" baseline="0"/>
                <a:t> del cero</a:t>
              </a:r>
            </a:p>
            <a:p>
              <a:r>
                <a:rPr lang="es-CO" sz="1100" baseline="0"/>
                <a:t>               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110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CO" sz="1100" b="0" i="1" baseline="0"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s-CO" sz="11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endParaRPr lang="es-CO" sz="1100"/>
            </a:p>
          </xdr:txBody>
        </xdr:sp>
      </mc:Choice>
      <mc:Fallback xmlns="">
        <xdr:sp macro="" textlink="">
          <xdr:nvSpPr>
            <xdr:cNvPr id="30" name="CuadroTexto 29">
              <a:extLst>
                <a:ext uri="{FF2B5EF4-FFF2-40B4-BE49-F238E27FC236}">
                  <a16:creationId xmlns:a16="http://schemas.microsoft.com/office/drawing/2014/main" id="{EAB14015-F8A3-4351-92B2-F78885E024B6}"/>
                </a:ext>
              </a:extLst>
            </xdr:cNvPr>
            <xdr:cNvSpPr txBox="1"/>
          </xdr:nvSpPr>
          <xdr:spPr>
            <a:xfrm>
              <a:off x="15668625" y="1362075"/>
              <a:ext cx="111024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/>
                <a:t>Desviacion</a:t>
              </a:r>
              <a:r>
                <a:rPr lang="es-CO" sz="1100" baseline="0"/>
                <a:t> del cero</a:t>
              </a:r>
            </a:p>
            <a:p>
              <a:r>
                <a:rPr lang="es-CO" sz="1100" baseline="0"/>
                <a:t>                </a:t>
              </a:r>
              <a:r>
                <a:rPr lang="es-CO" sz="1100" b="0" i="0" baseline="0">
                  <a:latin typeface="Cambria Math" panose="02040503050406030204" pitchFamily="18" charset="0"/>
                </a:rPr>
                <a:t>𝑓_0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23812</xdr:colOff>
      <xdr:row>39</xdr:row>
      <xdr:rowOff>14287</xdr:rowOff>
    </xdr:from>
    <xdr:ext cx="658385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CuadroTexto 30">
              <a:extLst>
                <a:ext uri="{FF2B5EF4-FFF2-40B4-BE49-F238E27FC236}">
                  <a16:creationId xmlns:a16="http://schemas.microsoft.com/office/drawing/2014/main" id="{00000000-0008-0000-0200-00001F000000}"/>
                </a:ext>
              </a:extLst>
            </xdr:cNvPr>
            <xdr:cNvSpPr txBox="1"/>
          </xdr:nvSpPr>
          <xdr:spPr>
            <a:xfrm>
              <a:off x="15540037" y="1862137"/>
              <a:ext cx="65838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2,0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1,0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1" name="CuadroTexto 30">
              <a:extLst>
                <a:ext uri="{FF2B5EF4-FFF2-40B4-BE49-F238E27FC236}">
                  <a16:creationId xmlns:a16="http://schemas.microsoft.com/office/drawing/2014/main" id="{6E6F5E68-3650-4AEB-8931-39AF3D75901C}"/>
                </a:ext>
              </a:extLst>
            </xdr:cNvPr>
            <xdr:cNvSpPr txBox="1"/>
          </xdr:nvSpPr>
          <xdr:spPr>
            <a:xfrm>
              <a:off x="15540037" y="1862137"/>
              <a:ext cx="65838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𝑋_2,0−𝑋_1,0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28575</xdr:colOff>
      <xdr:row>40</xdr:row>
      <xdr:rowOff>28575</xdr:rowOff>
    </xdr:from>
    <xdr:ext cx="661656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CuadroTexto 31">
              <a:extLst>
                <a:ext uri="{FF2B5EF4-FFF2-40B4-BE49-F238E27FC236}">
                  <a16:creationId xmlns:a16="http://schemas.microsoft.com/office/drawing/2014/main" id="{00000000-0008-0000-0200-000020000000}"/>
                </a:ext>
              </a:extLst>
            </xdr:cNvPr>
            <xdr:cNvSpPr txBox="1"/>
          </xdr:nvSpPr>
          <xdr:spPr>
            <a:xfrm>
              <a:off x="15544800" y="2066925"/>
              <a:ext cx="66165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4,0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3,0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2" name="CuadroTexto 31">
              <a:extLst>
                <a:ext uri="{FF2B5EF4-FFF2-40B4-BE49-F238E27FC236}">
                  <a16:creationId xmlns:a16="http://schemas.microsoft.com/office/drawing/2014/main" id="{EDA08807-E998-4B8A-93B9-882DCC382CFA}"/>
                </a:ext>
              </a:extLst>
            </xdr:cNvPr>
            <xdr:cNvSpPr txBox="1"/>
          </xdr:nvSpPr>
          <xdr:spPr>
            <a:xfrm>
              <a:off x="15544800" y="2066925"/>
              <a:ext cx="66165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𝑋_4,0−𝑋_3,0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7</xdr:col>
      <xdr:colOff>180975</xdr:colOff>
      <xdr:row>37</xdr:row>
      <xdr:rowOff>190500</xdr:rowOff>
    </xdr:from>
    <xdr:ext cx="1249394" cy="5021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CuadroTexto 32">
              <a:extLst>
                <a:ext uri="{FF2B5EF4-FFF2-40B4-BE49-F238E27FC236}">
                  <a16:creationId xmlns:a16="http://schemas.microsoft.com/office/drawing/2014/main" id="{00000000-0008-0000-0200-000021000000}"/>
                </a:ext>
              </a:extLst>
            </xdr:cNvPr>
            <xdr:cNvSpPr txBox="1"/>
          </xdr:nvSpPr>
          <xdr:spPr>
            <a:xfrm>
              <a:off x="7658100" y="1343025"/>
              <a:ext cx="1249394" cy="502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repetibilidad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sSup>
                    <m:sSupPr>
                      <m:ctrlPr>
                        <a:rPr lang="es-CO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s-CO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𝑏</m:t>
                      </m:r>
                    </m:e>
                    <m:sup>
                      <m:r>
                        <a:rPr lang="es-CO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′</m:t>
                      </m:r>
                    </m:sup>
                  </m:sSup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33" name="CuadroTexto 32">
              <a:extLst>
                <a:ext uri="{FF2B5EF4-FFF2-40B4-BE49-F238E27FC236}">
                  <a16:creationId xmlns:a16="http://schemas.microsoft.com/office/drawing/2014/main" id="{DAD12CB9-5F5F-4B99-9264-70B7ECDE6508}"/>
                </a:ext>
              </a:extLst>
            </xdr:cNvPr>
            <xdr:cNvSpPr txBox="1"/>
          </xdr:nvSpPr>
          <xdr:spPr>
            <a:xfrm>
              <a:off x="7658100" y="1343025"/>
              <a:ext cx="1249394" cy="502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repetibilidad</a:t>
              </a:r>
            </a:p>
            <a:p>
              <a:r>
                <a:rPr lang="es-CO" sz="1000" baseline="0"/>
                <a:t>               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𝑏^′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7</xdr:col>
      <xdr:colOff>76200</xdr:colOff>
      <xdr:row>35</xdr:row>
      <xdr:rowOff>9525</xdr:rowOff>
    </xdr:from>
    <xdr:ext cx="1250599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CuadroTexto 33">
              <a:extLst>
                <a:ext uri="{FF2B5EF4-FFF2-40B4-BE49-F238E27FC236}">
                  <a16:creationId xmlns:a16="http://schemas.microsoft.com/office/drawing/2014/main" id="{00000000-0008-0000-0200-000022000000}"/>
                </a:ext>
              </a:extLst>
            </xdr:cNvPr>
            <xdr:cNvSpPr txBox="1"/>
          </xdr:nvSpPr>
          <xdr:spPr>
            <a:xfrm>
              <a:off x="7553325" y="771525"/>
              <a:ext cx="125059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𝑟𝑒𝑝𝑒𝑡𝑖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p>
                                      <m:sSup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𝑏</m:t>
                                        </m:r>
                                      </m:e>
                                      <m:sup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′</m:t>
                                        </m:r>
                                      </m:sup>
                                    </m:sSup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4" name="CuadroTexto 33">
              <a:extLst>
                <a:ext uri="{FF2B5EF4-FFF2-40B4-BE49-F238E27FC236}">
                  <a16:creationId xmlns:a16="http://schemas.microsoft.com/office/drawing/2014/main" id="{4FCF141A-BDDE-4A5F-8DDC-E5441C4D31BB}"/>
                </a:ext>
              </a:extLst>
            </xdr:cNvPr>
            <xdr:cNvSpPr txBox="1"/>
          </xdr:nvSpPr>
          <xdr:spPr>
            <a:xfrm>
              <a:off x="7553325" y="771525"/>
              <a:ext cx="125059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𝑃_𝑟𝑒𝑝𝑒𝑡𝑖=√(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1/3 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/2)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〗^2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274606</xdr:colOff>
      <xdr:row>40</xdr:row>
      <xdr:rowOff>184626</xdr:rowOff>
    </xdr:from>
    <xdr:ext cx="15279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CuadroTexto 34">
              <a:extLst>
                <a:ext uri="{FF2B5EF4-FFF2-40B4-BE49-F238E27FC236}">
                  <a16:creationId xmlns:a16="http://schemas.microsoft.com/office/drawing/2014/main" id="{00000000-0008-0000-0200-000023000000}"/>
                </a:ext>
              </a:extLst>
            </xdr:cNvPr>
            <xdr:cNvSpPr txBox="1"/>
          </xdr:nvSpPr>
          <xdr:spPr>
            <a:xfrm>
              <a:off x="15790831" y="2222976"/>
              <a:ext cx="1527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5" name="CuadroTexto 34">
              <a:extLst>
                <a:ext uri="{FF2B5EF4-FFF2-40B4-BE49-F238E27FC236}">
                  <a16:creationId xmlns:a16="http://schemas.microsoft.com/office/drawing/2014/main" id="{6B11CFF8-88B8-4AED-A3F1-B05D3FE03C01}"/>
                </a:ext>
              </a:extLst>
            </xdr:cNvPr>
            <xdr:cNvSpPr txBox="1"/>
          </xdr:nvSpPr>
          <xdr:spPr>
            <a:xfrm>
              <a:off x="15790831" y="2222976"/>
              <a:ext cx="1527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𝑓_0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404812</xdr:colOff>
      <xdr:row>36</xdr:row>
      <xdr:rowOff>42862</xdr:rowOff>
    </xdr:from>
    <xdr:ext cx="2207336" cy="1910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CuadroTexto 35">
              <a:extLst>
                <a:ext uri="{FF2B5EF4-FFF2-40B4-BE49-F238E27FC236}">
                  <a16:creationId xmlns:a16="http://schemas.microsoft.com/office/drawing/2014/main" id="{00000000-0008-0000-0200-000024000000}"/>
                </a:ext>
              </a:extLst>
            </xdr:cNvPr>
            <xdr:cNvSpPr txBox="1"/>
          </xdr:nvSpPr>
          <xdr:spPr>
            <a:xfrm>
              <a:off x="15159037" y="1004887"/>
              <a:ext cx="2207336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𝑚𝑎𝑥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2,0</m:t>
                                </m:r>
                              </m:sub>
                            </m:s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1,0</m:t>
                                </m:r>
                              </m:sub>
                            </m:sSub>
                          </m:e>
                        </m:d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;</m:t>
                        </m:r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</m:e>
                        </m:d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6" name="CuadroTexto 35">
              <a:extLst>
                <a:ext uri="{FF2B5EF4-FFF2-40B4-BE49-F238E27FC236}">
                  <a16:creationId xmlns:a16="http://schemas.microsoft.com/office/drawing/2014/main" id="{CC953A1F-472D-4B81-AE1B-BD20DE384F1E}"/>
                </a:ext>
              </a:extLst>
            </xdr:cNvPr>
            <xdr:cNvSpPr txBox="1"/>
          </xdr:nvSpPr>
          <xdr:spPr>
            <a:xfrm>
              <a:off x="15159037" y="1004887"/>
              <a:ext cx="2207336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𝑓_0=𝑚𝑎𝑥{|𝑋_2,0−𝑋_1,0 |;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|𝑋_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,0−𝑋_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,0 |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8</xdr:col>
      <xdr:colOff>171450</xdr:colOff>
      <xdr:row>38</xdr:row>
      <xdr:rowOff>9525</xdr:rowOff>
    </xdr:from>
    <xdr:ext cx="1249394" cy="469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CuadroTexto 36">
              <a:extLst>
                <a:ext uri="{FF2B5EF4-FFF2-40B4-BE49-F238E27FC236}">
                  <a16:creationId xmlns:a16="http://schemas.microsoft.com/office/drawing/2014/main" id="{00000000-0008-0000-0200-000025000000}"/>
                </a:ext>
              </a:extLst>
            </xdr:cNvPr>
            <xdr:cNvSpPr txBox="1"/>
          </xdr:nvSpPr>
          <xdr:spPr>
            <a:xfrm>
              <a:off x="9153525" y="1362075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histeris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r>
                    <a:rPr lang="es-CO" sz="1000" b="0" i="1" baseline="0">
                      <a:latin typeface="Cambria Math" panose="02040503050406030204" pitchFamily="18" charset="0"/>
                    </a:rPr>
                    <m:t>h</m:t>
                  </m:r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37" name="CuadroTexto 36">
              <a:extLst>
                <a:ext uri="{FF2B5EF4-FFF2-40B4-BE49-F238E27FC236}">
                  <a16:creationId xmlns:a16="http://schemas.microsoft.com/office/drawing/2014/main" id="{1A0C299E-61F1-4FD6-8D8E-D1F60103040B}"/>
                </a:ext>
              </a:extLst>
            </xdr:cNvPr>
            <xdr:cNvSpPr txBox="1"/>
          </xdr:nvSpPr>
          <xdr:spPr>
            <a:xfrm>
              <a:off x="9153525" y="1362075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histeris</a:t>
              </a:r>
            </a:p>
            <a:p>
              <a:r>
                <a:rPr lang="es-CO" sz="1000" baseline="0"/>
                <a:t>                </a:t>
              </a:r>
              <a:r>
                <a:rPr lang="es-CO" sz="1000" b="0" i="0" baseline="0">
                  <a:latin typeface="Cambria Math" panose="02040503050406030204" pitchFamily="18" charset="0"/>
                </a:rPr>
                <a:t>ℎ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8</xdr:col>
      <xdr:colOff>28575</xdr:colOff>
      <xdr:row>35</xdr:row>
      <xdr:rowOff>0</xdr:rowOff>
    </xdr:from>
    <xdr:ext cx="1285929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CuadroTexto 37">
              <a:extLst>
                <a:ext uri="{FF2B5EF4-FFF2-40B4-BE49-F238E27FC236}">
                  <a16:creationId xmlns:a16="http://schemas.microsoft.com/office/drawing/2014/main" id="{00000000-0008-0000-0200-000026000000}"/>
                </a:ext>
              </a:extLst>
            </xdr:cNvPr>
            <xdr:cNvSpPr txBox="1"/>
          </xdr:nvSpPr>
          <xdr:spPr>
            <a:xfrm>
              <a:off x="9010650" y="762000"/>
              <a:ext cx="128592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h𝑖𝑠𝑡𝑒𝑟𝑖𝑠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h</m:t>
                                    </m:r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8" name="CuadroTexto 37">
              <a:extLst>
                <a:ext uri="{FF2B5EF4-FFF2-40B4-BE49-F238E27FC236}">
                  <a16:creationId xmlns:a16="http://schemas.microsoft.com/office/drawing/2014/main" id="{F6EAA439-C4B3-4BA1-B2C1-ECDF691F5E76}"/>
                </a:ext>
              </a:extLst>
            </xdr:cNvPr>
            <xdr:cNvSpPr txBox="1"/>
          </xdr:nvSpPr>
          <xdr:spPr>
            <a:xfrm>
              <a:off x="9010650" y="762000"/>
              <a:ext cx="128592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𝑃_ℎ𝑖𝑠𝑡𝑒𝑟𝑖𝑠=√(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1/3 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/2)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〗^2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5</xdr:col>
      <xdr:colOff>398431</xdr:colOff>
      <xdr:row>43</xdr:row>
      <xdr:rowOff>89376</xdr:rowOff>
    </xdr:from>
    <xdr:ext cx="65" cy="172227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5008531" y="270875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</xdr:col>
      <xdr:colOff>100012</xdr:colOff>
      <xdr:row>48</xdr:row>
      <xdr:rowOff>52387</xdr:rowOff>
    </xdr:from>
    <xdr:ext cx="1386983" cy="6585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CuadroTexto 39">
              <a:extLst>
                <a:ext uri="{FF2B5EF4-FFF2-40B4-BE49-F238E27FC236}">
                  <a16:creationId xmlns:a16="http://schemas.microsoft.com/office/drawing/2014/main" id="{00000000-0008-0000-0200-000028000000}"/>
                </a:ext>
              </a:extLst>
            </xdr:cNvPr>
            <xdr:cNvSpPr txBox="1"/>
          </xdr:nvSpPr>
          <xdr:spPr>
            <a:xfrm>
              <a:off x="1966912" y="4386262"/>
              <a:ext cx="138698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nary>
                          <m:naryPr>
                            <m:chr m:val="∑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sup>
                          <m:e>
                            <m:sSup>
                              <m:sSup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𝑐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∗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𝜇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(</m:t>
                                    </m:r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40" name="CuadroTexto 39">
              <a:extLst>
                <a:ext uri="{FF2B5EF4-FFF2-40B4-BE49-F238E27FC236}">
                  <a16:creationId xmlns:a16="http://schemas.microsoft.com/office/drawing/2014/main" id="{BE0CF7F9-BA2B-4484-9494-EE03780F711F}"/>
                </a:ext>
              </a:extLst>
            </xdr:cNvPr>
            <xdr:cNvSpPr txBox="1"/>
          </xdr:nvSpPr>
          <xdr:spPr>
            <a:xfrm>
              <a:off x="1966912" y="4386262"/>
              <a:ext cx="138698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𝑐=√(∑24_(𝑖=1)^𝑁▒〖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(𝑐_𝑖∗𝜇(𝑥_𝑖 ))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es-CO" sz="1100" b="0" i="0">
                  <a:latin typeface="Cambria Math" panose="02040503050406030204" pitchFamily="18" charset="0"/>
                </a:rPr>
                <a:t>2 )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214312</xdr:colOff>
      <xdr:row>35</xdr:row>
      <xdr:rowOff>166687</xdr:rowOff>
    </xdr:from>
    <xdr:ext cx="90601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CuadroTexto 40">
              <a:extLst>
                <a:ext uri="{FF2B5EF4-FFF2-40B4-BE49-F238E27FC236}">
                  <a16:creationId xmlns:a16="http://schemas.microsoft.com/office/drawing/2014/main" id="{00000000-0008-0000-0200-000029000000}"/>
                </a:ext>
              </a:extLst>
            </xdr:cNvPr>
            <xdr:cNvSpPr txBox="1"/>
          </xdr:nvSpPr>
          <xdr:spPr>
            <a:xfrm>
              <a:off x="3605212" y="928687"/>
              <a:ext cx="9060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𝑃𝑎𝑡𝑟𝑜𝑛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/2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41" name="CuadroTexto 40">
              <a:extLst>
                <a:ext uri="{FF2B5EF4-FFF2-40B4-BE49-F238E27FC236}">
                  <a16:creationId xmlns:a16="http://schemas.microsoft.com/office/drawing/2014/main" id="{CB9A744A-2144-4E20-87A9-8B3170C97CAC}"/>
                </a:ext>
              </a:extLst>
            </xdr:cNvPr>
            <xdr:cNvSpPr txBox="1"/>
          </xdr:nvSpPr>
          <xdr:spPr>
            <a:xfrm>
              <a:off x="3605212" y="928687"/>
              <a:ext cx="9060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𝑃𝑎𝑡𝑟𝑜𝑛=𝑈/2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71436</xdr:colOff>
      <xdr:row>52</xdr:row>
      <xdr:rowOff>157162</xdr:rowOff>
    </xdr:from>
    <xdr:ext cx="1395413" cy="51834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CuadroTexto 41">
              <a:extLst>
                <a:ext uri="{FF2B5EF4-FFF2-40B4-BE49-F238E27FC236}">
                  <a16:creationId xmlns:a16="http://schemas.microsoft.com/office/drawing/2014/main" id="{00000000-0008-0000-0200-00002A000000}"/>
                </a:ext>
              </a:extLst>
            </xdr:cNvPr>
            <xdr:cNvSpPr txBox="1"/>
          </xdr:nvSpPr>
          <xdr:spPr>
            <a:xfrm>
              <a:off x="1938336" y="5253037"/>
              <a:ext cx="1395413" cy="518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𝑒𝑓𝑓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e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num>
                      <m:den>
                        <m:nary>
                          <m:naryPr>
                            <m:chr m:val="∑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f>
                              <m:f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es-CO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𝜇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4</m:t>
                                    </m:r>
                                  </m:sup>
                                </m:sSup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𝑣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den>
                            </m:f>
                          </m:e>
                        </m:nary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42" name="CuadroTexto 41">
              <a:extLst>
                <a:ext uri="{FF2B5EF4-FFF2-40B4-BE49-F238E27FC236}">
                  <a16:creationId xmlns:a16="http://schemas.microsoft.com/office/drawing/2014/main" id="{D2C0A192-00C6-48D8-A83E-4D70381C2313}"/>
                </a:ext>
              </a:extLst>
            </xdr:cNvPr>
            <xdr:cNvSpPr txBox="1"/>
          </xdr:nvSpPr>
          <xdr:spPr>
            <a:xfrm>
              <a:off x="1938336" y="5253037"/>
              <a:ext cx="1395413" cy="518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𝑣_𝑒𝑓𝑓=〖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𝑐〗^4/(∑24_(𝑖=1)^𝑛▒(〖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𝑖〗^4 (𝑥_𝑖))/𝑣_𝑖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690562</xdr:colOff>
      <xdr:row>45</xdr:row>
      <xdr:rowOff>80962</xdr:rowOff>
    </xdr:from>
    <xdr:ext cx="1527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CuadroTexto 42">
              <a:extLst>
                <a:ext uri="{FF2B5EF4-FFF2-40B4-BE49-F238E27FC236}">
                  <a16:creationId xmlns:a16="http://schemas.microsoft.com/office/drawing/2014/main" id="{00000000-0008-0000-0200-00002B000000}"/>
                </a:ext>
              </a:extLst>
            </xdr:cNvPr>
            <xdr:cNvSpPr txBox="1"/>
          </xdr:nvSpPr>
          <xdr:spPr>
            <a:xfrm>
              <a:off x="2557462" y="3081337"/>
              <a:ext cx="152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43" name="CuadroTexto 42">
              <a:extLst>
                <a:ext uri="{FF2B5EF4-FFF2-40B4-BE49-F238E27FC236}">
                  <a16:creationId xmlns:a16="http://schemas.microsoft.com/office/drawing/2014/main" id="{38B3BB12-14C3-4289-A6E0-2154230733EB}"/>
                </a:ext>
              </a:extLst>
            </xdr:cNvPr>
            <xdr:cNvSpPr txBox="1"/>
          </xdr:nvSpPr>
          <xdr:spPr>
            <a:xfrm>
              <a:off x="2557462" y="3081337"/>
              <a:ext cx="152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𝑣_𝑖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338137</xdr:colOff>
      <xdr:row>47</xdr:row>
      <xdr:rowOff>519112</xdr:rowOff>
    </xdr:from>
    <xdr:ext cx="2236831" cy="2027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CuadroTexto 43">
              <a:extLst>
                <a:ext uri="{FF2B5EF4-FFF2-40B4-BE49-F238E27FC236}">
                  <a16:creationId xmlns:a16="http://schemas.microsoft.com/office/drawing/2014/main" id="{00000000-0008-0000-0200-00002C000000}"/>
                </a:ext>
              </a:extLst>
            </xdr:cNvPr>
            <xdr:cNvSpPr txBox="1"/>
          </xdr:nvSpPr>
          <xdr:spPr>
            <a:xfrm>
              <a:off x="15092362" y="4281487"/>
              <a:ext cx="2236831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𝑎𝑠𝑐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3,0)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1,0)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44" name="CuadroTexto 43">
              <a:extLst>
                <a:ext uri="{FF2B5EF4-FFF2-40B4-BE49-F238E27FC236}">
                  <a16:creationId xmlns:a16="http://schemas.microsoft.com/office/drawing/2014/main" id="{55215A6F-428E-4F77-BC1A-81EA0F614094}"/>
                </a:ext>
              </a:extLst>
            </xdr:cNvPr>
            <xdr:cNvSpPr txBox="1"/>
          </xdr:nvSpPr>
          <xdr:spPr>
            <a:xfrm>
              <a:off x="15092362" y="4281487"/>
              <a:ext cx="2236831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𝑏^′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0" i="0">
                  <a:latin typeface="Cambria Math" panose="02040503050406030204" pitchFamily="18" charset="0"/>
                </a:rPr>
                <a:t>𝑎𝑠𝑐,𝑗)=|(𝑥_(3,𝑗)−𝑥_(3,0))−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(𝑥_(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,𝑗)−𝑥_(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,0))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|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342900</xdr:colOff>
      <xdr:row>49</xdr:row>
      <xdr:rowOff>66675</xdr:rowOff>
    </xdr:from>
    <xdr:ext cx="2218749" cy="2027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CuadroTexto 44">
              <a:extLst>
                <a:ext uri="{FF2B5EF4-FFF2-40B4-BE49-F238E27FC236}">
                  <a16:creationId xmlns:a16="http://schemas.microsoft.com/office/drawing/2014/main" id="{00000000-0008-0000-0200-00002D000000}"/>
                </a:ext>
              </a:extLst>
            </xdr:cNvPr>
            <xdr:cNvSpPr txBox="1"/>
          </xdr:nvSpPr>
          <xdr:spPr>
            <a:xfrm>
              <a:off x="15097125" y="4591050"/>
              <a:ext cx="2218749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𝑑𝑒𝑠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4,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3,0)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1,0)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45" name="CuadroTexto 44">
              <a:extLst>
                <a:ext uri="{FF2B5EF4-FFF2-40B4-BE49-F238E27FC236}">
                  <a16:creationId xmlns:a16="http://schemas.microsoft.com/office/drawing/2014/main" id="{88540A45-4630-4518-929E-AA28FA9C1340}"/>
                </a:ext>
              </a:extLst>
            </xdr:cNvPr>
            <xdr:cNvSpPr txBox="1"/>
          </xdr:nvSpPr>
          <xdr:spPr>
            <a:xfrm>
              <a:off x="15097125" y="4591050"/>
              <a:ext cx="2218749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𝑏^′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0" i="0">
                  <a:latin typeface="Cambria Math" panose="02040503050406030204" pitchFamily="18" charset="0"/>
                </a:rPr>
                <a:t>𝑑𝑒𝑠,𝑗)=|(𝑥_(4,𝑗)−𝑥_(3,0))−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(𝑥_(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,𝑗)−𝑥_(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,0))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|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314325</xdr:colOff>
      <xdr:row>50</xdr:row>
      <xdr:rowOff>180975</xdr:rowOff>
    </xdr:from>
    <xdr:ext cx="1793055" cy="2024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CuadroTexto 45">
              <a:extLst>
                <a:ext uri="{FF2B5EF4-FFF2-40B4-BE49-F238E27FC236}">
                  <a16:creationId xmlns:a16="http://schemas.microsoft.com/office/drawing/2014/main" id="{00000000-0008-0000-0200-00002E000000}"/>
                </a:ext>
              </a:extLst>
            </xdr:cNvPr>
            <xdr:cNvSpPr txBox="1"/>
          </xdr:nvSpPr>
          <xdr:spPr>
            <a:xfrm>
              <a:off x="15068550" y="4895850"/>
              <a:ext cx="1793055" cy="2024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𝑚𝑒𝑑𝑖𝑜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CO" sz="1100" b="0" i="0">
                        <a:latin typeface="Cambria Math" panose="02040503050406030204" pitchFamily="18" charset="0"/>
                      </a:rPr>
                      <m:t>max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𝑎𝑠𝑐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; </m:t>
                        </m:r>
                        <m:sSub>
                          <m:sSub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𝑑𝑒𝑠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46" name="CuadroTexto 45">
              <a:extLst>
                <a:ext uri="{FF2B5EF4-FFF2-40B4-BE49-F238E27FC236}">
                  <a16:creationId xmlns:a16="http://schemas.microsoft.com/office/drawing/2014/main" id="{30854077-D451-4685-89DA-0F6193238A16}"/>
                </a:ext>
              </a:extLst>
            </xdr:cNvPr>
            <xdr:cNvSpPr txBox="1"/>
          </xdr:nvSpPr>
          <xdr:spPr>
            <a:xfrm>
              <a:off x="15068550" y="4895850"/>
              <a:ext cx="1793055" cy="2024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𝑏^′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s-CO" sz="1100" b="0" i="0">
                  <a:latin typeface="Cambria Math" panose="02040503050406030204" pitchFamily="18" charset="0"/>
                </a:rPr>
                <a:t>𝑚𝑒𝑑𝑖𝑜=max{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〖𝑏^′〗_(𝑎𝑠𝑐,𝑗)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;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〖𝑏^′〗_(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𝑑𝑒𝑠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,𝑗)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57150</xdr:colOff>
      <xdr:row>55</xdr:row>
      <xdr:rowOff>19050</xdr:rowOff>
    </xdr:from>
    <xdr:ext cx="4006546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CuadroTexto 46">
              <a:extLst>
                <a:ext uri="{FF2B5EF4-FFF2-40B4-BE49-F238E27FC236}">
                  <a16:creationId xmlns:a16="http://schemas.microsoft.com/office/drawing/2014/main" id="{00000000-0008-0000-0200-00002F000000}"/>
                </a:ext>
              </a:extLst>
            </xdr:cNvPr>
            <xdr:cNvSpPr txBox="1"/>
          </xdr:nvSpPr>
          <xdr:spPr>
            <a:xfrm>
              <a:off x="14811375" y="5686425"/>
              <a:ext cx="400654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2,</m:t>
                                </m:r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d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d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47" name="CuadroTexto 46">
              <a:extLst>
                <a:ext uri="{FF2B5EF4-FFF2-40B4-BE49-F238E27FC236}">
                  <a16:creationId xmlns:a16="http://schemas.microsoft.com/office/drawing/2014/main" id="{6150782D-925A-4380-BEA6-7F7285623704}"/>
                </a:ext>
              </a:extLst>
            </xdr:cNvPr>
            <xdr:cNvSpPr txBox="1"/>
          </xdr:nvSpPr>
          <xdr:spPr>
            <a:xfrm>
              <a:off x="14811375" y="5686425"/>
              <a:ext cx="400654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ℎ=1/𝑛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×{|〖(𝑋〗_(2,𝑗)−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𝑋_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〖(𝑋〗_(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,𝑗)−𝑋_1,0)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|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|〖(𝑋〗_(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,𝑗)−𝑋_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,0)−〖(𝑋〗_(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,𝑗)−𝑋_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,0)|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452437</xdr:colOff>
      <xdr:row>57</xdr:row>
      <xdr:rowOff>166687</xdr:rowOff>
    </xdr:from>
    <xdr:ext cx="66678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CuadroTexto 47">
              <a:extLst>
                <a:ext uri="{FF2B5EF4-FFF2-40B4-BE49-F238E27FC236}">
                  <a16:creationId xmlns:a16="http://schemas.microsoft.com/office/drawing/2014/main" id="{00000000-0008-0000-0200-000030000000}"/>
                </a:ext>
              </a:extLst>
            </xdr:cNvPr>
            <xdr:cNvSpPr txBox="1"/>
          </xdr:nvSpPr>
          <xdr:spPr>
            <a:xfrm>
              <a:off x="2319337" y="6215062"/>
              <a:ext cx="6667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𝑘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48" name="CuadroTexto 47">
              <a:extLst>
                <a:ext uri="{FF2B5EF4-FFF2-40B4-BE49-F238E27FC236}">
                  <a16:creationId xmlns:a16="http://schemas.microsoft.com/office/drawing/2014/main" id="{39594AAD-3F04-48AB-BAC6-40B99D1E6D23}"/>
                </a:ext>
              </a:extLst>
            </xdr:cNvPr>
            <xdr:cNvSpPr txBox="1"/>
          </xdr:nvSpPr>
          <xdr:spPr>
            <a:xfrm>
              <a:off x="2319337" y="6215062"/>
              <a:ext cx="6667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𝑈=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𝑐∗𝑘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728662</xdr:colOff>
      <xdr:row>56</xdr:row>
      <xdr:rowOff>23812</xdr:rowOff>
    </xdr:from>
    <xdr:ext cx="11381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CuadroTexto 48">
              <a:extLst>
                <a:ext uri="{FF2B5EF4-FFF2-40B4-BE49-F238E27FC236}">
                  <a16:creationId xmlns:a16="http://schemas.microsoft.com/office/drawing/2014/main" id="{00000000-0008-0000-0200-000031000000}"/>
                </a:ext>
              </a:extLst>
            </xdr:cNvPr>
            <xdr:cNvSpPr txBox="1"/>
          </xdr:nvSpPr>
          <xdr:spPr>
            <a:xfrm>
              <a:off x="2595562" y="5881687"/>
              <a:ext cx="1138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𝑘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49" name="CuadroTexto 48">
              <a:extLst>
                <a:ext uri="{FF2B5EF4-FFF2-40B4-BE49-F238E27FC236}">
                  <a16:creationId xmlns:a16="http://schemas.microsoft.com/office/drawing/2014/main" id="{6E8DA215-7B87-4E44-B312-592A91CF884C}"/>
                </a:ext>
              </a:extLst>
            </xdr:cNvPr>
            <xdr:cNvSpPr txBox="1"/>
          </xdr:nvSpPr>
          <xdr:spPr>
            <a:xfrm>
              <a:off x="2595562" y="5881687"/>
              <a:ext cx="1138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𝑘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6</xdr:col>
      <xdr:colOff>131732</xdr:colOff>
      <xdr:row>69</xdr:row>
      <xdr:rowOff>3651</xdr:rowOff>
    </xdr:from>
    <xdr:ext cx="1249394" cy="469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CuadroTexto 49">
              <a:extLst>
                <a:ext uri="{FF2B5EF4-FFF2-40B4-BE49-F238E27FC236}">
                  <a16:creationId xmlns:a16="http://schemas.microsoft.com/office/drawing/2014/main" id="{00000000-0008-0000-0200-000032000000}"/>
                </a:ext>
              </a:extLst>
            </xdr:cNvPr>
            <xdr:cNvSpPr txBox="1"/>
          </xdr:nvSpPr>
          <xdr:spPr>
            <a:xfrm>
              <a:off x="6122957" y="8166576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porDesviacion</a:t>
              </a:r>
              <a:r>
                <a:rPr lang="es-CO" sz="1000" baseline="0"/>
                <a:t> del cero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100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CO" sz="1000" b="0" i="1" baseline="0"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s-CO" sz="10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50" name="CuadroTexto 49">
              <a:extLst>
                <a:ext uri="{FF2B5EF4-FFF2-40B4-BE49-F238E27FC236}">
                  <a16:creationId xmlns:a16="http://schemas.microsoft.com/office/drawing/2014/main" id="{9508F1EF-5FE8-44C9-85D9-46895EC63AFF}"/>
                </a:ext>
              </a:extLst>
            </xdr:cNvPr>
            <xdr:cNvSpPr txBox="1"/>
          </xdr:nvSpPr>
          <xdr:spPr>
            <a:xfrm>
              <a:off x="6122957" y="8166576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porDesviacion</a:t>
              </a:r>
              <a:r>
                <a:rPr lang="es-CO" sz="1000" baseline="0"/>
                <a:t> del cero</a:t>
              </a:r>
            </a:p>
            <a:p>
              <a:r>
                <a:rPr lang="es-CO" sz="1000" baseline="0"/>
                <a:t>                </a:t>
              </a:r>
              <a:r>
                <a:rPr lang="es-CO" sz="1000" b="0" i="0" baseline="0">
                  <a:latin typeface="Cambria Math" panose="02040503050406030204" pitchFamily="18" charset="0"/>
                </a:rPr>
                <a:t>𝑓_0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5</xdr:col>
      <xdr:colOff>42862</xdr:colOff>
      <xdr:row>66</xdr:row>
      <xdr:rowOff>42862</xdr:rowOff>
    </xdr:from>
    <xdr:ext cx="12474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CuadroTexto 50">
              <a:extLst>
                <a:ext uri="{FF2B5EF4-FFF2-40B4-BE49-F238E27FC236}">
                  <a16:creationId xmlns:a16="http://schemas.microsoft.com/office/drawing/2014/main" id="{00000000-0008-0000-0200-000033000000}"/>
                </a:ext>
              </a:extLst>
            </xdr:cNvPr>
            <xdr:cNvSpPr txBox="1"/>
          </xdr:nvSpPr>
          <xdr:spPr>
            <a:xfrm>
              <a:off x="4652962" y="7615237"/>
              <a:ext cx="12474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𝑖𝑛𝑑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𝑟</m:t>
                                    </m:r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51" name="CuadroTexto 50">
              <a:extLst>
                <a:ext uri="{FF2B5EF4-FFF2-40B4-BE49-F238E27FC236}">
                  <a16:creationId xmlns:a16="http://schemas.microsoft.com/office/drawing/2014/main" id="{069E1EC6-657A-48C9-AE6E-2F849E798E3C}"/>
                </a:ext>
              </a:extLst>
            </xdr:cNvPr>
            <xdr:cNvSpPr txBox="1"/>
          </xdr:nvSpPr>
          <xdr:spPr>
            <a:xfrm>
              <a:off x="4652962" y="7615237"/>
              <a:ext cx="12474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𝑃_(𝑖𝑛𝑑 𝑟)=√(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(2𝑟/2)〗^2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66</xdr:row>
      <xdr:rowOff>0</xdr:rowOff>
    </xdr:from>
    <xdr:ext cx="1412823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CuadroTexto 51">
              <a:extLst>
                <a:ext uri="{FF2B5EF4-FFF2-40B4-BE49-F238E27FC236}">
                  <a16:creationId xmlns:a16="http://schemas.microsoft.com/office/drawing/2014/main" id="{00000000-0008-0000-0200-000034000000}"/>
                </a:ext>
              </a:extLst>
            </xdr:cNvPr>
            <xdr:cNvSpPr txBox="1"/>
          </xdr:nvSpPr>
          <xdr:spPr>
            <a:xfrm>
              <a:off x="5991225" y="7572375"/>
              <a:ext cx="141282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𝑑𝑒𝑠𝑣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𝑐𝑒𝑟𝑜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𝑓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0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52" name="CuadroTexto 51">
              <a:extLst>
                <a:ext uri="{FF2B5EF4-FFF2-40B4-BE49-F238E27FC236}">
                  <a16:creationId xmlns:a16="http://schemas.microsoft.com/office/drawing/2014/main" id="{C50B5EC9-B12E-42E7-B8BD-DE2A2EBCA068}"/>
                </a:ext>
              </a:extLst>
            </xdr:cNvPr>
            <xdr:cNvSpPr txBox="1"/>
          </xdr:nvSpPr>
          <xdr:spPr>
            <a:xfrm>
              <a:off x="5991225" y="7572375"/>
              <a:ext cx="141282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𝑃_(𝑑𝑒𝑠𝑣 𝑐𝑒𝑟𝑜)=√(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(𝑓_0/2)〗^2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152400</xdr:colOff>
      <xdr:row>69</xdr:row>
      <xdr:rowOff>9525</xdr:rowOff>
    </xdr:from>
    <xdr:ext cx="1110240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CuadroTexto 52">
              <a:extLst>
                <a:ext uri="{FF2B5EF4-FFF2-40B4-BE49-F238E27FC236}">
                  <a16:creationId xmlns:a16="http://schemas.microsoft.com/office/drawing/2014/main" id="{00000000-0008-0000-0200-000035000000}"/>
                </a:ext>
              </a:extLst>
            </xdr:cNvPr>
            <xdr:cNvSpPr txBox="1"/>
          </xdr:nvSpPr>
          <xdr:spPr>
            <a:xfrm>
              <a:off x="15668625" y="8172450"/>
              <a:ext cx="111024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/>
                <a:t>Desviacion</a:t>
              </a:r>
              <a:r>
                <a:rPr lang="es-CO" sz="1100" baseline="0"/>
                <a:t> del cero</a:t>
              </a:r>
            </a:p>
            <a:p>
              <a:r>
                <a:rPr lang="es-CO" sz="1100" baseline="0"/>
                <a:t>               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110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CO" sz="1100" b="0" i="1" baseline="0"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s-CO" sz="11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endParaRPr lang="es-CO" sz="1100"/>
            </a:p>
          </xdr:txBody>
        </xdr:sp>
      </mc:Choice>
      <mc:Fallback xmlns="">
        <xdr:sp macro="" textlink="">
          <xdr:nvSpPr>
            <xdr:cNvPr id="53" name="CuadroTexto 52">
              <a:extLst>
                <a:ext uri="{FF2B5EF4-FFF2-40B4-BE49-F238E27FC236}">
                  <a16:creationId xmlns:a16="http://schemas.microsoft.com/office/drawing/2014/main" id="{1EDA6695-4CFB-4CBE-A7F3-0E65D8169235}"/>
                </a:ext>
              </a:extLst>
            </xdr:cNvPr>
            <xdr:cNvSpPr txBox="1"/>
          </xdr:nvSpPr>
          <xdr:spPr>
            <a:xfrm>
              <a:off x="15668625" y="8172450"/>
              <a:ext cx="111024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/>
                <a:t>Desviacion</a:t>
              </a:r>
              <a:r>
                <a:rPr lang="es-CO" sz="1100" baseline="0"/>
                <a:t> del cero</a:t>
              </a:r>
            </a:p>
            <a:p>
              <a:r>
                <a:rPr lang="es-CO" sz="1100" baseline="0"/>
                <a:t>                </a:t>
              </a:r>
              <a:r>
                <a:rPr lang="es-CO" sz="1100" b="0" i="0" baseline="0">
                  <a:latin typeface="Cambria Math" panose="02040503050406030204" pitchFamily="18" charset="0"/>
                </a:rPr>
                <a:t>𝑓_0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23812</xdr:colOff>
      <xdr:row>70</xdr:row>
      <xdr:rowOff>14287</xdr:rowOff>
    </xdr:from>
    <xdr:ext cx="658385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CuadroTexto 53">
              <a:extLst>
                <a:ext uri="{FF2B5EF4-FFF2-40B4-BE49-F238E27FC236}">
                  <a16:creationId xmlns:a16="http://schemas.microsoft.com/office/drawing/2014/main" id="{00000000-0008-0000-0200-000036000000}"/>
                </a:ext>
              </a:extLst>
            </xdr:cNvPr>
            <xdr:cNvSpPr txBox="1"/>
          </xdr:nvSpPr>
          <xdr:spPr>
            <a:xfrm>
              <a:off x="15540037" y="8672512"/>
              <a:ext cx="65838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2,0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1,0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54" name="CuadroTexto 53">
              <a:extLst>
                <a:ext uri="{FF2B5EF4-FFF2-40B4-BE49-F238E27FC236}">
                  <a16:creationId xmlns:a16="http://schemas.microsoft.com/office/drawing/2014/main" id="{9AA26D35-080B-46C7-B4E4-EE8C69076014}"/>
                </a:ext>
              </a:extLst>
            </xdr:cNvPr>
            <xdr:cNvSpPr txBox="1"/>
          </xdr:nvSpPr>
          <xdr:spPr>
            <a:xfrm>
              <a:off x="15540037" y="8672512"/>
              <a:ext cx="65838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𝑋_2,0−𝑋_1,0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28575</xdr:colOff>
      <xdr:row>71</xdr:row>
      <xdr:rowOff>28575</xdr:rowOff>
    </xdr:from>
    <xdr:ext cx="661656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CuadroTexto 54">
              <a:extLst>
                <a:ext uri="{FF2B5EF4-FFF2-40B4-BE49-F238E27FC236}">
                  <a16:creationId xmlns:a16="http://schemas.microsoft.com/office/drawing/2014/main" id="{00000000-0008-0000-0200-000037000000}"/>
                </a:ext>
              </a:extLst>
            </xdr:cNvPr>
            <xdr:cNvSpPr txBox="1"/>
          </xdr:nvSpPr>
          <xdr:spPr>
            <a:xfrm>
              <a:off x="15544800" y="8877300"/>
              <a:ext cx="66165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4,0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3,0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55" name="CuadroTexto 54">
              <a:extLst>
                <a:ext uri="{FF2B5EF4-FFF2-40B4-BE49-F238E27FC236}">
                  <a16:creationId xmlns:a16="http://schemas.microsoft.com/office/drawing/2014/main" id="{1CA94F87-2CFA-4D83-B176-353B9FD29420}"/>
                </a:ext>
              </a:extLst>
            </xdr:cNvPr>
            <xdr:cNvSpPr txBox="1"/>
          </xdr:nvSpPr>
          <xdr:spPr>
            <a:xfrm>
              <a:off x="15544800" y="8877300"/>
              <a:ext cx="66165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𝑋_4,0−𝑋_3,0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7</xdr:col>
      <xdr:colOff>180975</xdr:colOff>
      <xdr:row>68</xdr:row>
      <xdr:rowOff>190500</xdr:rowOff>
    </xdr:from>
    <xdr:ext cx="1249394" cy="5021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CuadroTexto 55">
              <a:extLst>
                <a:ext uri="{FF2B5EF4-FFF2-40B4-BE49-F238E27FC236}">
                  <a16:creationId xmlns:a16="http://schemas.microsoft.com/office/drawing/2014/main" id="{00000000-0008-0000-0200-000038000000}"/>
                </a:ext>
              </a:extLst>
            </xdr:cNvPr>
            <xdr:cNvSpPr txBox="1"/>
          </xdr:nvSpPr>
          <xdr:spPr>
            <a:xfrm>
              <a:off x="7658100" y="8153400"/>
              <a:ext cx="1249394" cy="502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repetibilidad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sSup>
                    <m:sSupPr>
                      <m:ctrlPr>
                        <a:rPr lang="es-CO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s-CO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𝑏</m:t>
                      </m:r>
                    </m:e>
                    <m:sup>
                      <m:r>
                        <a:rPr lang="es-CO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′</m:t>
                      </m:r>
                    </m:sup>
                  </m:sSup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56" name="CuadroTexto 55">
              <a:extLst>
                <a:ext uri="{FF2B5EF4-FFF2-40B4-BE49-F238E27FC236}">
                  <a16:creationId xmlns:a16="http://schemas.microsoft.com/office/drawing/2014/main" id="{4EB5CDBE-A580-463C-9600-197CF14CE662}"/>
                </a:ext>
              </a:extLst>
            </xdr:cNvPr>
            <xdr:cNvSpPr txBox="1"/>
          </xdr:nvSpPr>
          <xdr:spPr>
            <a:xfrm>
              <a:off x="7658100" y="8153400"/>
              <a:ext cx="1249394" cy="502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repetibilidad</a:t>
              </a:r>
            </a:p>
            <a:p>
              <a:r>
                <a:rPr lang="es-CO" sz="1000" baseline="0"/>
                <a:t>               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7</xdr:col>
      <xdr:colOff>76200</xdr:colOff>
      <xdr:row>66</xdr:row>
      <xdr:rowOff>9525</xdr:rowOff>
    </xdr:from>
    <xdr:ext cx="1250599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CuadroTexto 56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 txBox="1"/>
          </xdr:nvSpPr>
          <xdr:spPr>
            <a:xfrm>
              <a:off x="7553325" y="7581900"/>
              <a:ext cx="125059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𝑟𝑒𝑝𝑒𝑡𝑖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p>
                                      <m:sSup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𝑏</m:t>
                                        </m:r>
                                      </m:e>
                                      <m:sup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′</m:t>
                                        </m:r>
                                      </m:sup>
                                    </m:sSup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57" name="CuadroTexto 56">
              <a:extLst>
                <a:ext uri="{FF2B5EF4-FFF2-40B4-BE49-F238E27FC236}">
                  <a16:creationId xmlns:a16="http://schemas.microsoft.com/office/drawing/2014/main" id="{1DEC67A9-3E43-47FB-99D0-733B0BF68675}"/>
                </a:ext>
              </a:extLst>
            </xdr:cNvPr>
            <xdr:cNvSpPr txBox="1"/>
          </xdr:nvSpPr>
          <xdr:spPr>
            <a:xfrm>
              <a:off x="7553325" y="7581900"/>
              <a:ext cx="125059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𝑃_𝑟𝑒𝑝𝑒𝑡𝑖=√(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(𝑏^′/2)〗^2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274606</xdr:colOff>
      <xdr:row>71</xdr:row>
      <xdr:rowOff>184626</xdr:rowOff>
    </xdr:from>
    <xdr:ext cx="15279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CuadroTexto 57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SpPr txBox="1"/>
          </xdr:nvSpPr>
          <xdr:spPr>
            <a:xfrm>
              <a:off x="15790831" y="9033351"/>
              <a:ext cx="1527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58" name="CuadroTexto 57">
              <a:extLst>
                <a:ext uri="{FF2B5EF4-FFF2-40B4-BE49-F238E27FC236}">
                  <a16:creationId xmlns:a16="http://schemas.microsoft.com/office/drawing/2014/main" id="{AAF8897F-9C89-428F-963C-3FF1AEF3B94A}"/>
                </a:ext>
              </a:extLst>
            </xdr:cNvPr>
            <xdr:cNvSpPr txBox="1"/>
          </xdr:nvSpPr>
          <xdr:spPr>
            <a:xfrm>
              <a:off x="15790831" y="9033351"/>
              <a:ext cx="1527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𝑓_0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404812</xdr:colOff>
      <xdr:row>67</xdr:row>
      <xdr:rowOff>42862</xdr:rowOff>
    </xdr:from>
    <xdr:ext cx="2207336" cy="1910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CuadroTexto 58">
              <a:extLst>
                <a:ext uri="{FF2B5EF4-FFF2-40B4-BE49-F238E27FC236}">
                  <a16:creationId xmlns:a16="http://schemas.microsoft.com/office/drawing/2014/main" id="{00000000-0008-0000-0200-00003B000000}"/>
                </a:ext>
              </a:extLst>
            </xdr:cNvPr>
            <xdr:cNvSpPr txBox="1"/>
          </xdr:nvSpPr>
          <xdr:spPr>
            <a:xfrm>
              <a:off x="15159037" y="7815262"/>
              <a:ext cx="2207336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𝑚𝑎𝑥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2,0</m:t>
                                </m:r>
                              </m:sub>
                            </m:s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1,0</m:t>
                                </m:r>
                              </m:sub>
                            </m:sSub>
                          </m:e>
                        </m:d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;</m:t>
                        </m:r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</m:e>
                        </m:d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59" name="CuadroTexto 58">
              <a:extLst>
                <a:ext uri="{FF2B5EF4-FFF2-40B4-BE49-F238E27FC236}">
                  <a16:creationId xmlns:a16="http://schemas.microsoft.com/office/drawing/2014/main" id="{E45BF890-F6AC-4CE5-B782-4085E4127C1F}"/>
                </a:ext>
              </a:extLst>
            </xdr:cNvPr>
            <xdr:cNvSpPr txBox="1"/>
          </xdr:nvSpPr>
          <xdr:spPr>
            <a:xfrm>
              <a:off x="15159037" y="7815262"/>
              <a:ext cx="2207336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𝑓_0=𝑚𝑎𝑥{|𝑋_2,0−𝑋_1,0 |;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|𝑋_4,0−𝑋_3,0 |}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8</xdr:col>
      <xdr:colOff>171450</xdr:colOff>
      <xdr:row>69</xdr:row>
      <xdr:rowOff>9525</xdr:rowOff>
    </xdr:from>
    <xdr:ext cx="1249394" cy="469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CuadroTexto 59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SpPr txBox="1"/>
          </xdr:nvSpPr>
          <xdr:spPr>
            <a:xfrm>
              <a:off x="9153525" y="8172450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histeris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r>
                    <a:rPr lang="es-CO" sz="1000" b="0" i="1" baseline="0">
                      <a:latin typeface="Cambria Math" panose="02040503050406030204" pitchFamily="18" charset="0"/>
                    </a:rPr>
                    <m:t>h</m:t>
                  </m:r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60" name="CuadroTexto 59">
              <a:extLst>
                <a:ext uri="{FF2B5EF4-FFF2-40B4-BE49-F238E27FC236}">
                  <a16:creationId xmlns:a16="http://schemas.microsoft.com/office/drawing/2014/main" id="{881980EF-FE97-4056-AA90-A5368BD46346}"/>
                </a:ext>
              </a:extLst>
            </xdr:cNvPr>
            <xdr:cNvSpPr txBox="1"/>
          </xdr:nvSpPr>
          <xdr:spPr>
            <a:xfrm>
              <a:off x="9153525" y="8172450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histeris</a:t>
              </a:r>
            </a:p>
            <a:p>
              <a:r>
                <a:rPr lang="es-CO" sz="1000" baseline="0"/>
                <a:t>                </a:t>
              </a:r>
              <a:r>
                <a:rPr lang="es-CO" sz="1000" b="0" i="0" baseline="0">
                  <a:latin typeface="Cambria Math" panose="02040503050406030204" pitchFamily="18" charset="0"/>
                </a:rPr>
                <a:t>ℎ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8</xdr:col>
      <xdr:colOff>28575</xdr:colOff>
      <xdr:row>66</xdr:row>
      <xdr:rowOff>0</xdr:rowOff>
    </xdr:from>
    <xdr:ext cx="1285929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CuadroTexto 60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SpPr txBox="1"/>
          </xdr:nvSpPr>
          <xdr:spPr>
            <a:xfrm>
              <a:off x="9010650" y="7572375"/>
              <a:ext cx="128592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h𝑖𝑠𝑡𝑒𝑟𝑖𝑠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h</m:t>
                                    </m:r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61" name="CuadroTexto 60">
              <a:extLst>
                <a:ext uri="{FF2B5EF4-FFF2-40B4-BE49-F238E27FC236}">
                  <a16:creationId xmlns:a16="http://schemas.microsoft.com/office/drawing/2014/main" id="{A07F85DB-1048-4FEC-AF52-91F105B08757}"/>
                </a:ext>
              </a:extLst>
            </xdr:cNvPr>
            <xdr:cNvSpPr txBox="1"/>
          </xdr:nvSpPr>
          <xdr:spPr>
            <a:xfrm>
              <a:off x="9010650" y="7572375"/>
              <a:ext cx="128592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𝑃_ℎ𝑖𝑠𝑡𝑒𝑟𝑖𝑠=√(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(ℎ/2)〗^2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5</xdr:col>
      <xdr:colOff>398431</xdr:colOff>
      <xdr:row>74</xdr:row>
      <xdr:rowOff>89376</xdr:rowOff>
    </xdr:from>
    <xdr:ext cx="65" cy="172227"/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5008531" y="95191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</xdr:col>
      <xdr:colOff>100012</xdr:colOff>
      <xdr:row>79</xdr:row>
      <xdr:rowOff>52387</xdr:rowOff>
    </xdr:from>
    <xdr:ext cx="1386983" cy="6585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CuadroTexto 62">
              <a:extLst>
                <a:ext uri="{FF2B5EF4-FFF2-40B4-BE49-F238E27FC236}">
                  <a16:creationId xmlns:a16="http://schemas.microsoft.com/office/drawing/2014/main" id="{00000000-0008-0000-0200-00003F000000}"/>
                </a:ext>
              </a:extLst>
            </xdr:cNvPr>
            <xdr:cNvSpPr txBox="1"/>
          </xdr:nvSpPr>
          <xdr:spPr>
            <a:xfrm>
              <a:off x="1966912" y="11196637"/>
              <a:ext cx="138698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nary>
                          <m:naryPr>
                            <m:chr m:val="∑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sup>
                          <m:e>
                            <m:sSup>
                              <m:sSup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𝑐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∗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𝜇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(</m:t>
                                    </m:r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63" name="CuadroTexto 62">
              <a:extLst>
                <a:ext uri="{FF2B5EF4-FFF2-40B4-BE49-F238E27FC236}">
                  <a16:creationId xmlns:a16="http://schemas.microsoft.com/office/drawing/2014/main" id="{76591EE6-DE30-4FD9-B88E-3E2E1E4E12C6}"/>
                </a:ext>
              </a:extLst>
            </xdr:cNvPr>
            <xdr:cNvSpPr txBox="1"/>
          </xdr:nvSpPr>
          <xdr:spPr>
            <a:xfrm>
              <a:off x="1966912" y="11196637"/>
              <a:ext cx="138698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𝑐=√(∑_(𝑖=1)^𝑁▒〖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(𝑐_𝑖∗𝜇(𝑥_𝑖 ))〗^</a:t>
              </a:r>
              <a:r>
                <a:rPr lang="es-CO" sz="1100" b="0" i="0">
                  <a:latin typeface="Cambria Math" panose="02040503050406030204" pitchFamily="18" charset="0"/>
                </a:rPr>
                <a:t>2 )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214312</xdr:colOff>
      <xdr:row>66</xdr:row>
      <xdr:rowOff>166687</xdr:rowOff>
    </xdr:from>
    <xdr:ext cx="90601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CuadroTexto 63">
              <a:extLst>
                <a:ext uri="{FF2B5EF4-FFF2-40B4-BE49-F238E27FC236}">
                  <a16:creationId xmlns:a16="http://schemas.microsoft.com/office/drawing/2014/main" id="{00000000-0008-0000-0200-000040000000}"/>
                </a:ext>
              </a:extLst>
            </xdr:cNvPr>
            <xdr:cNvSpPr txBox="1"/>
          </xdr:nvSpPr>
          <xdr:spPr>
            <a:xfrm>
              <a:off x="3605212" y="7739062"/>
              <a:ext cx="9060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𝑃𝑎𝑡𝑟𝑜𝑛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/2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64" name="CuadroTexto 63">
              <a:extLst>
                <a:ext uri="{FF2B5EF4-FFF2-40B4-BE49-F238E27FC236}">
                  <a16:creationId xmlns:a16="http://schemas.microsoft.com/office/drawing/2014/main" id="{C4E741BD-9E1B-410B-8BBE-4C376C5CF500}"/>
                </a:ext>
              </a:extLst>
            </xdr:cNvPr>
            <xdr:cNvSpPr txBox="1"/>
          </xdr:nvSpPr>
          <xdr:spPr>
            <a:xfrm>
              <a:off x="3605212" y="7739062"/>
              <a:ext cx="9060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𝑃𝑎𝑡𝑟𝑜𝑛=𝑈/2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71436</xdr:colOff>
      <xdr:row>83</xdr:row>
      <xdr:rowOff>157162</xdr:rowOff>
    </xdr:from>
    <xdr:ext cx="1395413" cy="51834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CuadroTexto 64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 txBox="1"/>
          </xdr:nvSpPr>
          <xdr:spPr>
            <a:xfrm>
              <a:off x="1938336" y="12063412"/>
              <a:ext cx="1395413" cy="518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𝑒𝑓𝑓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e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num>
                      <m:den>
                        <m:nary>
                          <m:naryPr>
                            <m:chr m:val="∑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f>
                              <m:f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es-CO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𝜇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4</m:t>
                                    </m:r>
                                  </m:sup>
                                </m:sSup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𝑣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den>
                            </m:f>
                          </m:e>
                        </m:nary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65" name="CuadroTexto 64">
              <a:extLst>
                <a:ext uri="{FF2B5EF4-FFF2-40B4-BE49-F238E27FC236}">
                  <a16:creationId xmlns:a16="http://schemas.microsoft.com/office/drawing/2014/main" id="{97319F77-E326-4E8D-848A-624667C83FE7}"/>
                </a:ext>
              </a:extLst>
            </xdr:cNvPr>
            <xdr:cNvSpPr txBox="1"/>
          </xdr:nvSpPr>
          <xdr:spPr>
            <a:xfrm>
              <a:off x="1938336" y="12063412"/>
              <a:ext cx="1395413" cy="518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𝑣_𝑒𝑓𝑓=〖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𝑐〗^4/(∑_(𝑖=1)^𝑛▒(〖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𝑖〗^4 (𝑥_𝑖))/𝑣_𝑖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690562</xdr:colOff>
      <xdr:row>76</xdr:row>
      <xdr:rowOff>80962</xdr:rowOff>
    </xdr:from>
    <xdr:ext cx="1527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CuadroTexto 65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SpPr txBox="1"/>
          </xdr:nvSpPr>
          <xdr:spPr>
            <a:xfrm>
              <a:off x="2557462" y="9891712"/>
              <a:ext cx="152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66" name="CuadroTexto 65">
              <a:extLst>
                <a:ext uri="{FF2B5EF4-FFF2-40B4-BE49-F238E27FC236}">
                  <a16:creationId xmlns:a16="http://schemas.microsoft.com/office/drawing/2014/main" id="{A87F2E48-C50C-46BE-A2E3-A3495B58604D}"/>
                </a:ext>
              </a:extLst>
            </xdr:cNvPr>
            <xdr:cNvSpPr txBox="1"/>
          </xdr:nvSpPr>
          <xdr:spPr>
            <a:xfrm>
              <a:off x="2557462" y="9891712"/>
              <a:ext cx="152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𝑣_𝑖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338137</xdr:colOff>
      <xdr:row>78</xdr:row>
      <xdr:rowOff>519112</xdr:rowOff>
    </xdr:from>
    <xdr:ext cx="2236831" cy="2027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CuadroTexto 66">
              <a:extLst>
                <a:ext uri="{FF2B5EF4-FFF2-40B4-BE49-F238E27FC236}">
                  <a16:creationId xmlns:a16="http://schemas.microsoft.com/office/drawing/2014/main" id="{00000000-0008-0000-0200-000043000000}"/>
                </a:ext>
              </a:extLst>
            </xdr:cNvPr>
            <xdr:cNvSpPr txBox="1"/>
          </xdr:nvSpPr>
          <xdr:spPr>
            <a:xfrm>
              <a:off x="15092362" y="11091862"/>
              <a:ext cx="2236831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𝑎𝑠𝑐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3,0)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1,0)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67" name="CuadroTexto 66">
              <a:extLst>
                <a:ext uri="{FF2B5EF4-FFF2-40B4-BE49-F238E27FC236}">
                  <a16:creationId xmlns:a16="http://schemas.microsoft.com/office/drawing/2014/main" id="{6DE1AE06-8F9F-481C-9A66-E116A010A27D}"/>
                </a:ext>
              </a:extLst>
            </xdr:cNvPr>
            <xdr:cNvSpPr txBox="1"/>
          </xdr:nvSpPr>
          <xdr:spPr>
            <a:xfrm>
              <a:off x="15092362" y="11091862"/>
              <a:ext cx="2236831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𝑏^′〗_(</a:t>
              </a:r>
              <a:r>
                <a:rPr lang="es-CO" sz="1100" b="0" i="0">
                  <a:latin typeface="Cambria Math" panose="02040503050406030204" pitchFamily="18" charset="0"/>
                </a:rPr>
                <a:t>𝑎𝑠𝑐,𝑗)=|(𝑥_(3,𝑗)−𝑥_(3,0))−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(𝑥_(1,𝑗)−𝑥_(1,0)) |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342900</xdr:colOff>
      <xdr:row>80</xdr:row>
      <xdr:rowOff>66675</xdr:rowOff>
    </xdr:from>
    <xdr:ext cx="2218749" cy="2027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CuadroTexto 67">
              <a:extLst>
                <a:ext uri="{FF2B5EF4-FFF2-40B4-BE49-F238E27FC236}">
                  <a16:creationId xmlns:a16="http://schemas.microsoft.com/office/drawing/2014/main" id="{00000000-0008-0000-0200-000044000000}"/>
                </a:ext>
              </a:extLst>
            </xdr:cNvPr>
            <xdr:cNvSpPr txBox="1"/>
          </xdr:nvSpPr>
          <xdr:spPr>
            <a:xfrm>
              <a:off x="15097125" y="11401425"/>
              <a:ext cx="2218749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𝑑𝑒𝑠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4,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3,0)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1,0)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68" name="CuadroTexto 67">
              <a:extLst>
                <a:ext uri="{FF2B5EF4-FFF2-40B4-BE49-F238E27FC236}">
                  <a16:creationId xmlns:a16="http://schemas.microsoft.com/office/drawing/2014/main" id="{EE3E2CA7-094B-400A-AADE-CCF99BFC9ABB}"/>
                </a:ext>
              </a:extLst>
            </xdr:cNvPr>
            <xdr:cNvSpPr txBox="1"/>
          </xdr:nvSpPr>
          <xdr:spPr>
            <a:xfrm>
              <a:off x="15097125" y="11401425"/>
              <a:ext cx="2218749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𝑏^′〗_(</a:t>
              </a:r>
              <a:r>
                <a:rPr lang="es-CO" sz="1100" b="0" i="0">
                  <a:latin typeface="Cambria Math" panose="02040503050406030204" pitchFamily="18" charset="0"/>
                </a:rPr>
                <a:t>𝑑𝑒𝑠,𝑗)=|(𝑥_(4,𝑗)−𝑥_(3,0))−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(𝑥_(2,𝑗)−𝑥_(1,0)) |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314325</xdr:colOff>
      <xdr:row>81</xdr:row>
      <xdr:rowOff>180975</xdr:rowOff>
    </xdr:from>
    <xdr:ext cx="1793055" cy="2024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CuadroTexto 68">
              <a:extLst>
                <a:ext uri="{FF2B5EF4-FFF2-40B4-BE49-F238E27FC236}">
                  <a16:creationId xmlns:a16="http://schemas.microsoft.com/office/drawing/2014/main" id="{00000000-0008-0000-0200-000045000000}"/>
                </a:ext>
              </a:extLst>
            </xdr:cNvPr>
            <xdr:cNvSpPr txBox="1"/>
          </xdr:nvSpPr>
          <xdr:spPr>
            <a:xfrm>
              <a:off x="15068550" y="11706225"/>
              <a:ext cx="1793055" cy="2024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𝑚𝑒𝑑𝑖𝑜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CO" sz="1100" b="0" i="0">
                        <a:latin typeface="Cambria Math" panose="02040503050406030204" pitchFamily="18" charset="0"/>
                      </a:rPr>
                      <m:t>max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𝑎𝑠𝑐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; </m:t>
                        </m:r>
                        <m:sSub>
                          <m:sSub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𝑑𝑒𝑠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69" name="CuadroTexto 68">
              <a:extLst>
                <a:ext uri="{FF2B5EF4-FFF2-40B4-BE49-F238E27FC236}">
                  <a16:creationId xmlns:a16="http://schemas.microsoft.com/office/drawing/2014/main" id="{E00CA895-CE6F-43CA-A694-D53F557D58D3}"/>
                </a:ext>
              </a:extLst>
            </xdr:cNvPr>
            <xdr:cNvSpPr txBox="1"/>
          </xdr:nvSpPr>
          <xdr:spPr>
            <a:xfrm>
              <a:off x="15068550" y="11706225"/>
              <a:ext cx="1793055" cy="2024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</a:t>
              </a:r>
              <a:r>
                <a:rPr lang="es-CO" sz="1100" b="0" i="0">
                  <a:latin typeface="Cambria Math" panose="02040503050406030204" pitchFamily="18" charset="0"/>
                </a:rPr>
                <a:t>𝑚𝑒𝑑𝑖𝑜=max{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〖𝑏^′〗_(𝑎𝑠𝑐,𝑗); 〖𝑏^′〗_(𝑑𝑒𝑠,𝑗) 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57150</xdr:colOff>
      <xdr:row>86</xdr:row>
      <xdr:rowOff>19050</xdr:rowOff>
    </xdr:from>
    <xdr:ext cx="4006546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CuadroTexto 69">
              <a:extLst>
                <a:ext uri="{FF2B5EF4-FFF2-40B4-BE49-F238E27FC236}">
                  <a16:creationId xmlns:a16="http://schemas.microsoft.com/office/drawing/2014/main" id="{00000000-0008-0000-0200-000046000000}"/>
                </a:ext>
              </a:extLst>
            </xdr:cNvPr>
            <xdr:cNvSpPr txBox="1"/>
          </xdr:nvSpPr>
          <xdr:spPr>
            <a:xfrm>
              <a:off x="14811375" y="12496800"/>
              <a:ext cx="400654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2,</m:t>
                                </m:r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d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d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70" name="CuadroTexto 69">
              <a:extLst>
                <a:ext uri="{FF2B5EF4-FFF2-40B4-BE49-F238E27FC236}">
                  <a16:creationId xmlns:a16="http://schemas.microsoft.com/office/drawing/2014/main" id="{5AA449DB-A5C3-482B-A783-662D4747DF2B}"/>
                </a:ext>
              </a:extLst>
            </xdr:cNvPr>
            <xdr:cNvSpPr txBox="1"/>
          </xdr:nvSpPr>
          <xdr:spPr>
            <a:xfrm>
              <a:off x="14811375" y="12496800"/>
              <a:ext cx="400654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ℎ=1/𝑛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×{|〖(𝑋〗_(2,𝑗)−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𝑋_1,0)−〖(𝑋〗_(1,𝑗)−𝑋_1,0)|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|〖(𝑋〗_(4,𝑗)−𝑋_3,0)−〖(𝑋〗_(3,𝑗)−𝑋_3,0)|}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452437</xdr:colOff>
      <xdr:row>88</xdr:row>
      <xdr:rowOff>166687</xdr:rowOff>
    </xdr:from>
    <xdr:ext cx="66678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CuadroTexto 70">
              <a:extLst>
                <a:ext uri="{FF2B5EF4-FFF2-40B4-BE49-F238E27FC236}">
                  <a16:creationId xmlns:a16="http://schemas.microsoft.com/office/drawing/2014/main" id="{00000000-0008-0000-0200-000047000000}"/>
                </a:ext>
              </a:extLst>
            </xdr:cNvPr>
            <xdr:cNvSpPr txBox="1"/>
          </xdr:nvSpPr>
          <xdr:spPr>
            <a:xfrm>
              <a:off x="2319337" y="13025437"/>
              <a:ext cx="6667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𝑘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71" name="CuadroTexto 70">
              <a:extLst>
                <a:ext uri="{FF2B5EF4-FFF2-40B4-BE49-F238E27FC236}">
                  <a16:creationId xmlns:a16="http://schemas.microsoft.com/office/drawing/2014/main" id="{04EC9B62-1BD1-470B-BD9A-C6ABEA41462A}"/>
                </a:ext>
              </a:extLst>
            </xdr:cNvPr>
            <xdr:cNvSpPr txBox="1"/>
          </xdr:nvSpPr>
          <xdr:spPr>
            <a:xfrm>
              <a:off x="2319337" y="13025437"/>
              <a:ext cx="6667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𝑈=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𝑐∗𝑘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728662</xdr:colOff>
      <xdr:row>87</xdr:row>
      <xdr:rowOff>23812</xdr:rowOff>
    </xdr:from>
    <xdr:ext cx="11381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CuadroTexto 71">
              <a:extLst>
                <a:ext uri="{FF2B5EF4-FFF2-40B4-BE49-F238E27FC236}">
                  <a16:creationId xmlns:a16="http://schemas.microsoft.com/office/drawing/2014/main" id="{00000000-0008-0000-0200-000048000000}"/>
                </a:ext>
              </a:extLst>
            </xdr:cNvPr>
            <xdr:cNvSpPr txBox="1"/>
          </xdr:nvSpPr>
          <xdr:spPr>
            <a:xfrm>
              <a:off x="2595562" y="12692062"/>
              <a:ext cx="1138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𝑘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72" name="CuadroTexto 71">
              <a:extLst>
                <a:ext uri="{FF2B5EF4-FFF2-40B4-BE49-F238E27FC236}">
                  <a16:creationId xmlns:a16="http://schemas.microsoft.com/office/drawing/2014/main" id="{6D6FAF97-6068-4BEB-B30D-733C979D87BB}"/>
                </a:ext>
              </a:extLst>
            </xdr:cNvPr>
            <xdr:cNvSpPr txBox="1"/>
          </xdr:nvSpPr>
          <xdr:spPr>
            <a:xfrm>
              <a:off x="2595562" y="12692062"/>
              <a:ext cx="1138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𝑘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6</xdr:col>
      <xdr:colOff>131732</xdr:colOff>
      <xdr:row>100</xdr:row>
      <xdr:rowOff>3651</xdr:rowOff>
    </xdr:from>
    <xdr:ext cx="1249394" cy="469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CuadroTexto 72">
              <a:extLst>
                <a:ext uri="{FF2B5EF4-FFF2-40B4-BE49-F238E27FC236}">
                  <a16:creationId xmlns:a16="http://schemas.microsoft.com/office/drawing/2014/main" id="{00000000-0008-0000-0200-000049000000}"/>
                </a:ext>
              </a:extLst>
            </xdr:cNvPr>
            <xdr:cNvSpPr txBox="1"/>
          </xdr:nvSpPr>
          <xdr:spPr>
            <a:xfrm>
              <a:off x="6122957" y="15357951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porDesviacion</a:t>
              </a:r>
              <a:r>
                <a:rPr lang="es-CO" sz="1000" baseline="0"/>
                <a:t> del cero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100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CO" sz="1000" b="0" i="1" baseline="0"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s-CO" sz="10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73" name="CuadroTexto 72">
              <a:extLst>
                <a:ext uri="{FF2B5EF4-FFF2-40B4-BE49-F238E27FC236}">
                  <a16:creationId xmlns:a16="http://schemas.microsoft.com/office/drawing/2014/main" id="{1F4F6CC3-B6A6-40D4-9E22-D83361F00DFB}"/>
                </a:ext>
              </a:extLst>
            </xdr:cNvPr>
            <xdr:cNvSpPr txBox="1"/>
          </xdr:nvSpPr>
          <xdr:spPr>
            <a:xfrm>
              <a:off x="6122957" y="15357951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porDesviacion</a:t>
              </a:r>
              <a:r>
                <a:rPr lang="es-CO" sz="1000" baseline="0"/>
                <a:t> del cero</a:t>
              </a:r>
            </a:p>
            <a:p>
              <a:r>
                <a:rPr lang="es-CO" sz="1000" baseline="0"/>
                <a:t>                </a:t>
              </a:r>
              <a:r>
                <a:rPr lang="es-CO" sz="1000" b="0" i="0" baseline="0">
                  <a:latin typeface="Cambria Math" panose="02040503050406030204" pitchFamily="18" charset="0"/>
                </a:rPr>
                <a:t>𝑓_0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5</xdr:col>
      <xdr:colOff>42862</xdr:colOff>
      <xdr:row>97</xdr:row>
      <xdr:rowOff>42862</xdr:rowOff>
    </xdr:from>
    <xdr:ext cx="12474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CuadroTexto 73">
              <a:extLst>
                <a:ext uri="{FF2B5EF4-FFF2-40B4-BE49-F238E27FC236}">
                  <a16:creationId xmlns:a16="http://schemas.microsoft.com/office/drawing/2014/main" id="{00000000-0008-0000-0200-00004A000000}"/>
                </a:ext>
              </a:extLst>
            </xdr:cNvPr>
            <xdr:cNvSpPr txBox="1"/>
          </xdr:nvSpPr>
          <xdr:spPr>
            <a:xfrm>
              <a:off x="4652962" y="14806612"/>
              <a:ext cx="12474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𝑖𝑛𝑑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𝑟</m:t>
                                    </m:r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74" name="CuadroTexto 73">
              <a:extLst>
                <a:ext uri="{FF2B5EF4-FFF2-40B4-BE49-F238E27FC236}">
                  <a16:creationId xmlns:a16="http://schemas.microsoft.com/office/drawing/2014/main" id="{9A11420F-6631-40F5-9779-102F30DA88EA}"/>
                </a:ext>
              </a:extLst>
            </xdr:cNvPr>
            <xdr:cNvSpPr txBox="1"/>
          </xdr:nvSpPr>
          <xdr:spPr>
            <a:xfrm>
              <a:off x="4652962" y="14806612"/>
              <a:ext cx="12474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𝑃_(𝑖𝑛𝑑 𝑟)=√(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(2𝑟/2)〗^2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97</xdr:row>
      <xdr:rowOff>0</xdr:rowOff>
    </xdr:from>
    <xdr:ext cx="1412823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CuadroTexto 74">
              <a:extLst>
                <a:ext uri="{FF2B5EF4-FFF2-40B4-BE49-F238E27FC236}">
                  <a16:creationId xmlns:a16="http://schemas.microsoft.com/office/drawing/2014/main" id="{00000000-0008-0000-0200-00004B000000}"/>
                </a:ext>
              </a:extLst>
            </xdr:cNvPr>
            <xdr:cNvSpPr txBox="1"/>
          </xdr:nvSpPr>
          <xdr:spPr>
            <a:xfrm>
              <a:off x="5991225" y="14763750"/>
              <a:ext cx="141282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𝑑𝑒𝑠𝑣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𝑐𝑒𝑟𝑜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𝑓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0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75" name="CuadroTexto 74">
              <a:extLst>
                <a:ext uri="{FF2B5EF4-FFF2-40B4-BE49-F238E27FC236}">
                  <a16:creationId xmlns:a16="http://schemas.microsoft.com/office/drawing/2014/main" id="{02064E0D-418E-4958-AB1F-757B259A4B7A}"/>
                </a:ext>
              </a:extLst>
            </xdr:cNvPr>
            <xdr:cNvSpPr txBox="1"/>
          </xdr:nvSpPr>
          <xdr:spPr>
            <a:xfrm>
              <a:off x="5991225" y="14763750"/>
              <a:ext cx="141282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𝑃_(𝑑𝑒𝑠𝑣 𝑐𝑒𝑟𝑜)=√(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(𝑓_0/2)〗^2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152400</xdr:colOff>
      <xdr:row>100</xdr:row>
      <xdr:rowOff>9525</xdr:rowOff>
    </xdr:from>
    <xdr:ext cx="1110240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CuadroTexto 75">
              <a:extLst>
                <a:ext uri="{FF2B5EF4-FFF2-40B4-BE49-F238E27FC236}">
                  <a16:creationId xmlns:a16="http://schemas.microsoft.com/office/drawing/2014/main" id="{00000000-0008-0000-0200-00004C000000}"/>
                </a:ext>
              </a:extLst>
            </xdr:cNvPr>
            <xdr:cNvSpPr txBox="1"/>
          </xdr:nvSpPr>
          <xdr:spPr>
            <a:xfrm>
              <a:off x="15668625" y="15363825"/>
              <a:ext cx="111024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/>
                <a:t>Desviacion</a:t>
              </a:r>
              <a:r>
                <a:rPr lang="es-CO" sz="1100" baseline="0"/>
                <a:t> del cero</a:t>
              </a:r>
            </a:p>
            <a:p>
              <a:r>
                <a:rPr lang="es-CO" sz="1100" baseline="0"/>
                <a:t>               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110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CO" sz="1100" b="0" i="1" baseline="0"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s-CO" sz="11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endParaRPr lang="es-CO" sz="1100"/>
            </a:p>
          </xdr:txBody>
        </xdr:sp>
      </mc:Choice>
      <mc:Fallback xmlns="">
        <xdr:sp macro="" textlink="">
          <xdr:nvSpPr>
            <xdr:cNvPr id="76" name="CuadroTexto 75">
              <a:extLst>
                <a:ext uri="{FF2B5EF4-FFF2-40B4-BE49-F238E27FC236}">
                  <a16:creationId xmlns:a16="http://schemas.microsoft.com/office/drawing/2014/main" id="{C0D2CD9F-8055-458D-9A40-A1DCD21A8C99}"/>
                </a:ext>
              </a:extLst>
            </xdr:cNvPr>
            <xdr:cNvSpPr txBox="1"/>
          </xdr:nvSpPr>
          <xdr:spPr>
            <a:xfrm>
              <a:off x="15668625" y="15363825"/>
              <a:ext cx="111024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/>
                <a:t>Desviacion</a:t>
              </a:r>
              <a:r>
                <a:rPr lang="es-CO" sz="1100" baseline="0"/>
                <a:t> del cero</a:t>
              </a:r>
            </a:p>
            <a:p>
              <a:r>
                <a:rPr lang="es-CO" sz="1100" baseline="0"/>
                <a:t>                </a:t>
              </a:r>
              <a:r>
                <a:rPr lang="es-CO" sz="1100" b="0" i="0" baseline="0">
                  <a:latin typeface="Cambria Math" panose="02040503050406030204" pitchFamily="18" charset="0"/>
                </a:rPr>
                <a:t>𝑓_0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23812</xdr:colOff>
      <xdr:row>101</xdr:row>
      <xdr:rowOff>14287</xdr:rowOff>
    </xdr:from>
    <xdr:ext cx="658385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CuadroTexto 76">
              <a:extLst>
                <a:ext uri="{FF2B5EF4-FFF2-40B4-BE49-F238E27FC236}">
                  <a16:creationId xmlns:a16="http://schemas.microsoft.com/office/drawing/2014/main" id="{00000000-0008-0000-0200-00004D000000}"/>
                </a:ext>
              </a:extLst>
            </xdr:cNvPr>
            <xdr:cNvSpPr txBox="1"/>
          </xdr:nvSpPr>
          <xdr:spPr>
            <a:xfrm>
              <a:off x="15540037" y="15863887"/>
              <a:ext cx="65838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2,0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1,0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77" name="CuadroTexto 76">
              <a:extLst>
                <a:ext uri="{FF2B5EF4-FFF2-40B4-BE49-F238E27FC236}">
                  <a16:creationId xmlns:a16="http://schemas.microsoft.com/office/drawing/2014/main" id="{3D339A8E-780E-4474-9911-132357C2AAB7}"/>
                </a:ext>
              </a:extLst>
            </xdr:cNvPr>
            <xdr:cNvSpPr txBox="1"/>
          </xdr:nvSpPr>
          <xdr:spPr>
            <a:xfrm>
              <a:off x="15540037" y="15863887"/>
              <a:ext cx="65838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𝑋_2,0−𝑋_1,0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28575</xdr:colOff>
      <xdr:row>102</xdr:row>
      <xdr:rowOff>28575</xdr:rowOff>
    </xdr:from>
    <xdr:ext cx="661656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CuadroTexto 77">
              <a:extLst>
                <a:ext uri="{FF2B5EF4-FFF2-40B4-BE49-F238E27FC236}">
                  <a16:creationId xmlns:a16="http://schemas.microsoft.com/office/drawing/2014/main" id="{00000000-0008-0000-0200-00004E000000}"/>
                </a:ext>
              </a:extLst>
            </xdr:cNvPr>
            <xdr:cNvSpPr txBox="1"/>
          </xdr:nvSpPr>
          <xdr:spPr>
            <a:xfrm>
              <a:off x="15544800" y="16068675"/>
              <a:ext cx="66165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4,0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3,0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78" name="CuadroTexto 77">
              <a:extLst>
                <a:ext uri="{FF2B5EF4-FFF2-40B4-BE49-F238E27FC236}">
                  <a16:creationId xmlns:a16="http://schemas.microsoft.com/office/drawing/2014/main" id="{F8A685E9-C068-42D1-8673-073E28351F73}"/>
                </a:ext>
              </a:extLst>
            </xdr:cNvPr>
            <xdr:cNvSpPr txBox="1"/>
          </xdr:nvSpPr>
          <xdr:spPr>
            <a:xfrm>
              <a:off x="15544800" y="16068675"/>
              <a:ext cx="66165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𝑋_4,0−𝑋_3,0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7</xdr:col>
      <xdr:colOff>180975</xdr:colOff>
      <xdr:row>99</xdr:row>
      <xdr:rowOff>190500</xdr:rowOff>
    </xdr:from>
    <xdr:ext cx="1249394" cy="5021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CuadroTexto 78">
              <a:extLst>
                <a:ext uri="{FF2B5EF4-FFF2-40B4-BE49-F238E27FC236}">
                  <a16:creationId xmlns:a16="http://schemas.microsoft.com/office/drawing/2014/main" id="{00000000-0008-0000-0200-00004F000000}"/>
                </a:ext>
              </a:extLst>
            </xdr:cNvPr>
            <xdr:cNvSpPr txBox="1"/>
          </xdr:nvSpPr>
          <xdr:spPr>
            <a:xfrm>
              <a:off x="7658100" y="15344775"/>
              <a:ext cx="1249394" cy="502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repetibilidad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sSup>
                    <m:sSupPr>
                      <m:ctrlPr>
                        <a:rPr lang="es-CO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s-CO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𝑏</m:t>
                      </m:r>
                    </m:e>
                    <m:sup>
                      <m:r>
                        <a:rPr lang="es-CO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′</m:t>
                      </m:r>
                    </m:sup>
                  </m:sSup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79" name="CuadroTexto 78">
              <a:extLst>
                <a:ext uri="{FF2B5EF4-FFF2-40B4-BE49-F238E27FC236}">
                  <a16:creationId xmlns:a16="http://schemas.microsoft.com/office/drawing/2014/main" id="{EC3603D3-8281-4575-931F-1299BE0F1598}"/>
                </a:ext>
              </a:extLst>
            </xdr:cNvPr>
            <xdr:cNvSpPr txBox="1"/>
          </xdr:nvSpPr>
          <xdr:spPr>
            <a:xfrm>
              <a:off x="7658100" y="15344775"/>
              <a:ext cx="1249394" cy="502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repetibilidad</a:t>
              </a:r>
            </a:p>
            <a:p>
              <a:r>
                <a:rPr lang="es-CO" sz="1000" baseline="0"/>
                <a:t>               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7</xdr:col>
      <xdr:colOff>76200</xdr:colOff>
      <xdr:row>97</xdr:row>
      <xdr:rowOff>9525</xdr:rowOff>
    </xdr:from>
    <xdr:ext cx="1250599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CuadroTexto 79">
              <a:extLst>
                <a:ext uri="{FF2B5EF4-FFF2-40B4-BE49-F238E27FC236}">
                  <a16:creationId xmlns:a16="http://schemas.microsoft.com/office/drawing/2014/main" id="{00000000-0008-0000-0200-000050000000}"/>
                </a:ext>
              </a:extLst>
            </xdr:cNvPr>
            <xdr:cNvSpPr txBox="1"/>
          </xdr:nvSpPr>
          <xdr:spPr>
            <a:xfrm>
              <a:off x="7553325" y="14773275"/>
              <a:ext cx="125059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𝑟𝑒𝑝𝑒𝑡𝑖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p>
                                      <m:sSup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𝑏</m:t>
                                        </m:r>
                                      </m:e>
                                      <m:sup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′</m:t>
                                        </m:r>
                                      </m:sup>
                                    </m:sSup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80" name="CuadroTexto 79">
              <a:extLst>
                <a:ext uri="{FF2B5EF4-FFF2-40B4-BE49-F238E27FC236}">
                  <a16:creationId xmlns:a16="http://schemas.microsoft.com/office/drawing/2014/main" id="{83EE4AA3-8C66-44CA-A941-A51EB41FDA04}"/>
                </a:ext>
              </a:extLst>
            </xdr:cNvPr>
            <xdr:cNvSpPr txBox="1"/>
          </xdr:nvSpPr>
          <xdr:spPr>
            <a:xfrm>
              <a:off x="7553325" y="14773275"/>
              <a:ext cx="125059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𝑃_𝑟𝑒𝑝𝑒𝑡𝑖=√(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(𝑏^′/2)〗^2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274606</xdr:colOff>
      <xdr:row>102</xdr:row>
      <xdr:rowOff>184626</xdr:rowOff>
    </xdr:from>
    <xdr:ext cx="15279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CuadroTexto 80">
              <a:extLst>
                <a:ext uri="{FF2B5EF4-FFF2-40B4-BE49-F238E27FC236}">
                  <a16:creationId xmlns:a16="http://schemas.microsoft.com/office/drawing/2014/main" id="{00000000-0008-0000-0200-000051000000}"/>
                </a:ext>
              </a:extLst>
            </xdr:cNvPr>
            <xdr:cNvSpPr txBox="1"/>
          </xdr:nvSpPr>
          <xdr:spPr>
            <a:xfrm>
              <a:off x="15790831" y="16224726"/>
              <a:ext cx="1527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81" name="CuadroTexto 80">
              <a:extLst>
                <a:ext uri="{FF2B5EF4-FFF2-40B4-BE49-F238E27FC236}">
                  <a16:creationId xmlns:a16="http://schemas.microsoft.com/office/drawing/2014/main" id="{8F499334-AE6F-4A31-97D3-74668C276A7C}"/>
                </a:ext>
              </a:extLst>
            </xdr:cNvPr>
            <xdr:cNvSpPr txBox="1"/>
          </xdr:nvSpPr>
          <xdr:spPr>
            <a:xfrm>
              <a:off x="15790831" y="16224726"/>
              <a:ext cx="1527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𝑓_0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404812</xdr:colOff>
      <xdr:row>98</xdr:row>
      <xdr:rowOff>42862</xdr:rowOff>
    </xdr:from>
    <xdr:ext cx="2207336" cy="1910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CuadroTexto 81">
              <a:extLst>
                <a:ext uri="{FF2B5EF4-FFF2-40B4-BE49-F238E27FC236}">
                  <a16:creationId xmlns:a16="http://schemas.microsoft.com/office/drawing/2014/main" id="{00000000-0008-0000-0200-000052000000}"/>
                </a:ext>
              </a:extLst>
            </xdr:cNvPr>
            <xdr:cNvSpPr txBox="1"/>
          </xdr:nvSpPr>
          <xdr:spPr>
            <a:xfrm>
              <a:off x="15159037" y="15006637"/>
              <a:ext cx="2207336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𝑚𝑎𝑥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2,0</m:t>
                                </m:r>
                              </m:sub>
                            </m:s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1,0</m:t>
                                </m:r>
                              </m:sub>
                            </m:sSub>
                          </m:e>
                        </m:d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;</m:t>
                        </m:r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</m:e>
                        </m:d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82" name="CuadroTexto 81">
              <a:extLst>
                <a:ext uri="{FF2B5EF4-FFF2-40B4-BE49-F238E27FC236}">
                  <a16:creationId xmlns:a16="http://schemas.microsoft.com/office/drawing/2014/main" id="{8986834E-937D-4822-A017-2989B9FA278B}"/>
                </a:ext>
              </a:extLst>
            </xdr:cNvPr>
            <xdr:cNvSpPr txBox="1"/>
          </xdr:nvSpPr>
          <xdr:spPr>
            <a:xfrm>
              <a:off x="15159037" y="15006637"/>
              <a:ext cx="2207336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𝑓_0=𝑚𝑎𝑥{|𝑋_2,0−𝑋_1,0 |;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|𝑋_4,0−𝑋_3,0 |}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8</xdr:col>
      <xdr:colOff>171450</xdr:colOff>
      <xdr:row>100</xdr:row>
      <xdr:rowOff>9525</xdr:rowOff>
    </xdr:from>
    <xdr:ext cx="1249394" cy="469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CuadroTexto 82">
              <a:extLst>
                <a:ext uri="{FF2B5EF4-FFF2-40B4-BE49-F238E27FC236}">
                  <a16:creationId xmlns:a16="http://schemas.microsoft.com/office/drawing/2014/main" id="{00000000-0008-0000-0200-000053000000}"/>
                </a:ext>
              </a:extLst>
            </xdr:cNvPr>
            <xdr:cNvSpPr txBox="1"/>
          </xdr:nvSpPr>
          <xdr:spPr>
            <a:xfrm>
              <a:off x="9153525" y="15363825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histeris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r>
                    <a:rPr lang="es-CO" sz="1000" b="0" i="1" baseline="0">
                      <a:latin typeface="Cambria Math" panose="02040503050406030204" pitchFamily="18" charset="0"/>
                    </a:rPr>
                    <m:t>h</m:t>
                  </m:r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83" name="CuadroTexto 82">
              <a:extLst>
                <a:ext uri="{FF2B5EF4-FFF2-40B4-BE49-F238E27FC236}">
                  <a16:creationId xmlns:a16="http://schemas.microsoft.com/office/drawing/2014/main" id="{26D9C97D-0899-4A88-B63E-5FE01194F6E8}"/>
                </a:ext>
              </a:extLst>
            </xdr:cNvPr>
            <xdr:cNvSpPr txBox="1"/>
          </xdr:nvSpPr>
          <xdr:spPr>
            <a:xfrm>
              <a:off x="9153525" y="15363825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histeris</a:t>
              </a:r>
            </a:p>
            <a:p>
              <a:r>
                <a:rPr lang="es-CO" sz="1000" baseline="0"/>
                <a:t>                </a:t>
              </a:r>
              <a:r>
                <a:rPr lang="es-CO" sz="1000" b="0" i="0" baseline="0">
                  <a:latin typeface="Cambria Math" panose="02040503050406030204" pitchFamily="18" charset="0"/>
                </a:rPr>
                <a:t>ℎ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8</xdr:col>
      <xdr:colOff>28575</xdr:colOff>
      <xdr:row>97</xdr:row>
      <xdr:rowOff>0</xdr:rowOff>
    </xdr:from>
    <xdr:ext cx="1285929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CuadroTexto 83">
              <a:extLst>
                <a:ext uri="{FF2B5EF4-FFF2-40B4-BE49-F238E27FC236}">
                  <a16:creationId xmlns:a16="http://schemas.microsoft.com/office/drawing/2014/main" id="{00000000-0008-0000-0200-000054000000}"/>
                </a:ext>
              </a:extLst>
            </xdr:cNvPr>
            <xdr:cNvSpPr txBox="1"/>
          </xdr:nvSpPr>
          <xdr:spPr>
            <a:xfrm>
              <a:off x="9010650" y="14763750"/>
              <a:ext cx="128592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h𝑖𝑠𝑡𝑒𝑟𝑖𝑠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h</m:t>
                                    </m:r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84" name="CuadroTexto 83">
              <a:extLst>
                <a:ext uri="{FF2B5EF4-FFF2-40B4-BE49-F238E27FC236}">
                  <a16:creationId xmlns:a16="http://schemas.microsoft.com/office/drawing/2014/main" id="{27BECA8C-5DF1-493E-BA3D-459E7DAF9C10}"/>
                </a:ext>
              </a:extLst>
            </xdr:cNvPr>
            <xdr:cNvSpPr txBox="1"/>
          </xdr:nvSpPr>
          <xdr:spPr>
            <a:xfrm>
              <a:off x="9010650" y="14763750"/>
              <a:ext cx="128592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𝑃_ℎ𝑖𝑠𝑡𝑒𝑟𝑖𝑠=√(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(ℎ/2)〗^2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5</xdr:col>
      <xdr:colOff>398431</xdr:colOff>
      <xdr:row>105</xdr:row>
      <xdr:rowOff>89376</xdr:rowOff>
    </xdr:from>
    <xdr:ext cx="65" cy="172227"/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/>
      </xdr:nvSpPr>
      <xdr:spPr>
        <a:xfrm>
          <a:off x="5008531" y="167105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</xdr:col>
      <xdr:colOff>100012</xdr:colOff>
      <xdr:row>110</xdr:row>
      <xdr:rowOff>52387</xdr:rowOff>
    </xdr:from>
    <xdr:ext cx="1386983" cy="6585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CuadroTexto 85">
              <a:extLst>
                <a:ext uri="{FF2B5EF4-FFF2-40B4-BE49-F238E27FC236}">
                  <a16:creationId xmlns:a16="http://schemas.microsoft.com/office/drawing/2014/main" id="{00000000-0008-0000-0200-000056000000}"/>
                </a:ext>
              </a:extLst>
            </xdr:cNvPr>
            <xdr:cNvSpPr txBox="1"/>
          </xdr:nvSpPr>
          <xdr:spPr>
            <a:xfrm>
              <a:off x="1966912" y="18388012"/>
              <a:ext cx="138698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nary>
                          <m:naryPr>
                            <m:chr m:val="∑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sup>
                          <m:e>
                            <m:sSup>
                              <m:sSup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𝑐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∗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𝜇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(</m:t>
                                    </m:r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86" name="CuadroTexto 85">
              <a:extLst>
                <a:ext uri="{FF2B5EF4-FFF2-40B4-BE49-F238E27FC236}">
                  <a16:creationId xmlns:a16="http://schemas.microsoft.com/office/drawing/2014/main" id="{F2A9F186-978B-4B7A-A108-2E3F9A06FDFF}"/>
                </a:ext>
              </a:extLst>
            </xdr:cNvPr>
            <xdr:cNvSpPr txBox="1"/>
          </xdr:nvSpPr>
          <xdr:spPr>
            <a:xfrm>
              <a:off x="1966912" y="18388012"/>
              <a:ext cx="138698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𝑐=√(∑_(𝑖=1)^𝑁▒〖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(𝑐_𝑖∗𝜇(𝑥_𝑖 ))〗^</a:t>
              </a:r>
              <a:r>
                <a:rPr lang="es-CO" sz="1100" b="0" i="0">
                  <a:latin typeface="Cambria Math" panose="02040503050406030204" pitchFamily="18" charset="0"/>
                </a:rPr>
                <a:t>2 )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214312</xdr:colOff>
      <xdr:row>97</xdr:row>
      <xdr:rowOff>166687</xdr:rowOff>
    </xdr:from>
    <xdr:ext cx="90601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CuadroTexto 86">
              <a:extLst>
                <a:ext uri="{FF2B5EF4-FFF2-40B4-BE49-F238E27FC236}">
                  <a16:creationId xmlns:a16="http://schemas.microsoft.com/office/drawing/2014/main" id="{00000000-0008-0000-0200-000057000000}"/>
                </a:ext>
              </a:extLst>
            </xdr:cNvPr>
            <xdr:cNvSpPr txBox="1"/>
          </xdr:nvSpPr>
          <xdr:spPr>
            <a:xfrm>
              <a:off x="3605212" y="14930437"/>
              <a:ext cx="9060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𝑃𝑎𝑡𝑟𝑜𝑛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/2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87" name="CuadroTexto 86">
              <a:extLst>
                <a:ext uri="{FF2B5EF4-FFF2-40B4-BE49-F238E27FC236}">
                  <a16:creationId xmlns:a16="http://schemas.microsoft.com/office/drawing/2014/main" id="{B2399E4D-E518-4A09-BE4E-396F5C6B7D82}"/>
                </a:ext>
              </a:extLst>
            </xdr:cNvPr>
            <xdr:cNvSpPr txBox="1"/>
          </xdr:nvSpPr>
          <xdr:spPr>
            <a:xfrm>
              <a:off x="3605212" y="14930437"/>
              <a:ext cx="9060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𝑃𝑎𝑡𝑟𝑜𝑛=𝑈/2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71436</xdr:colOff>
      <xdr:row>114</xdr:row>
      <xdr:rowOff>157162</xdr:rowOff>
    </xdr:from>
    <xdr:ext cx="1395413" cy="51834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CuadroTexto 87">
              <a:extLst>
                <a:ext uri="{FF2B5EF4-FFF2-40B4-BE49-F238E27FC236}">
                  <a16:creationId xmlns:a16="http://schemas.microsoft.com/office/drawing/2014/main" id="{00000000-0008-0000-0200-000058000000}"/>
                </a:ext>
              </a:extLst>
            </xdr:cNvPr>
            <xdr:cNvSpPr txBox="1"/>
          </xdr:nvSpPr>
          <xdr:spPr>
            <a:xfrm>
              <a:off x="1938336" y="19254787"/>
              <a:ext cx="1395413" cy="518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𝑒𝑓𝑓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e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num>
                      <m:den>
                        <m:nary>
                          <m:naryPr>
                            <m:chr m:val="∑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f>
                              <m:f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es-CO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𝜇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4</m:t>
                                    </m:r>
                                  </m:sup>
                                </m:sSup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𝑣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den>
                            </m:f>
                          </m:e>
                        </m:nary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88" name="CuadroTexto 87">
              <a:extLst>
                <a:ext uri="{FF2B5EF4-FFF2-40B4-BE49-F238E27FC236}">
                  <a16:creationId xmlns:a16="http://schemas.microsoft.com/office/drawing/2014/main" id="{214C7122-9601-4AC2-B06D-06015409BA77}"/>
                </a:ext>
              </a:extLst>
            </xdr:cNvPr>
            <xdr:cNvSpPr txBox="1"/>
          </xdr:nvSpPr>
          <xdr:spPr>
            <a:xfrm>
              <a:off x="1938336" y="19254787"/>
              <a:ext cx="1395413" cy="518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𝑣_𝑒𝑓𝑓=〖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𝑐〗^4/(∑_(𝑖=1)^𝑛▒(〖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𝑖〗^4 (𝑥_𝑖))/𝑣_𝑖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690562</xdr:colOff>
      <xdr:row>107</xdr:row>
      <xdr:rowOff>80962</xdr:rowOff>
    </xdr:from>
    <xdr:ext cx="1527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CuadroTexto 88">
              <a:extLst>
                <a:ext uri="{FF2B5EF4-FFF2-40B4-BE49-F238E27FC236}">
                  <a16:creationId xmlns:a16="http://schemas.microsoft.com/office/drawing/2014/main" id="{00000000-0008-0000-0200-000059000000}"/>
                </a:ext>
              </a:extLst>
            </xdr:cNvPr>
            <xdr:cNvSpPr txBox="1"/>
          </xdr:nvSpPr>
          <xdr:spPr>
            <a:xfrm>
              <a:off x="2557462" y="17083087"/>
              <a:ext cx="152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89" name="CuadroTexto 88">
              <a:extLst>
                <a:ext uri="{FF2B5EF4-FFF2-40B4-BE49-F238E27FC236}">
                  <a16:creationId xmlns:a16="http://schemas.microsoft.com/office/drawing/2014/main" id="{CE7D83A4-CC1B-467D-BD4A-81EB21CB0CD8}"/>
                </a:ext>
              </a:extLst>
            </xdr:cNvPr>
            <xdr:cNvSpPr txBox="1"/>
          </xdr:nvSpPr>
          <xdr:spPr>
            <a:xfrm>
              <a:off x="2557462" y="17083087"/>
              <a:ext cx="152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𝑣_𝑖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338137</xdr:colOff>
      <xdr:row>109</xdr:row>
      <xdr:rowOff>519112</xdr:rowOff>
    </xdr:from>
    <xdr:ext cx="2236831" cy="2027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CuadroTexto 89">
              <a:extLst>
                <a:ext uri="{FF2B5EF4-FFF2-40B4-BE49-F238E27FC236}">
                  <a16:creationId xmlns:a16="http://schemas.microsoft.com/office/drawing/2014/main" id="{00000000-0008-0000-0200-00005A000000}"/>
                </a:ext>
              </a:extLst>
            </xdr:cNvPr>
            <xdr:cNvSpPr txBox="1"/>
          </xdr:nvSpPr>
          <xdr:spPr>
            <a:xfrm>
              <a:off x="15092362" y="18283237"/>
              <a:ext cx="2236831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𝑎𝑠𝑐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3,0)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1,0)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90" name="CuadroTexto 89">
              <a:extLst>
                <a:ext uri="{FF2B5EF4-FFF2-40B4-BE49-F238E27FC236}">
                  <a16:creationId xmlns:a16="http://schemas.microsoft.com/office/drawing/2014/main" id="{4D250905-1EA6-484A-B6B9-8662E7999164}"/>
                </a:ext>
              </a:extLst>
            </xdr:cNvPr>
            <xdr:cNvSpPr txBox="1"/>
          </xdr:nvSpPr>
          <xdr:spPr>
            <a:xfrm>
              <a:off x="15092362" y="18283237"/>
              <a:ext cx="2236831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𝑏^′〗_(</a:t>
              </a:r>
              <a:r>
                <a:rPr lang="es-CO" sz="1100" b="0" i="0">
                  <a:latin typeface="Cambria Math" panose="02040503050406030204" pitchFamily="18" charset="0"/>
                </a:rPr>
                <a:t>𝑎𝑠𝑐,𝑗)=|(𝑥_(3,𝑗)−𝑥_(3,0))−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(𝑥_(1,𝑗)−𝑥_(1,0)) |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342900</xdr:colOff>
      <xdr:row>111</xdr:row>
      <xdr:rowOff>66675</xdr:rowOff>
    </xdr:from>
    <xdr:ext cx="2218749" cy="2027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CuadroTexto 90">
              <a:extLst>
                <a:ext uri="{FF2B5EF4-FFF2-40B4-BE49-F238E27FC236}">
                  <a16:creationId xmlns:a16="http://schemas.microsoft.com/office/drawing/2014/main" id="{00000000-0008-0000-0200-00005B000000}"/>
                </a:ext>
              </a:extLst>
            </xdr:cNvPr>
            <xdr:cNvSpPr txBox="1"/>
          </xdr:nvSpPr>
          <xdr:spPr>
            <a:xfrm>
              <a:off x="15097125" y="18592800"/>
              <a:ext cx="2218749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𝑑𝑒𝑠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4,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3,0)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1,0)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91" name="CuadroTexto 90">
              <a:extLst>
                <a:ext uri="{FF2B5EF4-FFF2-40B4-BE49-F238E27FC236}">
                  <a16:creationId xmlns:a16="http://schemas.microsoft.com/office/drawing/2014/main" id="{11008B33-C5D9-4AD6-AE3E-BA5F0B79C277}"/>
                </a:ext>
              </a:extLst>
            </xdr:cNvPr>
            <xdr:cNvSpPr txBox="1"/>
          </xdr:nvSpPr>
          <xdr:spPr>
            <a:xfrm>
              <a:off x="15097125" y="18592800"/>
              <a:ext cx="2218749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𝑏^′〗_(</a:t>
              </a:r>
              <a:r>
                <a:rPr lang="es-CO" sz="1100" b="0" i="0">
                  <a:latin typeface="Cambria Math" panose="02040503050406030204" pitchFamily="18" charset="0"/>
                </a:rPr>
                <a:t>𝑑𝑒𝑠,𝑗)=|(𝑥_(4,𝑗)−𝑥_(3,0))−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(𝑥_(2,𝑗)−𝑥_(1,0)) |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314325</xdr:colOff>
      <xdr:row>112</xdr:row>
      <xdr:rowOff>180975</xdr:rowOff>
    </xdr:from>
    <xdr:ext cx="1793055" cy="2024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CuadroTexto 91">
              <a:extLst>
                <a:ext uri="{FF2B5EF4-FFF2-40B4-BE49-F238E27FC236}">
                  <a16:creationId xmlns:a16="http://schemas.microsoft.com/office/drawing/2014/main" id="{00000000-0008-0000-0200-00005C000000}"/>
                </a:ext>
              </a:extLst>
            </xdr:cNvPr>
            <xdr:cNvSpPr txBox="1"/>
          </xdr:nvSpPr>
          <xdr:spPr>
            <a:xfrm>
              <a:off x="15068550" y="18897600"/>
              <a:ext cx="1793055" cy="2024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𝑚𝑒𝑑𝑖𝑜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CO" sz="1100" b="0" i="0">
                        <a:latin typeface="Cambria Math" panose="02040503050406030204" pitchFamily="18" charset="0"/>
                      </a:rPr>
                      <m:t>max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𝑎𝑠𝑐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; </m:t>
                        </m:r>
                        <m:sSub>
                          <m:sSub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𝑑𝑒𝑠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92" name="CuadroTexto 91">
              <a:extLst>
                <a:ext uri="{FF2B5EF4-FFF2-40B4-BE49-F238E27FC236}">
                  <a16:creationId xmlns:a16="http://schemas.microsoft.com/office/drawing/2014/main" id="{33B7D2F1-296C-44E0-8120-E908040E6CB6}"/>
                </a:ext>
              </a:extLst>
            </xdr:cNvPr>
            <xdr:cNvSpPr txBox="1"/>
          </xdr:nvSpPr>
          <xdr:spPr>
            <a:xfrm>
              <a:off x="15068550" y="18897600"/>
              <a:ext cx="1793055" cy="2024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</a:t>
              </a:r>
              <a:r>
                <a:rPr lang="es-CO" sz="1100" b="0" i="0">
                  <a:latin typeface="Cambria Math" panose="02040503050406030204" pitchFamily="18" charset="0"/>
                </a:rPr>
                <a:t>𝑚𝑒𝑑𝑖𝑜=max{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〖𝑏^′〗_(𝑎𝑠𝑐,𝑗); 〖𝑏^′〗_(𝑑𝑒𝑠,𝑗) 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57150</xdr:colOff>
      <xdr:row>117</xdr:row>
      <xdr:rowOff>19050</xdr:rowOff>
    </xdr:from>
    <xdr:ext cx="4006546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CuadroTexto 92">
              <a:extLst>
                <a:ext uri="{FF2B5EF4-FFF2-40B4-BE49-F238E27FC236}">
                  <a16:creationId xmlns:a16="http://schemas.microsoft.com/office/drawing/2014/main" id="{00000000-0008-0000-0200-00005D000000}"/>
                </a:ext>
              </a:extLst>
            </xdr:cNvPr>
            <xdr:cNvSpPr txBox="1"/>
          </xdr:nvSpPr>
          <xdr:spPr>
            <a:xfrm>
              <a:off x="14811375" y="19688175"/>
              <a:ext cx="400654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2,</m:t>
                                </m:r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d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d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93" name="CuadroTexto 92">
              <a:extLst>
                <a:ext uri="{FF2B5EF4-FFF2-40B4-BE49-F238E27FC236}">
                  <a16:creationId xmlns:a16="http://schemas.microsoft.com/office/drawing/2014/main" id="{1606A76E-6016-45AE-ADC8-B203602782B6}"/>
                </a:ext>
              </a:extLst>
            </xdr:cNvPr>
            <xdr:cNvSpPr txBox="1"/>
          </xdr:nvSpPr>
          <xdr:spPr>
            <a:xfrm>
              <a:off x="14811375" y="19688175"/>
              <a:ext cx="400654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ℎ=1/𝑛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×{|〖(𝑋〗_(2,𝑗)−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𝑋_1,0)−〖(𝑋〗_(1,𝑗)−𝑋_1,0)|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|〖(𝑋〗_(4,𝑗)−𝑋_3,0)−〖(𝑋〗_(3,𝑗)−𝑋_3,0)|}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452437</xdr:colOff>
      <xdr:row>119</xdr:row>
      <xdr:rowOff>166687</xdr:rowOff>
    </xdr:from>
    <xdr:ext cx="66678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CuadroTexto 93">
              <a:extLst>
                <a:ext uri="{FF2B5EF4-FFF2-40B4-BE49-F238E27FC236}">
                  <a16:creationId xmlns:a16="http://schemas.microsoft.com/office/drawing/2014/main" id="{00000000-0008-0000-0200-00005E000000}"/>
                </a:ext>
              </a:extLst>
            </xdr:cNvPr>
            <xdr:cNvSpPr txBox="1"/>
          </xdr:nvSpPr>
          <xdr:spPr>
            <a:xfrm>
              <a:off x="2319337" y="20216812"/>
              <a:ext cx="6667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𝑘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94" name="CuadroTexto 93">
              <a:extLst>
                <a:ext uri="{FF2B5EF4-FFF2-40B4-BE49-F238E27FC236}">
                  <a16:creationId xmlns:a16="http://schemas.microsoft.com/office/drawing/2014/main" id="{5812BA70-DA3A-46C4-A894-DDB61E3CB23C}"/>
                </a:ext>
              </a:extLst>
            </xdr:cNvPr>
            <xdr:cNvSpPr txBox="1"/>
          </xdr:nvSpPr>
          <xdr:spPr>
            <a:xfrm>
              <a:off x="2319337" y="20216812"/>
              <a:ext cx="6667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𝑈=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𝑐∗𝑘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728662</xdr:colOff>
      <xdr:row>118</xdr:row>
      <xdr:rowOff>23812</xdr:rowOff>
    </xdr:from>
    <xdr:ext cx="11381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CuadroTexto 94">
              <a:extLst>
                <a:ext uri="{FF2B5EF4-FFF2-40B4-BE49-F238E27FC236}">
                  <a16:creationId xmlns:a16="http://schemas.microsoft.com/office/drawing/2014/main" id="{00000000-0008-0000-0200-00005F000000}"/>
                </a:ext>
              </a:extLst>
            </xdr:cNvPr>
            <xdr:cNvSpPr txBox="1"/>
          </xdr:nvSpPr>
          <xdr:spPr>
            <a:xfrm>
              <a:off x="2595562" y="19883437"/>
              <a:ext cx="1138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𝑘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95" name="CuadroTexto 94">
              <a:extLst>
                <a:ext uri="{FF2B5EF4-FFF2-40B4-BE49-F238E27FC236}">
                  <a16:creationId xmlns:a16="http://schemas.microsoft.com/office/drawing/2014/main" id="{96ED03BD-7027-4741-80EE-AA84B243469E}"/>
                </a:ext>
              </a:extLst>
            </xdr:cNvPr>
            <xdr:cNvSpPr txBox="1"/>
          </xdr:nvSpPr>
          <xdr:spPr>
            <a:xfrm>
              <a:off x="2595562" y="19883437"/>
              <a:ext cx="1138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𝑘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6</xdr:col>
      <xdr:colOff>131732</xdr:colOff>
      <xdr:row>131</xdr:row>
      <xdr:rowOff>3651</xdr:rowOff>
    </xdr:from>
    <xdr:ext cx="1249394" cy="469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CuadroTexto 95">
              <a:extLst>
                <a:ext uri="{FF2B5EF4-FFF2-40B4-BE49-F238E27FC236}">
                  <a16:creationId xmlns:a16="http://schemas.microsoft.com/office/drawing/2014/main" id="{00000000-0008-0000-0200-000060000000}"/>
                </a:ext>
              </a:extLst>
            </xdr:cNvPr>
            <xdr:cNvSpPr txBox="1"/>
          </xdr:nvSpPr>
          <xdr:spPr>
            <a:xfrm>
              <a:off x="6122957" y="22358826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porDesviacion</a:t>
              </a:r>
              <a:r>
                <a:rPr lang="es-CO" sz="1000" baseline="0"/>
                <a:t> del cero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100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CO" sz="1000" b="0" i="1" baseline="0"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s-CO" sz="10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96" name="CuadroTexto 95">
              <a:extLst>
                <a:ext uri="{FF2B5EF4-FFF2-40B4-BE49-F238E27FC236}">
                  <a16:creationId xmlns:a16="http://schemas.microsoft.com/office/drawing/2014/main" id="{EA0A86E0-25F2-4AFD-B63F-1FFA0967B8C7}"/>
                </a:ext>
              </a:extLst>
            </xdr:cNvPr>
            <xdr:cNvSpPr txBox="1"/>
          </xdr:nvSpPr>
          <xdr:spPr>
            <a:xfrm>
              <a:off x="6122957" y="22358826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porDesviacion</a:t>
              </a:r>
              <a:r>
                <a:rPr lang="es-CO" sz="1000" baseline="0"/>
                <a:t> del cero</a:t>
              </a:r>
            </a:p>
            <a:p>
              <a:r>
                <a:rPr lang="es-CO" sz="1000" baseline="0"/>
                <a:t>                </a:t>
              </a:r>
              <a:r>
                <a:rPr lang="es-CO" sz="1000" b="0" i="0" baseline="0">
                  <a:latin typeface="Cambria Math" panose="02040503050406030204" pitchFamily="18" charset="0"/>
                </a:rPr>
                <a:t>𝑓_0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5</xdr:col>
      <xdr:colOff>42862</xdr:colOff>
      <xdr:row>128</xdr:row>
      <xdr:rowOff>42862</xdr:rowOff>
    </xdr:from>
    <xdr:ext cx="12474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CuadroTexto 96">
              <a:extLst>
                <a:ext uri="{FF2B5EF4-FFF2-40B4-BE49-F238E27FC236}">
                  <a16:creationId xmlns:a16="http://schemas.microsoft.com/office/drawing/2014/main" id="{00000000-0008-0000-0200-000061000000}"/>
                </a:ext>
              </a:extLst>
            </xdr:cNvPr>
            <xdr:cNvSpPr txBox="1"/>
          </xdr:nvSpPr>
          <xdr:spPr>
            <a:xfrm>
              <a:off x="4652962" y="21807487"/>
              <a:ext cx="12474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𝑖𝑛𝑑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𝑟</m:t>
                                    </m:r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97" name="CuadroTexto 96">
              <a:extLst>
                <a:ext uri="{FF2B5EF4-FFF2-40B4-BE49-F238E27FC236}">
                  <a16:creationId xmlns:a16="http://schemas.microsoft.com/office/drawing/2014/main" id="{45F39585-AA8B-43A6-B76C-20052B65AC78}"/>
                </a:ext>
              </a:extLst>
            </xdr:cNvPr>
            <xdr:cNvSpPr txBox="1"/>
          </xdr:nvSpPr>
          <xdr:spPr>
            <a:xfrm>
              <a:off x="4652962" y="21807487"/>
              <a:ext cx="12474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𝑃_(𝑖𝑛𝑑 𝑟)=√(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(2𝑟/2)〗^2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128</xdr:row>
      <xdr:rowOff>0</xdr:rowOff>
    </xdr:from>
    <xdr:ext cx="1412823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CuadroTexto 97">
              <a:extLst>
                <a:ext uri="{FF2B5EF4-FFF2-40B4-BE49-F238E27FC236}">
                  <a16:creationId xmlns:a16="http://schemas.microsoft.com/office/drawing/2014/main" id="{00000000-0008-0000-0200-000062000000}"/>
                </a:ext>
              </a:extLst>
            </xdr:cNvPr>
            <xdr:cNvSpPr txBox="1"/>
          </xdr:nvSpPr>
          <xdr:spPr>
            <a:xfrm>
              <a:off x="5991225" y="21764625"/>
              <a:ext cx="141282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𝑑𝑒𝑠𝑣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𝑐𝑒𝑟𝑜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𝑓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0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98" name="CuadroTexto 97">
              <a:extLst>
                <a:ext uri="{FF2B5EF4-FFF2-40B4-BE49-F238E27FC236}">
                  <a16:creationId xmlns:a16="http://schemas.microsoft.com/office/drawing/2014/main" id="{E5B1BBB4-33D3-4C33-891D-A1B72D8AA63E}"/>
                </a:ext>
              </a:extLst>
            </xdr:cNvPr>
            <xdr:cNvSpPr txBox="1"/>
          </xdr:nvSpPr>
          <xdr:spPr>
            <a:xfrm>
              <a:off x="5991225" y="21764625"/>
              <a:ext cx="141282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𝑃_(𝑑𝑒𝑠𝑣 𝑐𝑒𝑟𝑜)=√(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(𝑓_0/2)〗^2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152400</xdr:colOff>
      <xdr:row>131</xdr:row>
      <xdr:rowOff>9525</xdr:rowOff>
    </xdr:from>
    <xdr:ext cx="1110240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CuadroTexto 98">
              <a:extLst>
                <a:ext uri="{FF2B5EF4-FFF2-40B4-BE49-F238E27FC236}">
                  <a16:creationId xmlns:a16="http://schemas.microsoft.com/office/drawing/2014/main" id="{00000000-0008-0000-0200-000063000000}"/>
                </a:ext>
              </a:extLst>
            </xdr:cNvPr>
            <xdr:cNvSpPr txBox="1"/>
          </xdr:nvSpPr>
          <xdr:spPr>
            <a:xfrm>
              <a:off x="15668625" y="22364700"/>
              <a:ext cx="111024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/>
                <a:t>Desviacion</a:t>
              </a:r>
              <a:r>
                <a:rPr lang="es-CO" sz="1100" baseline="0"/>
                <a:t> del cero</a:t>
              </a:r>
            </a:p>
            <a:p>
              <a:r>
                <a:rPr lang="es-CO" sz="1100" baseline="0"/>
                <a:t>               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110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CO" sz="1100" b="0" i="1" baseline="0"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s-CO" sz="11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endParaRPr lang="es-CO" sz="1100"/>
            </a:p>
          </xdr:txBody>
        </xdr:sp>
      </mc:Choice>
      <mc:Fallback xmlns="">
        <xdr:sp macro="" textlink="">
          <xdr:nvSpPr>
            <xdr:cNvPr id="99" name="CuadroTexto 98">
              <a:extLst>
                <a:ext uri="{FF2B5EF4-FFF2-40B4-BE49-F238E27FC236}">
                  <a16:creationId xmlns:a16="http://schemas.microsoft.com/office/drawing/2014/main" id="{EA2D5E20-A944-4B8C-AE47-4F50CC94EA0F}"/>
                </a:ext>
              </a:extLst>
            </xdr:cNvPr>
            <xdr:cNvSpPr txBox="1"/>
          </xdr:nvSpPr>
          <xdr:spPr>
            <a:xfrm>
              <a:off x="15668625" y="22364700"/>
              <a:ext cx="111024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/>
                <a:t>Desviacion</a:t>
              </a:r>
              <a:r>
                <a:rPr lang="es-CO" sz="1100" baseline="0"/>
                <a:t> del cero</a:t>
              </a:r>
            </a:p>
            <a:p>
              <a:r>
                <a:rPr lang="es-CO" sz="1100" baseline="0"/>
                <a:t>                </a:t>
              </a:r>
              <a:r>
                <a:rPr lang="es-CO" sz="1100" b="0" i="0" baseline="0">
                  <a:latin typeface="Cambria Math" panose="02040503050406030204" pitchFamily="18" charset="0"/>
                </a:rPr>
                <a:t>𝑓_0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23812</xdr:colOff>
      <xdr:row>132</xdr:row>
      <xdr:rowOff>14287</xdr:rowOff>
    </xdr:from>
    <xdr:ext cx="658385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CuadroTexto 99">
              <a:extLst>
                <a:ext uri="{FF2B5EF4-FFF2-40B4-BE49-F238E27FC236}">
                  <a16:creationId xmlns:a16="http://schemas.microsoft.com/office/drawing/2014/main" id="{00000000-0008-0000-0200-000064000000}"/>
                </a:ext>
              </a:extLst>
            </xdr:cNvPr>
            <xdr:cNvSpPr txBox="1"/>
          </xdr:nvSpPr>
          <xdr:spPr>
            <a:xfrm>
              <a:off x="15540037" y="22864762"/>
              <a:ext cx="65838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2,0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1,0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00" name="CuadroTexto 99">
              <a:extLst>
                <a:ext uri="{FF2B5EF4-FFF2-40B4-BE49-F238E27FC236}">
                  <a16:creationId xmlns:a16="http://schemas.microsoft.com/office/drawing/2014/main" id="{8A5D08AF-3597-4B03-89E3-3FB11D7936FF}"/>
                </a:ext>
              </a:extLst>
            </xdr:cNvPr>
            <xdr:cNvSpPr txBox="1"/>
          </xdr:nvSpPr>
          <xdr:spPr>
            <a:xfrm>
              <a:off x="15540037" y="22864762"/>
              <a:ext cx="65838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𝑋_2,0−𝑋_1,0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28575</xdr:colOff>
      <xdr:row>133</xdr:row>
      <xdr:rowOff>28575</xdr:rowOff>
    </xdr:from>
    <xdr:ext cx="661656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CuadroTexto 100">
              <a:extLst>
                <a:ext uri="{FF2B5EF4-FFF2-40B4-BE49-F238E27FC236}">
                  <a16:creationId xmlns:a16="http://schemas.microsoft.com/office/drawing/2014/main" id="{00000000-0008-0000-0200-000065000000}"/>
                </a:ext>
              </a:extLst>
            </xdr:cNvPr>
            <xdr:cNvSpPr txBox="1"/>
          </xdr:nvSpPr>
          <xdr:spPr>
            <a:xfrm>
              <a:off x="15544800" y="23069550"/>
              <a:ext cx="66165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4,0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3,0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01" name="CuadroTexto 100">
              <a:extLst>
                <a:ext uri="{FF2B5EF4-FFF2-40B4-BE49-F238E27FC236}">
                  <a16:creationId xmlns:a16="http://schemas.microsoft.com/office/drawing/2014/main" id="{B2DB9387-F06C-4A29-A223-7ECF602ED98A}"/>
                </a:ext>
              </a:extLst>
            </xdr:cNvPr>
            <xdr:cNvSpPr txBox="1"/>
          </xdr:nvSpPr>
          <xdr:spPr>
            <a:xfrm>
              <a:off x="15544800" y="23069550"/>
              <a:ext cx="66165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𝑋_4,0−𝑋_3,0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7</xdr:col>
      <xdr:colOff>180975</xdr:colOff>
      <xdr:row>130</xdr:row>
      <xdr:rowOff>190500</xdr:rowOff>
    </xdr:from>
    <xdr:ext cx="1249394" cy="5021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CuadroTexto 101">
              <a:extLst>
                <a:ext uri="{FF2B5EF4-FFF2-40B4-BE49-F238E27FC236}">
                  <a16:creationId xmlns:a16="http://schemas.microsoft.com/office/drawing/2014/main" id="{00000000-0008-0000-0200-000066000000}"/>
                </a:ext>
              </a:extLst>
            </xdr:cNvPr>
            <xdr:cNvSpPr txBox="1"/>
          </xdr:nvSpPr>
          <xdr:spPr>
            <a:xfrm>
              <a:off x="7658100" y="22345650"/>
              <a:ext cx="1249394" cy="502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repetibilidad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sSup>
                    <m:sSupPr>
                      <m:ctrlPr>
                        <a:rPr lang="es-CO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s-CO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𝑏</m:t>
                      </m:r>
                    </m:e>
                    <m:sup>
                      <m:r>
                        <a:rPr lang="es-CO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′</m:t>
                      </m:r>
                    </m:sup>
                  </m:sSup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102" name="CuadroTexto 101">
              <a:extLst>
                <a:ext uri="{FF2B5EF4-FFF2-40B4-BE49-F238E27FC236}">
                  <a16:creationId xmlns:a16="http://schemas.microsoft.com/office/drawing/2014/main" id="{548E1C18-A70F-4DD9-8D76-F2097E28468A}"/>
                </a:ext>
              </a:extLst>
            </xdr:cNvPr>
            <xdr:cNvSpPr txBox="1"/>
          </xdr:nvSpPr>
          <xdr:spPr>
            <a:xfrm>
              <a:off x="7658100" y="22345650"/>
              <a:ext cx="1249394" cy="502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repetibilidad</a:t>
              </a:r>
            </a:p>
            <a:p>
              <a:r>
                <a:rPr lang="es-CO" sz="1000" baseline="0"/>
                <a:t>               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7</xdr:col>
      <xdr:colOff>76200</xdr:colOff>
      <xdr:row>128</xdr:row>
      <xdr:rowOff>9525</xdr:rowOff>
    </xdr:from>
    <xdr:ext cx="1250599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CuadroTexto 102">
              <a:extLst>
                <a:ext uri="{FF2B5EF4-FFF2-40B4-BE49-F238E27FC236}">
                  <a16:creationId xmlns:a16="http://schemas.microsoft.com/office/drawing/2014/main" id="{00000000-0008-0000-0200-000067000000}"/>
                </a:ext>
              </a:extLst>
            </xdr:cNvPr>
            <xdr:cNvSpPr txBox="1"/>
          </xdr:nvSpPr>
          <xdr:spPr>
            <a:xfrm>
              <a:off x="7553325" y="21774150"/>
              <a:ext cx="125059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𝑟𝑒𝑝𝑒𝑡𝑖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p>
                                      <m:sSup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𝑏</m:t>
                                        </m:r>
                                      </m:e>
                                      <m:sup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′</m:t>
                                        </m:r>
                                      </m:sup>
                                    </m:sSup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03" name="CuadroTexto 102">
              <a:extLst>
                <a:ext uri="{FF2B5EF4-FFF2-40B4-BE49-F238E27FC236}">
                  <a16:creationId xmlns:a16="http://schemas.microsoft.com/office/drawing/2014/main" id="{156A791B-9CC3-4291-A5A7-E5CCF8DBD7E7}"/>
                </a:ext>
              </a:extLst>
            </xdr:cNvPr>
            <xdr:cNvSpPr txBox="1"/>
          </xdr:nvSpPr>
          <xdr:spPr>
            <a:xfrm>
              <a:off x="7553325" y="21774150"/>
              <a:ext cx="125059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𝑃_𝑟𝑒𝑝𝑒𝑡𝑖=√(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(𝑏^′/2)〗^2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274606</xdr:colOff>
      <xdr:row>133</xdr:row>
      <xdr:rowOff>184626</xdr:rowOff>
    </xdr:from>
    <xdr:ext cx="15279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CuadroTexto 103">
              <a:extLst>
                <a:ext uri="{FF2B5EF4-FFF2-40B4-BE49-F238E27FC236}">
                  <a16:creationId xmlns:a16="http://schemas.microsoft.com/office/drawing/2014/main" id="{00000000-0008-0000-0200-000068000000}"/>
                </a:ext>
              </a:extLst>
            </xdr:cNvPr>
            <xdr:cNvSpPr txBox="1"/>
          </xdr:nvSpPr>
          <xdr:spPr>
            <a:xfrm>
              <a:off x="15790831" y="23225601"/>
              <a:ext cx="1527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04" name="CuadroTexto 103">
              <a:extLst>
                <a:ext uri="{FF2B5EF4-FFF2-40B4-BE49-F238E27FC236}">
                  <a16:creationId xmlns:a16="http://schemas.microsoft.com/office/drawing/2014/main" id="{4E9B5807-B6B1-430D-BEE1-3FCFF91FFB0F}"/>
                </a:ext>
              </a:extLst>
            </xdr:cNvPr>
            <xdr:cNvSpPr txBox="1"/>
          </xdr:nvSpPr>
          <xdr:spPr>
            <a:xfrm>
              <a:off x="15790831" y="23225601"/>
              <a:ext cx="1527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𝑓_0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404812</xdr:colOff>
      <xdr:row>129</xdr:row>
      <xdr:rowOff>42862</xdr:rowOff>
    </xdr:from>
    <xdr:ext cx="2207336" cy="1910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CuadroTexto 104">
              <a:extLst>
                <a:ext uri="{FF2B5EF4-FFF2-40B4-BE49-F238E27FC236}">
                  <a16:creationId xmlns:a16="http://schemas.microsoft.com/office/drawing/2014/main" id="{00000000-0008-0000-0200-000069000000}"/>
                </a:ext>
              </a:extLst>
            </xdr:cNvPr>
            <xdr:cNvSpPr txBox="1"/>
          </xdr:nvSpPr>
          <xdr:spPr>
            <a:xfrm>
              <a:off x="15159037" y="22007512"/>
              <a:ext cx="2207336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𝑚𝑎𝑥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2,0</m:t>
                                </m:r>
                              </m:sub>
                            </m:s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1,0</m:t>
                                </m:r>
                              </m:sub>
                            </m:sSub>
                          </m:e>
                        </m:d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;</m:t>
                        </m:r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</m:e>
                        </m:d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05" name="CuadroTexto 104">
              <a:extLst>
                <a:ext uri="{FF2B5EF4-FFF2-40B4-BE49-F238E27FC236}">
                  <a16:creationId xmlns:a16="http://schemas.microsoft.com/office/drawing/2014/main" id="{80D38A10-369F-4DB0-98FD-A942460238F4}"/>
                </a:ext>
              </a:extLst>
            </xdr:cNvPr>
            <xdr:cNvSpPr txBox="1"/>
          </xdr:nvSpPr>
          <xdr:spPr>
            <a:xfrm>
              <a:off x="15159037" y="22007512"/>
              <a:ext cx="2207336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𝑓_0=𝑚𝑎𝑥{|𝑋_2,0−𝑋_1,0 |;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|𝑋_4,0−𝑋_3,0 |}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8</xdr:col>
      <xdr:colOff>171450</xdr:colOff>
      <xdr:row>131</xdr:row>
      <xdr:rowOff>9525</xdr:rowOff>
    </xdr:from>
    <xdr:ext cx="1249394" cy="469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CuadroTexto 105">
              <a:extLst>
                <a:ext uri="{FF2B5EF4-FFF2-40B4-BE49-F238E27FC236}">
                  <a16:creationId xmlns:a16="http://schemas.microsoft.com/office/drawing/2014/main" id="{00000000-0008-0000-0200-00006A000000}"/>
                </a:ext>
              </a:extLst>
            </xdr:cNvPr>
            <xdr:cNvSpPr txBox="1"/>
          </xdr:nvSpPr>
          <xdr:spPr>
            <a:xfrm>
              <a:off x="9153525" y="22364700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histeris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r>
                    <a:rPr lang="es-CO" sz="1000" b="0" i="1" baseline="0">
                      <a:latin typeface="Cambria Math" panose="02040503050406030204" pitchFamily="18" charset="0"/>
                    </a:rPr>
                    <m:t>h</m:t>
                  </m:r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106" name="CuadroTexto 105">
              <a:extLst>
                <a:ext uri="{FF2B5EF4-FFF2-40B4-BE49-F238E27FC236}">
                  <a16:creationId xmlns:a16="http://schemas.microsoft.com/office/drawing/2014/main" id="{34B38304-3BAC-4BB5-86D2-205CC59AF002}"/>
                </a:ext>
              </a:extLst>
            </xdr:cNvPr>
            <xdr:cNvSpPr txBox="1"/>
          </xdr:nvSpPr>
          <xdr:spPr>
            <a:xfrm>
              <a:off x="9153525" y="22364700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histeris</a:t>
              </a:r>
            </a:p>
            <a:p>
              <a:r>
                <a:rPr lang="es-CO" sz="1000" baseline="0"/>
                <a:t>                </a:t>
              </a:r>
              <a:r>
                <a:rPr lang="es-CO" sz="1000" b="0" i="0" baseline="0">
                  <a:latin typeface="Cambria Math" panose="02040503050406030204" pitchFamily="18" charset="0"/>
                </a:rPr>
                <a:t>ℎ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8</xdr:col>
      <xdr:colOff>28575</xdr:colOff>
      <xdr:row>128</xdr:row>
      <xdr:rowOff>0</xdr:rowOff>
    </xdr:from>
    <xdr:ext cx="1285929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CuadroTexto 106">
              <a:extLst>
                <a:ext uri="{FF2B5EF4-FFF2-40B4-BE49-F238E27FC236}">
                  <a16:creationId xmlns:a16="http://schemas.microsoft.com/office/drawing/2014/main" id="{00000000-0008-0000-0200-00006B000000}"/>
                </a:ext>
              </a:extLst>
            </xdr:cNvPr>
            <xdr:cNvSpPr txBox="1"/>
          </xdr:nvSpPr>
          <xdr:spPr>
            <a:xfrm>
              <a:off x="9010650" y="21764625"/>
              <a:ext cx="128592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h𝑖𝑠𝑡𝑒𝑟𝑖𝑠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h</m:t>
                                    </m:r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07" name="CuadroTexto 106">
              <a:extLst>
                <a:ext uri="{FF2B5EF4-FFF2-40B4-BE49-F238E27FC236}">
                  <a16:creationId xmlns:a16="http://schemas.microsoft.com/office/drawing/2014/main" id="{64370C8D-22FE-46C3-B01E-C5A9F19351CC}"/>
                </a:ext>
              </a:extLst>
            </xdr:cNvPr>
            <xdr:cNvSpPr txBox="1"/>
          </xdr:nvSpPr>
          <xdr:spPr>
            <a:xfrm>
              <a:off x="9010650" y="21764625"/>
              <a:ext cx="128592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𝑃_ℎ𝑖𝑠𝑡𝑒𝑟𝑖𝑠=√(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(ℎ/2)〗^2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5</xdr:col>
      <xdr:colOff>398431</xdr:colOff>
      <xdr:row>136</xdr:row>
      <xdr:rowOff>89376</xdr:rowOff>
    </xdr:from>
    <xdr:ext cx="65" cy="172227"/>
    <xdr:sp macro="" textlink="">
      <xdr:nvSpPr>
        <xdr:cNvPr id="108" name="CuadroTexto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 txBox="1"/>
      </xdr:nvSpPr>
      <xdr:spPr>
        <a:xfrm>
          <a:off x="5008531" y="23711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</xdr:col>
      <xdr:colOff>100012</xdr:colOff>
      <xdr:row>141</xdr:row>
      <xdr:rowOff>52387</xdr:rowOff>
    </xdr:from>
    <xdr:ext cx="1386983" cy="6585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CuadroTexto 108">
              <a:extLst>
                <a:ext uri="{FF2B5EF4-FFF2-40B4-BE49-F238E27FC236}">
                  <a16:creationId xmlns:a16="http://schemas.microsoft.com/office/drawing/2014/main" id="{00000000-0008-0000-0200-00006D000000}"/>
                </a:ext>
              </a:extLst>
            </xdr:cNvPr>
            <xdr:cNvSpPr txBox="1"/>
          </xdr:nvSpPr>
          <xdr:spPr>
            <a:xfrm>
              <a:off x="1966912" y="25388887"/>
              <a:ext cx="138698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nary>
                          <m:naryPr>
                            <m:chr m:val="∑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sup>
                          <m:e>
                            <m:sSup>
                              <m:sSup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𝑐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∗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𝜇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(</m:t>
                                    </m:r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09" name="CuadroTexto 108">
              <a:extLst>
                <a:ext uri="{FF2B5EF4-FFF2-40B4-BE49-F238E27FC236}">
                  <a16:creationId xmlns:a16="http://schemas.microsoft.com/office/drawing/2014/main" id="{B384FD8D-BEFA-4923-98AA-1F69332BDC8C}"/>
                </a:ext>
              </a:extLst>
            </xdr:cNvPr>
            <xdr:cNvSpPr txBox="1"/>
          </xdr:nvSpPr>
          <xdr:spPr>
            <a:xfrm>
              <a:off x="1966912" y="25388887"/>
              <a:ext cx="138698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𝑐=√(∑_(𝑖=1)^𝑁▒〖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(𝑐_𝑖∗𝜇(𝑥_𝑖 ))〗^</a:t>
              </a:r>
              <a:r>
                <a:rPr lang="es-CO" sz="1100" b="0" i="0">
                  <a:latin typeface="Cambria Math" panose="02040503050406030204" pitchFamily="18" charset="0"/>
                </a:rPr>
                <a:t>2 )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214312</xdr:colOff>
      <xdr:row>128</xdr:row>
      <xdr:rowOff>166687</xdr:rowOff>
    </xdr:from>
    <xdr:ext cx="90601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CuadroTexto 109">
              <a:extLst>
                <a:ext uri="{FF2B5EF4-FFF2-40B4-BE49-F238E27FC236}">
                  <a16:creationId xmlns:a16="http://schemas.microsoft.com/office/drawing/2014/main" id="{00000000-0008-0000-0200-00006E000000}"/>
                </a:ext>
              </a:extLst>
            </xdr:cNvPr>
            <xdr:cNvSpPr txBox="1"/>
          </xdr:nvSpPr>
          <xdr:spPr>
            <a:xfrm>
              <a:off x="3605212" y="21931312"/>
              <a:ext cx="9060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𝑃𝑎𝑡𝑟𝑜𝑛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/2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10" name="CuadroTexto 109">
              <a:extLst>
                <a:ext uri="{FF2B5EF4-FFF2-40B4-BE49-F238E27FC236}">
                  <a16:creationId xmlns:a16="http://schemas.microsoft.com/office/drawing/2014/main" id="{4978572C-D65A-4B40-AD6C-BA6412CFFBF6}"/>
                </a:ext>
              </a:extLst>
            </xdr:cNvPr>
            <xdr:cNvSpPr txBox="1"/>
          </xdr:nvSpPr>
          <xdr:spPr>
            <a:xfrm>
              <a:off x="3605212" y="21931312"/>
              <a:ext cx="9060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𝑃𝑎𝑡𝑟𝑜𝑛=𝑈/2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71436</xdr:colOff>
      <xdr:row>145</xdr:row>
      <xdr:rowOff>157162</xdr:rowOff>
    </xdr:from>
    <xdr:ext cx="1395413" cy="51834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CuadroTexto 110">
              <a:extLst>
                <a:ext uri="{FF2B5EF4-FFF2-40B4-BE49-F238E27FC236}">
                  <a16:creationId xmlns:a16="http://schemas.microsoft.com/office/drawing/2014/main" id="{00000000-0008-0000-0200-00006F000000}"/>
                </a:ext>
              </a:extLst>
            </xdr:cNvPr>
            <xdr:cNvSpPr txBox="1"/>
          </xdr:nvSpPr>
          <xdr:spPr>
            <a:xfrm>
              <a:off x="1938336" y="26255662"/>
              <a:ext cx="1395413" cy="518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𝑒𝑓𝑓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e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num>
                      <m:den>
                        <m:nary>
                          <m:naryPr>
                            <m:chr m:val="∑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f>
                              <m:f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es-CO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𝜇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4</m:t>
                                    </m:r>
                                  </m:sup>
                                </m:sSup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𝑣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den>
                            </m:f>
                          </m:e>
                        </m:nary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11" name="CuadroTexto 110">
              <a:extLst>
                <a:ext uri="{FF2B5EF4-FFF2-40B4-BE49-F238E27FC236}">
                  <a16:creationId xmlns:a16="http://schemas.microsoft.com/office/drawing/2014/main" id="{170F8272-BA08-4FBC-A45D-5869CD725910}"/>
                </a:ext>
              </a:extLst>
            </xdr:cNvPr>
            <xdr:cNvSpPr txBox="1"/>
          </xdr:nvSpPr>
          <xdr:spPr>
            <a:xfrm>
              <a:off x="1938336" y="26255662"/>
              <a:ext cx="1395413" cy="518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𝑣_𝑒𝑓𝑓=〖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𝑐〗^4/(∑_(𝑖=1)^𝑛▒(〖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𝑖〗^4 (𝑥_𝑖))/𝑣_𝑖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690562</xdr:colOff>
      <xdr:row>138</xdr:row>
      <xdr:rowOff>80962</xdr:rowOff>
    </xdr:from>
    <xdr:ext cx="1527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CuadroTexto 111">
              <a:extLst>
                <a:ext uri="{FF2B5EF4-FFF2-40B4-BE49-F238E27FC236}">
                  <a16:creationId xmlns:a16="http://schemas.microsoft.com/office/drawing/2014/main" id="{00000000-0008-0000-0200-000070000000}"/>
                </a:ext>
              </a:extLst>
            </xdr:cNvPr>
            <xdr:cNvSpPr txBox="1"/>
          </xdr:nvSpPr>
          <xdr:spPr>
            <a:xfrm>
              <a:off x="2557462" y="24083962"/>
              <a:ext cx="152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12" name="CuadroTexto 111">
              <a:extLst>
                <a:ext uri="{FF2B5EF4-FFF2-40B4-BE49-F238E27FC236}">
                  <a16:creationId xmlns:a16="http://schemas.microsoft.com/office/drawing/2014/main" id="{65AED7A2-EA76-4B45-A138-8ED06FE24BBD}"/>
                </a:ext>
              </a:extLst>
            </xdr:cNvPr>
            <xdr:cNvSpPr txBox="1"/>
          </xdr:nvSpPr>
          <xdr:spPr>
            <a:xfrm>
              <a:off x="2557462" y="24083962"/>
              <a:ext cx="152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𝑣_𝑖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338137</xdr:colOff>
      <xdr:row>140</xdr:row>
      <xdr:rowOff>519112</xdr:rowOff>
    </xdr:from>
    <xdr:ext cx="2236831" cy="2027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CuadroTexto 112">
              <a:extLst>
                <a:ext uri="{FF2B5EF4-FFF2-40B4-BE49-F238E27FC236}">
                  <a16:creationId xmlns:a16="http://schemas.microsoft.com/office/drawing/2014/main" id="{00000000-0008-0000-0200-000071000000}"/>
                </a:ext>
              </a:extLst>
            </xdr:cNvPr>
            <xdr:cNvSpPr txBox="1"/>
          </xdr:nvSpPr>
          <xdr:spPr>
            <a:xfrm>
              <a:off x="15092362" y="25284112"/>
              <a:ext cx="2236831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𝑎𝑠𝑐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3,0)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1,0)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13" name="CuadroTexto 112">
              <a:extLst>
                <a:ext uri="{FF2B5EF4-FFF2-40B4-BE49-F238E27FC236}">
                  <a16:creationId xmlns:a16="http://schemas.microsoft.com/office/drawing/2014/main" id="{F4984EC8-C672-429B-9886-2B3D8FE07795}"/>
                </a:ext>
              </a:extLst>
            </xdr:cNvPr>
            <xdr:cNvSpPr txBox="1"/>
          </xdr:nvSpPr>
          <xdr:spPr>
            <a:xfrm>
              <a:off x="15092362" y="25284112"/>
              <a:ext cx="2236831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𝑏^′〗_(</a:t>
              </a:r>
              <a:r>
                <a:rPr lang="es-CO" sz="1100" b="0" i="0">
                  <a:latin typeface="Cambria Math" panose="02040503050406030204" pitchFamily="18" charset="0"/>
                </a:rPr>
                <a:t>𝑎𝑠𝑐,𝑗)=|(𝑥_(3,𝑗)−𝑥_(3,0))−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(𝑥_(1,𝑗)−𝑥_(1,0)) |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342900</xdr:colOff>
      <xdr:row>142</xdr:row>
      <xdr:rowOff>66675</xdr:rowOff>
    </xdr:from>
    <xdr:ext cx="2218749" cy="2027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CuadroTexto 113">
              <a:extLst>
                <a:ext uri="{FF2B5EF4-FFF2-40B4-BE49-F238E27FC236}">
                  <a16:creationId xmlns:a16="http://schemas.microsoft.com/office/drawing/2014/main" id="{00000000-0008-0000-0200-000072000000}"/>
                </a:ext>
              </a:extLst>
            </xdr:cNvPr>
            <xdr:cNvSpPr txBox="1"/>
          </xdr:nvSpPr>
          <xdr:spPr>
            <a:xfrm>
              <a:off x="15097125" y="25593675"/>
              <a:ext cx="2218749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𝑑𝑒𝑠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4,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3,0)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1,0)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14" name="CuadroTexto 113">
              <a:extLst>
                <a:ext uri="{FF2B5EF4-FFF2-40B4-BE49-F238E27FC236}">
                  <a16:creationId xmlns:a16="http://schemas.microsoft.com/office/drawing/2014/main" id="{4758B294-FFD2-4088-B7DB-ECD2E776D1E2}"/>
                </a:ext>
              </a:extLst>
            </xdr:cNvPr>
            <xdr:cNvSpPr txBox="1"/>
          </xdr:nvSpPr>
          <xdr:spPr>
            <a:xfrm>
              <a:off x="15097125" y="25593675"/>
              <a:ext cx="2218749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𝑏^′〗_(</a:t>
              </a:r>
              <a:r>
                <a:rPr lang="es-CO" sz="1100" b="0" i="0">
                  <a:latin typeface="Cambria Math" panose="02040503050406030204" pitchFamily="18" charset="0"/>
                </a:rPr>
                <a:t>𝑑𝑒𝑠,𝑗)=|(𝑥_(4,𝑗)−𝑥_(3,0))−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(𝑥_(2,𝑗)−𝑥_(1,0)) |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314325</xdr:colOff>
      <xdr:row>143</xdr:row>
      <xdr:rowOff>180975</xdr:rowOff>
    </xdr:from>
    <xdr:ext cx="1793055" cy="2024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CuadroTexto 114">
              <a:extLst>
                <a:ext uri="{FF2B5EF4-FFF2-40B4-BE49-F238E27FC236}">
                  <a16:creationId xmlns:a16="http://schemas.microsoft.com/office/drawing/2014/main" id="{00000000-0008-0000-0200-000073000000}"/>
                </a:ext>
              </a:extLst>
            </xdr:cNvPr>
            <xdr:cNvSpPr txBox="1"/>
          </xdr:nvSpPr>
          <xdr:spPr>
            <a:xfrm>
              <a:off x="15068550" y="25898475"/>
              <a:ext cx="1793055" cy="2024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𝑚𝑒𝑑𝑖𝑜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CO" sz="1100" b="0" i="0">
                        <a:latin typeface="Cambria Math" panose="02040503050406030204" pitchFamily="18" charset="0"/>
                      </a:rPr>
                      <m:t>max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𝑎𝑠𝑐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; </m:t>
                        </m:r>
                        <m:sSub>
                          <m:sSub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𝑑𝑒𝑠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15" name="CuadroTexto 114">
              <a:extLst>
                <a:ext uri="{FF2B5EF4-FFF2-40B4-BE49-F238E27FC236}">
                  <a16:creationId xmlns:a16="http://schemas.microsoft.com/office/drawing/2014/main" id="{17FD2A56-86BB-4C2A-BB22-AF1E54699A77}"/>
                </a:ext>
              </a:extLst>
            </xdr:cNvPr>
            <xdr:cNvSpPr txBox="1"/>
          </xdr:nvSpPr>
          <xdr:spPr>
            <a:xfrm>
              <a:off x="15068550" y="25898475"/>
              <a:ext cx="1793055" cy="2024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</a:t>
              </a:r>
              <a:r>
                <a:rPr lang="es-CO" sz="1100" b="0" i="0">
                  <a:latin typeface="Cambria Math" panose="02040503050406030204" pitchFamily="18" charset="0"/>
                </a:rPr>
                <a:t>𝑚𝑒𝑑𝑖𝑜=max{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〖𝑏^′〗_(𝑎𝑠𝑐,𝑗); 〖𝑏^′〗_(𝑑𝑒𝑠,𝑗) 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57150</xdr:colOff>
      <xdr:row>148</xdr:row>
      <xdr:rowOff>19050</xdr:rowOff>
    </xdr:from>
    <xdr:ext cx="4006546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CuadroTexto 115">
              <a:extLst>
                <a:ext uri="{FF2B5EF4-FFF2-40B4-BE49-F238E27FC236}">
                  <a16:creationId xmlns:a16="http://schemas.microsoft.com/office/drawing/2014/main" id="{00000000-0008-0000-0200-000074000000}"/>
                </a:ext>
              </a:extLst>
            </xdr:cNvPr>
            <xdr:cNvSpPr txBox="1"/>
          </xdr:nvSpPr>
          <xdr:spPr>
            <a:xfrm>
              <a:off x="14811375" y="26689050"/>
              <a:ext cx="400654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2,</m:t>
                                </m:r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d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d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16" name="CuadroTexto 115">
              <a:extLst>
                <a:ext uri="{FF2B5EF4-FFF2-40B4-BE49-F238E27FC236}">
                  <a16:creationId xmlns:a16="http://schemas.microsoft.com/office/drawing/2014/main" id="{670A0C0C-B312-4ACC-8D07-6179AEC930B7}"/>
                </a:ext>
              </a:extLst>
            </xdr:cNvPr>
            <xdr:cNvSpPr txBox="1"/>
          </xdr:nvSpPr>
          <xdr:spPr>
            <a:xfrm>
              <a:off x="14811375" y="26689050"/>
              <a:ext cx="400654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ℎ=1/𝑛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×{|〖(𝑋〗_(2,𝑗)−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𝑋_1,0)−〖(𝑋〗_(1,𝑗)−𝑋_1,0)|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|〖(𝑋〗_(4,𝑗)−𝑋_3,0)−〖(𝑋〗_(3,𝑗)−𝑋_3,0)|}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452437</xdr:colOff>
      <xdr:row>150</xdr:row>
      <xdr:rowOff>166687</xdr:rowOff>
    </xdr:from>
    <xdr:ext cx="66678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CuadroTexto 116">
              <a:extLst>
                <a:ext uri="{FF2B5EF4-FFF2-40B4-BE49-F238E27FC236}">
                  <a16:creationId xmlns:a16="http://schemas.microsoft.com/office/drawing/2014/main" id="{00000000-0008-0000-0200-000075000000}"/>
                </a:ext>
              </a:extLst>
            </xdr:cNvPr>
            <xdr:cNvSpPr txBox="1"/>
          </xdr:nvSpPr>
          <xdr:spPr>
            <a:xfrm>
              <a:off x="2319337" y="27217687"/>
              <a:ext cx="6667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𝑘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17" name="CuadroTexto 116">
              <a:extLst>
                <a:ext uri="{FF2B5EF4-FFF2-40B4-BE49-F238E27FC236}">
                  <a16:creationId xmlns:a16="http://schemas.microsoft.com/office/drawing/2014/main" id="{86E7598C-6E81-46D3-A2C9-F0422B539C8D}"/>
                </a:ext>
              </a:extLst>
            </xdr:cNvPr>
            <xdr:cNvSpPr txBox="1"/>
          </xdr:nvSpPr>
          <xdr:spPr>
            <a:xfrm>
              <a:off x="2319337" y="27217687"/>
              <a:ext cx="6667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𝑈=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𝑐∗𝑘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728662</xdr:colOff>
      <xdr:row>149</xdr:row>
      <xdr:rowOff>23812</xdr:rowOff>
    </xdr:from>
    <xdr:ext cx="11381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CuadroTexto 117">
              <a:extLst>
                <a:ext uri="{FF2B5EF4-FFF2-40B4-BE49-F238E27FC236}">
                  <a16:creationId xmlns:a16="http://schemas.microsoft.com/office/drawing/2014/main" id="{00000000-0008-0000-0200-000076000000}"/>
                </a:ext>
              </a:extLst>
            </xdr:cNvPr>
            <xdr:cNvSpPr txBox="1"/>
          </xdr:nvSpPr>
          <xdr:spPr>
            <a:xfrm>
              <a:off x="2595562" y="26884312"/>
              <a:ext cx="1138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𝑘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18" name="CuadroTexto 117">
              <a:extLst>
                <a:ext uri="{FF2B5EF4-FFF2-40B4-BE49-F238E27FC236}">
                  <a16:creationId xmlns:a16="http://schemas.microsoft.com/office/drawing/2014/main" id="{EDBBB78C-352B-4768-ABC0-C6FE647AF27E}"/>
                </a:ext>
              </a:extLst>
            </xdr:cNvPr>
            <xdr:cNvSpPr txBox="1"/>
          </xdr:nvSpPr>
          <xdr:spPr>
            <a:xfrm>
              <a:off x="2595562" y="26884312"/>
              <a:ext cx="1138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𝑘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6</xdr:col>
      <xdr:colOff>131732</xdr:colOff>
      <xdr:row>162</xdr:row>
      <xdr:rowOff>3651</xdr:rowOff>
    </xdr:from>
    <xdr:ext cx="1249394" cy="469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CuadroTexto 118">
              <a:extLst>
                <a:ext uri="{FF2B5EF4-FFF2-40B4-BE49-F238E27FC236}">
                  <a16:creationId xmlns:a16="http://schemas.microsoft.com/office/drawing/2014/main" id="{00000000-0008-0000-0200-000077000000}"/>
                </a:ext>
              </a:extLst>
            </xdr:cNvPr>
            <xdr:cNvSpPr txBox="1"/>
          </xdr:nvSpPr>
          <xdr:spPr>
            <a:xfrm>
              <a:off x="6180107" y="29359701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porDesviacion</a:t>
              </a:r>
              <a:r>
                <a:rPr lang="es-CO" sz="1000" baseline="0"/>
                <a:t> del cero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100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CO" sz="1000" b="0" i="1" baseline="0"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s-CO" sz="10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119" name="CuadroTexto 118">
              <a:extLst>
                <a:ext uri="{FF2B5EF4-FFF2-40B4-BE49-F238E27FC236}">
                  <a16:creationId xmlns:a16="http://schemas.microsoft.com/office/drawing/2014/main" id="{6C6B2AD6-64AD-411C-A522-3CFE8328655A}"/>
                </a:ext>
              </a:extLst>
            </xdr:cNvPr>
            <xdr:cNvSpPr txBox="1"/>
          </xdr:nvSpPr>
          <xdr:spPr>
            <a:xfrm>
              <a:off x="6180107" y="29359701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porDesviacion</a:t>
              </a:r>
              <a:r>
                <a:rPr lang="es-CO" sz="1000" baseline="0"/>
                <a:t> del cero</a:t>
              </a:r>
            </a:p>
            <a:p>
              <a:r>
                <a:rPr lang="es-CO" sz="1000" baseline="0"/>
                <a:t>                </a:t>
              </a:r>
              <a:r>
                <a:rPr lang="es-CO" sz="1000" b="0" i="0" baseline="0">
                  <a:latin typeface="Cambria Math" panose="02040503050406030204" pitchFamily="18" charset="0"/>
                </a:rPr>
                <a:t>𝑓_0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5</xdr:col>
      <xdr:colOff>42862</xdr:colOff>
      <xdr:row>159</xdr:row>
      <xdr:rowOff>42862</xdr:rowOff>
    </xdr:from>
    <xdr:ext cx="12474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CuadroTexto 119">
              <a:extLst>
                <a:ext uri="{FF2B5EF4-FFF2-40B4-BE49-F238E27FC236}">
                  <a16:creationId xmlns:a16="http://schemas.microsoft.com/office/drawing/2014/main" id="{00000000-0008-0000-0200-000078000000}"/>
                </a:ext>
              </a:extLst>
            </xdr:cNvPr>
            <xdr:cNvSpPr txBox="1"/>
          </xdr:nvSpPr>
          <xdr:spPr>
            <a:xfrm>
              <a:off x="4710112" y="28808362"/>
              <a:ext cx="12474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𝑖𝑛𝑑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𝑟</m:t>
                                    </m:r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20" name="CuadroTexto 119">
              <a:extLst>
                <a:ext uri="{FF2B5EF4-FFF2-40B4-BE49-F238E27FC236}">
                  <a16:creationId xmlns:a16="http://schemas.microsoft.com/office/drawing/2014/main" id="{60F0FF38-7EB8-4993-9B47-072BB2B3F1E8}"/>
                </a:ext>
              </a:extLst>
            </xdr:cNvPr>
            <xdr:cNvSpPr txBox="1"/>
          </xdr:nvSpPr>
          <xdr:spPr>
            <a:xfrm>
              <a:off x="4710112" y="28808362"/>
              <a:ext cx="12474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𝑃_(𝑖𝑛𝑑 𝑟)=√(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(2𝑟/2)〗^2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159</xdr:row>
      <xdr:rowOff>0</xdr:rowOff>
    </xdr:from>
    <xdr:ext cx="1412823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CuadroTexto 120">
              <a:extLst>
                <a:ext uri="{FF2B5EF4-FFF2-40B4-BE49-F238E27FC236}">
                  <a16:creationId xmlns:a16="http://schemas.microsoft.com/office/drawing/2014/main" id="{00000000-0008-0000-0200-000079000000}"/>
                </a:ext>
              </a:extLst>
            </xdr:cNvPr>
            <xdr:cNvSpPr txBox="1"/>
          </xdr:nvSpPr>
          <xdr:spPr>
            <a:xfrm>
              <a:off x="6048375" y="28765500"/>
              <a:ext cx="141282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𝑑𝑒𝑠𝑣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𝑐𝑒𝑟𝑜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𝑓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0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21" name="CuadroTexto 120">
              <a:extLst>
                <a:ext uri="{FF2B5EF4-FFF2-40B4-BE49-F238E27FC236}">
                  <a16:creationId xmlns:a16="http://schemas.microsoft.com/office/drawing/2014/main" id="{4F5678B3-7357-4179-ACB2-D15DD7F9C2E6}"/>
                </a:ext>
              </a:extLst>
            </xdr:cNvPr>
            <xdr:cNvSpPr txBox="1"/>
          </xdr:nvSpPr>
          <xdr:spPr>
            <a:xfrm>
              <a:off x="6048375" y="28765500"/>
              <a:ext cx="141282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𝑃_(𝑑𝑒𝑠𝑣 𝑐𝑒𝑟𝑜)=√(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(𝑓_0/2)〗^2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152400</xdr:colOff>
      <xdr:row>162</xdr:row>
      <xdr:rowOff>9525</xdr:rowOff>
    </xdr:from>
    <xdr:ext cx="1110240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CuadroTexto 121">
              <a:extLst>
                <a:ext uri="{FF2B5EF4-FFF2-40B4-BE49-F238E27FC236}">
                  <a16:creationId xmlns:a16="http://schemas.microsoft.com/office/drawing/2014/main" id="{00000000-0008-0000-0200-00007A000000}"/>
                </a:ext>
              </a:extLst>
            </xdr:cNvPr>
            <xdr:cNvSpPr txBox="1"/>
          </xdr:nvSpPr>
          <xdr:spPr>
            <a:xfrm>
              <a:off x="15725775" y="29365575"/>
              <a:ext cx="111024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/>
                <a:t>Desviacion</a:t>
              </a:r>
              <a:r>
                <a:rPr lang="es-CO" sz="1100" baseline="0"/>
                <a:t> del cero</a:t>
              </a:r>
            </a:p>
            <a:p>
              <a:r>
                <a:rPr lang="es-CO" sz="1100" baseline="0"/>
                <a:t>               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110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CO" sz="1100" b="0" i="1" baseline="0"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s-CO" sz="11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endParaRPr lang="es-CO" sz="1100"/>
            </a:p>
          </xdr:txBody>
        </xdr:sp>
      </mc:Choice>
      <mc:Fallback xmlns="">
        <xdr:sp macro="" textlink="">
          <xdr:nvSpPr>
            <xdr:cNvPr id="122" name="CuadroTexto 121">
              <a:extLst>
                <a:ext uri="{FF2B5EF4-FFF2-40B4-BE49-F238E27FC236}">
                  <a16:creationId xmlns:a16="http://schemas.microsoft.com/office/drawing/2014/main" id="{CB7E3A3E-D64C-4A52-8388-75BF62A8B2CF}"/>
                </a:ext>
              </a:extLst>
            </xdr:cNvPr>
            <xdr:cNvSpPr txBox="1"/>
          </xdr:nvSpPr>
          <xdr:spPr>
            <a:xfrm>
              <a:off x="15725775" y="29365575"/>
              <a:ext cx="111024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/>
                <a:t>Desviacion</a:t>
              </a:r>
              <a:r>
                <a:rPr lang="es-CO" sz="1100" baseline="0"/>
                <a:t> del cero</a:t>
              </a:r>
            </a:p>
            <a:p>
              <a:r>
                <a:rPr lang="es-CO" sz="1100" baseline="0"/>
                <a:t>                </a:t>
              </a:r>
              <a:r>
                <a:rPr lang="es-CO" sz="1100" b="0" i="0" baseline="0">
                  <a:latin typeface="Cambria Math" panose="02040503050406030204" pitchFamily="18" charset="0"/>
                </a:rPr>
                <a:t>𝑓_0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23812</xdr:colOff>
      <xdr:row>163</xdr:row>
      <xdr:rowOff>14287</xdr:rowOff>
    </xdr:from>
    <xdr:ext cx="658385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CuadroTexto 122">
              <a:extLst>
                <a:ext uri="{FF2B5EF4-FFF2-40B4-BE49-F238E27FC236}">
                  <a16:creationId xmlns:a16="http://schemas.microsoft.com/office/drawing/2014/main" id="{00000000-0008-0000-0200-00007B000000}"/>
                </a:ext>
              </a:extLst>
            </xdr:cNvPr>
            <xdr:cNvSpPr txBox="1"/>
          </xdr:nvSpPr>
          <xdr:spPr>
            <a:xfrm>
              <a:off x="15597187" y="29865637"/>
              <a:ext cx="65838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2,0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1,0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23" name="CuadroTexto 122">
              <a:extLst>
                <a:ext uri="{FF2B5EF4-FFF2-40B4-BE49-F238E27FC236}">
                  <a16:creationId xmlns:a16="http://schemas.microsoft.com/office/drawing/2014/main" id="{3EC33E9B-9D8F-4E80-B579-656DDC962AB8}"/>
                </a:ext>
              </a:extLst>
            </xdr:cNvPr>
            <xdr:cNvSpPr txBox="1"/>
          </xdr:nvSpPr>
          <xdr:spPr>
            <a:xfrm>
              <a:off x="15597187" y="29865637"/>
              <a:ext cx="65838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𝑋_2,0−𝑋_1,0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28575</xdr:colOff>
      <xdr:row>164</xdr:row>
      <xdr:rowOff>28575</xdr:rowOff>
    </xdr:from>
    <xdr:ext cx="661656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CuadroTexto 123">
              <a:extLst>
                <a:ext uri="{FF2B5EF4-FFF2-40B4-BE49-F238E27FC236}">
                  <a16:creationId xmlns:a16="http://schemas.microsoft.com/office/drawing/2014/main" id="{00000000-0008-0000-0200-00007C000000}"/>
                </a:ext>
              </a:extLst>
            </xdr:cNvPr>
            <xdr:cNvSpPr txBox="1"/>
          </xdr:nvSpPr>
          <xdr:spPr>
            <a:xfrm>
              <a:off x="15601950" y="30070425"/>
              <a:ext cx="66165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4,0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3,0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24" name="CuadroTexto 123">
              <a:extLst>
                <a:ext uri="{FF2B5EF4-FFF2-40B4-BE49-F238E27FC236}">
                  <a16:creationId xmlns:a16="http://schemas.microsoft.com/office/drawing/2014/main" id="{9DF5AA50-6E65-466E-92F8-F41C6DB67627}"/>
                </a:ext>
              </a:extLst>
            </xdr:cNvPr>
            <xdr:cNvSpPr txBox="1"/>
          </xdr:nvSpPr>
          <xdr:spPr>
            <a:xfrm>
              <a:off x="15601950" y="30070425"/>
              <a:ext cx="66165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𝑋_4,0−𝑋_3,0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7</xdr:col>
      <xdr:colOff>180975</xdr:colOff>
      <xdr:row>161</xdr:row>
      <xdr:rowOff>190500</xdr:rowOff>
    </xdr:from>
    <xdr:ext cx="1249394" cy="5021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CuadroTexto 124">
              <a:extLst>
                <a:ext uri="{FF2B5EF4-FFF2-40B4-BE49-F238E27FC236}">
                  <a16:creationId xmlns:a16="http://schemas.microsoft.com/office/drawing/2014/main" id="{00000000-0008-0000-0200-00007D000000}"/>
                </a:ext>
              </a:extLst>
            </xdr:cNvPr>
            <xdr:cNvSpPr txBox="1"/>
          </xdr:nvSpPr>
          <xdr:spPr>
            <a:xfrm>
              <a:off x="7715250" y="29346525"/>
              <a:ext cx="1249394" cy="502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repetibilidad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sSup>
                    <m:sSupPr>
                      <m:ctrlPr>
                        <a:rPr lang="es-CO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s-CO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𝑏</m:t>
                      </m:r>
                    </m:e>
                    <m:sup>
                      <m:r>
                        <a:rPr lang="es-CO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′</m:t>
                      </m:r>
                    </m:sup>
                  </m:sSup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125" name="CuadroTexto 124">
              <a:extLst>
                <a:ext uri="{FF2B5EF4-FFF2-40B4-BE49-F238E27FC236}">
                  <a16:creationId xmlns:a16="http://schemas.microsoft.com/office/drawing/2014/main" id="{566526B9-FAF3-44DB-810B-E155F7C9820F}"/>
                </a:ext>
              </a:extLst>
            </xdr:cNvPr>
            <xdr:cNvSpPr txBox="1"/>
          </xdr:nvSpPr>
          <xdr:spPr>
            <a:xfrm>
              <a:off x="7715250" y="29346525"/>
              <a:ext cx="1249394" cy="502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repetibilidad</a:t>
              </a:r>
            </a:p>
            <a:p>
              <a:r>
                <a:rPr lang="es-CO" sz="1000" baseline="0"/>
                <a:t>               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7</xdr:col>
      <xdr:colOff>76200</xdr:colOff>
      <xdr:row>159</xdr:row>
      <xdr:rowOff>9525</xdr:rowOff>
    </xdr:from>
    <xdr:ext cx="1250599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CuadroTexto 125">
              <a:extLst>
                <a:ext uri="{FF2B5EF4-FFF2-40B4-BE49-F238E27FC236}">
                  <a16:creationId xmlns:a16="http://schemas.microsoft.com/office/drawing/2014/main" id="{00000000-0008-0000-0200-00007E000000}"/>
                </a:ext>
              </a:extLst>
            </xdr:cNvPr>
            <xdr:cNvSpPr txBox="1"/>
          </xdr:nvSpPr>
          <xdr:spPr>
            <a:xfrm>
              <a:off x="7610475" y="28775025"/>
              <a:ext cx="125059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𝑟𝑒𝑝𝑒𝑡𝑖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p>
                                      <m:sSup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𝑏</m:t>
                                        </m:r>
                                      </m:e>
                                      <m:sup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′</m:t>
                                        </m:r>
                                      </m:sup>
                                    </m:sSup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26" name="CuadroTexto 125">
              <a:extLst>
                <a:ext uri="{FF2B5EF4-FFF2-40B4-BE49-F238E27FC236}">
                  <a16:creationId xmlns:a16="http://schemas.microsoft.com/office/drawing/2014/main" id="{06DA7844-33E8-45C5-B6C6-D88BB55729DB}"/>
                </a:ext>
              </a:extLst>
            </xdr:cNvPr>
            <xdr:cNvSpPr txBox="1"/>
          </xdr:nvSpPr>
          <xdr:spPr>
            <a:xfrm>
              <a:off x="7610475" y="28775025"/>
              <a:ext cx="125059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𝑃_𝑟𝑒𝑝𝑒𝑡𝑖=√(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(𝑏^′/2)〗^2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274606</xdr:colOff>
      <xdr:row>164</xdr:row>
      <xdr:rowOff>184626</xdr:rowOff>
    </xdr:from>
    <xdr:ext cx="15279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CuadroTexto 126">
              <a:extLst>
                <a:ext uri="{FF2B5EF4-FFF2-40B4-BE49-F238E27FC236}">
                  <a16:creationId xmlns:a16="http://schemas.microsoft.com/office/drawing/2014/main" id="{00000000-0008-0000-0200-00007F000000}"/>
                </a:ext>
              </a:extLst>
            </xdr:cNvPr>
            <xdr:cNvSpPr txBox="1"/>
          </xdr:nvSpPr>
          <xdr:spPr>
            <a:xfrm>
              <a:off x="15847981" y="30226476"/>
              <a:ext cx="1527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27" name="CuadroTexto 126">
              <a:extLst>
                <a:ext uri="{FF2B5EF4-FFF2-40B4-BE49-F238E27FC236}">
                  <a16:creationId xmlns:a16="http://schemas.microsoft.com/office/drawing/2014/main" id="{47099E06-59A9-45DF-9FB5-711CC6D33F56}"/>
                </a:ext>
              </a:extLst>
            </xdr:cNvPr>
            <xdr:cNvSpPr txBox="1"/>
          </xdr:nvSpPr>
          <xdr:spPr>
            <a:xfrm>
              <a:off x="15847981" y="30226476"/>
              <a:ext cx="1527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𝑓_0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404812</xdr:colOff>
      <xdr:row>160</xdr:row>
      <xdr:rowOff>42862</xdr:rowOff>
    </xdr:from>
    <xdr:ext cx="2207336" cy="1910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CuadroTexto 127">
              <a:extLst>
                <a:ext uri="{FF2B5EF4-FFF2-40B4-BE49-F238E27FC236}">
                  <a16:creationId xmlns:a16="http://schemas.microsoft.com/office/drawing/2014/main" id="{00000000-0008-0000-0200-000080000000}"/>
                </a:ext>
              </a:extLst>
            </xdr:cNvPr>
            <xdr:cNvSpPr txBox="1"/>
          </xdr:nvSpPr>
          <xdr:spPr>
            <a:xfrm>
              <a:off x="15216187" y="29008387"/>
              <a:ext cx="2207336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𝑚𝑎𝑥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2,0</m:t>
                                </m:r>
                              </m:sub>
                            </m:s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1,0</m:t>
                                </m:r>
                              </m:sub>
                            </m:sSub>
                          </m:e>
                        </m:d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;</m:t>
                        </m:r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</m:e>
                        </m:d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28" name="CuadroTexto 127">
              <a:extLst>
                <a:ext uri="{FF2B5EF4-FFF2-40B4-BE49-F238E27FC236}">
                  <a16:creationId xmlns:a16="http://schemas.microsoft.com/office/drawing/2014/main" id="{FD124D60-D7CE-48AE-9BFF-E765A50B9EFA}"/>
                </a:ext>
              </a:extLst>
            </xdr:cNvPr>
            <xdr:cNvSpPr txBox="1"/>
          </xdr:nvSpPr>
          <xdr:spPr>
            <a:xfrm>
              <a:off x="15216187" y="29008387"/>
              <a:ext cx="2207336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𝑓_0=𝑚𝑎𝑥{|𝑋_2,0−𝑋_1,0 |;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|𝑋_4,0−𝑋_3,0 |}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8</xdr:col>
      <xdr:colOff>171450</xdr:colOff>
      <xdr:row>162</xdr:row>
      <xdr:rowOff>9525</xdr:rowOff>
    </xdr:from>
    <xdr:ext cx="1249394" cy="469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CuadroTexto 128">
              <a:extLst>
                <a:ext uri="{FF2B5EF4-FFF2-40B4-BE49-F238E27FC236}">
                  <a16:creationId xmlns:a16="http://schemas.microsoft.com/office/drawing/2014/main" id="{00000000-0008-0000-0200-000081000000}"/>
                </a:ext>
              </a:extLst>
            </xdr:cNvPr>
            <xdr:cNvSpPr txBox="1"/>
          </xdr:nvSpPr>
          <xdr:spPr>
            <a:xfrm>
              <a:off x="9210675" y="29365575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histeris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r>
                    <a:rPr lang="es-CO" sz="1000" b="0" i="1" baseline="0">
                      <a:latin typeface="Cambria Math" panose="02040503050406030204" pitchFamily="18" charset="0"/>
                    </a:rPr>
                    <m:t>h</m:t>
                  </m:r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129" name="CuadroTexto 128">
              <a:extLst>
                <a:ext uri="{FF2B5EF4-FFF2-40B4-BE49-F238E27FC236}">
                  <a16:creationId xmlns:a16="http://schemas.microsoft.com/office/drawing/2014/main" id="{FB048F7C-58AF-443C-8F5F-D29E5F98C788}"/>
                </a:ext>
              </a:extLst>
            </xdr:cNvPr>
            <xdr:cNvSpPr txBox="1"/>
          </xdr:nvSpPr>
          <xdr:spPr>
            <a:xfrm>
              <a:off x="9210675" y="29365575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histeris</a:t>
              </a:r>
            </a:p>
            <a:p>
              <a:r>
                <a:rPr lang="es-CO" sz="1000" baseline="0"/>
                <a:t>                </a:t>
              </a:r>
              <a:r>
                <a:rPr lang="es-CO" sz="1000" b="0" i="0" baseline="0">
                  <a:latin typeface="Cambria Math" panose="02040503050406030204" pitchFamily="18" charset="0"/>
                </a:rPr>
                <a:t>ℎ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8</xdr:col>
      <xdr:colOff>28575</xdr:colOff>
      <xdr:row>159</xdr:row>
      <xdr:rowOff>0</xdr:rowOff>
    </xdr:from>
    <xdr:ext cx="1285929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CuadroTexto 129">
              <a:extLst>
                <a:ext uri="{FF2B5EF4-FFF2-40B4-BE49-F238E27FC236}">
                  <a16:creationId xmlns:a16="http://schemas.microsoft.com/office/drawing/2014/main" id="{00000000-0008-0000-0200-000082000000}"/>
                </a:ext>
              </a:extLst>
            </xdr:cNvPr>
            <xdr:cNvSpPr txBox="1"/>
          </xdr:nvSpPr>
          <xdr:spPr>
            <a:xfrm>
              <a:off x="9067800" y="28765500"/>
              <a:ext cx="128592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h𝑖𝑠𝑡𝑒𝑟𝑖𝑠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h</m:t>
                                    </m:r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30" name="CuadroTexto 129">
              <a:extLst>
                <a:ext uri="{FF2B5EF4-FFF2-40B4-BE49-F238E27FC236}">
                  <a16:creationId xmlns:a16="http://schemas.microsoft.com/office/drawing/2014/main" id="{5B7DB604-CDC4-412F-8390-8903025030B4}"/>
                </a:ext>
              </a:extLst>
            </xdr:cNvPr>
            <xdr:cNvSpPr txBox="1"/>
          </xdr:nvSpPr>
          <xdr:spPr>
            <a:xfrm>
              <a:off x="9067800" y="28765500"/>
              <a:ext cx="128592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𝑃_ℎ𝑖𝑠𝑡𝑒𝑟𝑖𝑠=√(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(ℎ/2)〗^2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131" name="CuadroTexto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 txBox="1"/>
      </xdr:nvSpPr>
      <xdr:spPr>
        <a:xfrm>
          <a:off x="5065681" y="3071225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</xdr:col>
      <xdr:colOff>100012</xdr:colOff>
      <xdr:row>172</xdr:row>
      <xdr:rowOff>52387</xdr:rowOff>
    </xdr:from>
    <xdr:ext cx="1386983" cy="6585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CuadroTexto 131">
              <a:extLst>
                <a:ext uri="{FF2B5EF4-FFF2-40B4-BE49-F238E27FC236}">
                  <a16:creationId xmlns:a16="http://schemas.microsoft.com/office/drawing/2014/main" id="{00000000-0008-0000-0200-000084000000}"/>
                </a:ext>
              </a:extLst>
            </xdr:cNvPr>
            <xdr:cNvSpPr txBox="1"/>
          </xdr:nvSpPr>
          <xdr:spPr>
            <a:xfrm>
              <a:off x="1966912" y="32389762"/>
              <a:ext cx="138698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nary>
                          <m:naryPr>
                            <m:chr m:val="∑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sup>
                          <m:e>
                            <m:sSup>
                              <m:sSup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𝑐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∗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𝜇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(</m:t>
                                    </m:r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32" name="CuadroTexto 131">
              <a:extLst>
                <a:ext uri="{FF2B5EF4-FFF2-40B4-BE49-F238E27FC236}">
                  <a16:creationId xmlns:a16="http://schemas.microsoft.com/office/drawing/2014/main" id="{39A53019-F3BD-4286-BBDE-37CDAC405DCC}"/>
                </a:ext>
              </a:extLst>
            </xdr:cNvPr>
            <xdr:cNvSpPr txBox="1"/>
          </xdr:nvSpPr>
          <xdr:spPr>
            <a:xfrm>
              <a:off x="1966912" y="32389762"/>
              <a:ext cx="138698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𝑐=√(∑_(𝑖=1)^𝑁▒〖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(𝑐_𝑖∗𝜇(𝑥_𝑖 ))〗^</a:t>
              </a:r>
              <a:r>
                <a:rPr lang="es-CO" sz="1100" b="0" i="0">
                  <a:latin typeface="Cambria Math" panose="02040503050406030204" pitchFamily="18" charset="0"/>
                </a:rPr>
                <a:t>2 )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214312</xdr:colOff>
      <xdr:row>159</xdr:row>
      <xdr:rowOff>166687</xdr:rowOff>
    </xdr:from>
    <xdr:ext cx="90601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CuadroTexto 132">
              <a:extLst>
                <a:ext uri="{FF2B5EF4-FFF2-40B4-BE49-F238E27FC236}">
                  <a16:creationId xmlns:a16="http://schemas.microsoft.com/office/drawing/2014/main" id="{00000000-0008-0000-0200-000085000000}"/>
                </a:ext>
              </a:extLst>
            </xdr:cNvPr>
            <xdr:cNvSpPr txBox="1"/>
          </xdr:nvSpPr>
          <xdr:spPr>
            <a:xfrm>
              <a:off x="3605212" y="28932187"/>
              <a:ext cx="9060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𝑃𝑎𝑡𝑟𝑜𝑛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/2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33" name="CuadroTexto 132">
              <a:extLst>
                <a:ext uri="{FF2B5EF4-FFF2-40B4-BE49-F238E27FC236}">
                  <a16:creationId xmlns:a16="http://schemas.microsoft.com/office/drawing/2014/main" id="{F83C0302-8714-4DD2-AD7A-F00AA105494E}"/>
                </a:ext>
              </a:extLst>
            </xdr:cNvPr>
            <xdr:cNvSpPr txBox="1"/>
          </xdr:nvSpPr>
          <xdr:spPr>
            <a:xfrm>
              <a:off x="3605212" y="28932187"/>
              <a:ext cx="9060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𝑃𝑎𝑡𝑟𝑜𝑛=𝑈/2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71436</xdr:colOff>
      <xdr:row>176</xdr:row>
      <xdr:rowOff>157162</xdr:rowOff>
    </xdr:from>
    <xdr:ext cx="1395413" cy="51834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CuadroTexto 133">
              <a:extLst>
                <a:ext uri="{FF2B5EF4-FFF2-40B4-BE49-F238E27FC236}">
                  <a16:creationId xmlns:a16="http://schemas.microsoft.com/office/drawing/2014/main" id="{00000000-0008-0000-0200-000086000000}"/>
                </a:ext>
              </a:extLst>
            </xdr:cNvPr>
            <xdr:cNvSpPr txBox="1"/>
          </xdr:nvSpPr>
          <xdr:spPr>
            <a:xfrm>
              <a:off x="1938336" y="33256537"/>
              <a:ext cx="1395413" cy="518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𝑒𝑓𝑓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e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num>
                      <m:den>
                        <m:nary>
                          <m:naryPr>
                            <m:chr m:val="∑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f>
                              <m:f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es-CO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𝜇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4</m:t>
                                    </m:r>
                                  </m:sup>
                                </m:sSup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𝑣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den>
                            </m:f>
                          </m:e>
                        </m:nary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34" name="CuadroTexto 133">
              <a:extLst>
                <a:ext uri="{FF2B5EF4-FFF2-40B4-BE49-F238E27FC236}">
                  <a16:creationId xmlns:a16="http://schemas.microsoft.com/office/drawing/2014/main" id="{9A4E4FCF-6235-4B51-9A92-17FBBA5FC0B8}"/>
                </a:ext>
              </a:extLst>
            </xdr:cNvPr>
            <xdr:cNvSpPr txBox="1"/>
          </xdr:nvSpPr>
          <xdr:spPr>
            <a:xfrm>
              <a:off x="1938336" y="33256537"/>
              <a:ext cx="1395413" cy="518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𝑣_𝑒𝑓𝑓=〖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𝑐〗^4/(∑_(𝑖=1)^𝑛▒(〖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𝑖〗^4 (𝑥_𝑖))/𝑣_𝑖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690562</xdr:colOff>
      <xdr:row>169</xdr:row>
      <xdr:rowOff>80962</xdr:rowOff>
    </xdr:from>
    <xdr:ext cx="1527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CuadroTexto 134">
              <a:extLst>
                <a:ext uri="{FF2B5EF4-FFF2-40B4-BE49-F238E27FC236}">
                  <a16:creationId xmlns:a16="http://schemas.microsoft.com/office/drawing/2014/main" id="{00000000-0008-0000-0200-000087000000}"/>
                </a:ext>
              </a:extLst>
            </xdr:cNvPr>
            <xdr:cNvSpPr txBox="1"/>
          </xdr:nvSpPr>
          <xdr:spPr>
            <a:xfrm>
              <a:off x="2557462" y="31084837"/>
              <a:ext cx="152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35" name="CuadroTexto 134">
              <a:extLst>
                <a:ext uri="{FF2B5EF4-FFF2-40B4-BE49-F238E27FC236}">
                  <a16:creationId xmlns:a16="http://schemas.microsoft.com/office/drawing/2014/main" id="{9BDB8072-876C-40CC-83D6-E88C55F5F9FA}"/>
                </a:ext>
              </a:extLst>
            </xdr:cNvPr>
            <xdr:cNvSpPr txBox="1"/>
          </xdr:nvSpPr>
          <xdr:spPr>
            <a:xfrm>
              <a:off x="2557462" y="31084837"/>
              <a:ext cx="152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𝑣_𝑖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338137</xdr:colOff>
      <xdr:row>171</xdr:row>
      <xdr:rowOff>519112</xdr:rowOff>
    </xdr:from>
    <xdr:ext cx="2236831" cy="2027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CuadroTexto 135">
              <a:extLst>
                <a:ext uri="{FF2B5EF4-FFF2-40B4-BE49-F238E27FC236}">
                  <a16:creationId xmlns:a16="http://schemas.microsoft.com/office/drawing/2014/main" id="{00000000-0008-0000-0200-000088000000}"/>
                </a:ext>
              </a:extLst>
            </xdr:cNvPr>
            <xdr:cNvSpPr txBox="1"/>
          </xdr:nvSpPr>
          <xdr:spPr>
            <a:xfrm>
              <a:off x="15149512" y="32284987"/>
              <a:ext cx="2236831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𝑎𝑠𝑐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3,0)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1,0)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36" name="CuadroTexto 135">
              <a:extLst>
                <a:ext uri="{FF2B5EF4-FFF2-40B4-BE49-F238E27FC236}">
                  <a16:creationId xmlns:a16="http://schemas.microsoft.com/office/drawing/2014/main" id="{B95BE23E-907C-4761-BFF1-93B95F07A28A}"/>
                </a:ext>
              </a:extLst>
            </xdr:cNvPr>
            <xdr:cNvSpPr txBox="1"/>
          </xdr:nvSpPr>
          <xdr:spPr>
            <a:xfrm>
              <a:off x="15149512" y="32284987"/>
              <a:ext cx="2236831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𝑏^′〗_(</a:t>
              </a:r>
              <a:r>
                <a:rPr lang="es-CO" sz="1100" b="0" i="0">
                  <a:latin typeface="Cambria Math" panose="02040503050406030204" pitchFamily="18" charset="0"/>
                </a:rPr>
                <a:t>𝑎𝑠𝑐,𝑗)=|(𝑥_(3,𝑗)−𝑥_(3,0))−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(𝑥_(1,𝑗)−𝑥_(1,0)) |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342900</xdr:colOff>
      <xdr:row>173</xdr:row>
      <xdr:rowOff>66675</xdr:rowOff>
    </xdr:from>
    <xdr:ext cx="2218749" cy="2027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CuadroTexto 136">
              <a:extLst>
                <a:ext uri="{FF2B5EF4-FFF2-40B4-BE49-F238E27FC236}">
                  <a16:creationId xmlns:a16="http://schemas.microsoft.com/office/drawing/2014/main" id="{00000000-0008-0000-0200-000089000000}"/>
                </a:ext>
              </a:extLst>
            </xdr:cNvPr>
            <xdr:cNvSpPr txBox="1"/>
          </xdr:nvSpPr>
          <xdr:spPr>
            <a:xfrm>
              <a:off x="15154275" y="32594550"/>
              <a:ext cx="2218749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𝑑𝑒𝑠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4,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3,0)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1,0)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37" name="CuadroTexto 136">
              <a:extLst>
                <a:ext uri="{FF2B5EF4-FFF2-40B4-BE49-F238E27FC236}">
                  <a16:creationId xmlns:a16="http://schemas.microsoft.com/office/drawing/2014/main" id="{21AC8636-2037-4F2D-B04B-030A3E094478}"/>
                </a:ext>
              </a:extLst>
            </xdr:cNvPr>
            <xdr:cNvSpPr txBox="1"/>
          </xdr:nvSpPr>
          <xdr:spPr>
            <a:xfrm>
              <a:off x="15154275" y="32594550"/>
              <a:ext cx="2218749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𝑏^′〗_(</a:t>
              </a:r>
              <a:r>
                <a:rPr lang="es-CO" sz="1100" b="0" i="0">
                  <a:latin typeface="Cambria Math" panose="02040503050406030204" pitchFamily="18" charset="0"/>
                </a:rPr>
                <a:t>𝑑𝑒𝑠,𝑗)=|(𝑥_(4,𝑗)−𝑥_(3,0))−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(𝑥_(2,𝑗)−𝑥_(1,0)) |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314325</xdr:colOff>
      <xdr:row>174</xdr:row>
      <xdr:rowOff>180975</xdr:rowOff>
    </xdr:from>
    <xdr:ext cx="1793055" cy="2024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CuadroTexto 137">
              <a:extLst>
                <a:ext uri="{FF2B5EF4-FFF2-40B4-BE49-F238E27FC236}">
                  <a16:creationId xmlns:a16="http://schemas.microsoft.com/office/drawing/2014/main" id="{00000000-0008-0000-0200-00008A000000}"/>
                </a:ext>
              </a:extLst>
            </xdr:cNvPr>
            <xdr:cNvSpPr txBox="1"/>
          </xdr:nvSpPr>
          <xdr:spPr>
            <a:xfrm>
              <a:off x="15125700" y="32899350"/>
              <a:ext cx="1793055" cy="2024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𝑚𝑒𝑑𝑖𝑜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CO" sz="1100" b="0" i="0">
                        <a:latin typeface="Cambria Math" panose="02040503050406030204" pitchFamily="18" charset="0"/>
                      </a:rPr>
                      <m:t>max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𝑎𝑠𝑐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; </m:t>
                        </m:r>
                        <m:sSub>
                          <m:sSub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𝑑𝑒𝑠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38" name="CuadroTexto 137">
              <a:extLst>
                <a:ext uri="{FF2B5EF4-FFF2-40B4-BE49-F238E27FC236}">
                  <a16:creationId xmlns:a16="http://schemas.microsoft.com/office/drawing/2014/main" id="{3C75B8A3-7626-4FCE-AEFC-8275BEE890DF}"/>
                </a:ext>
              </a:extLst>
            </xdr:cNvPr>
            <xdr:cNvSpPr txBox="1"/>
          </xdr:nvSpPr>
          <xdr:spPr>
            <a:xfrm>
              <a:off x="15125700" y="32899350"/>
              <a:ext cx="1793055" cy="2024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</a:t>
              </a:r>
              <a:r>
                <a:rPr lang="es-CO" sz="1100" b="0" i="0">
                  <a:latin typeface="Cambria Math" panose="02040503050406030204" pitchFamily="18" charset="0"/>
                </a:rPr>
                <a:t>𝑚𝑒𝑑𝑖𝑜=max{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〖𝑏^′〗_(𝑎𝑠𝑐,𝑗); 〖𝑏^′〗_(𝑑𝑒𝑠,𝑗) 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57150</xdr:colOff>
      <xdr:row>179</xdr:row>
      <xdr:rowOff>19050</xdr:rowOff>
    </xdr:from>
    <xdr:ext cx="4006546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9" name="CuadroTexto 138">
              <a:extLst>
                <a:ext uri="{FF2B5EF4-FFF2-40B4-BE49-F238E27FC236}">
                  <a16:creationId xmlns:a16="http://schemas.microsoft.com/office/drawing/2014/main" id="{00000000-0008-0000-0200-00008B000000}"/>
                </a:ext>
              </a:extLst>
            </xdr:cNvPr>
            <xdr:cNvSpPr txBox="1"/>
          </xdr:nvSpPr>
          <xdr:spPr>
            <a:xfrm>
              <a:off x="14868525" y="33689925"/>
              <a:ext cx="400654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2,</m:t>
                                </m:r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d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d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39" name="CuadroTexto 138">
              <a:extLst>
                <a:ext uri="{FF2B5EF4-FFF2-40B4-BE49-F238E27FC236}">
                  <a16:creationId xmlns:a16="http://schemas.microsoft.com/office/drawing/2014/main" id="{5B76D2C5-B1FF-4C7F-A827-742617B5540D}"/>
                </a:ext>
              </a:extLst>
            </xdr:cNvPr>
            <xdr:cNvSpPr txBox="1"/>
          </xdr:nvSpPr>
          <xdr:spPr>
            <a:xfrm>
              <a:off x="14868525" y="33689925"/>
              <a:ext cx="400654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ℎ=1/𝑛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×{|〖(𝑋〗_(2,𝑗)−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𝑋_1,0)−〖(𝑋〗_(1,𝑗)−𝑋_1,0)|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|〖(𝑋〗_(4,𝑗)−𝑋_3,0)−〖(𝑋〗_(3,𝑗)−𝑋_3,0)|}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452437</xdr:colOff>
      <xdr:row>181</xdr:row>
      <xdr:rowOff>166687</xdr:rowOff>
    </xdr:from>
    <xdr:ext cx="66678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CuadroTexto 139">
              <a:extLst>
                <a:ext uri="{FF2B5EF4-FFF2-40B4-BE49-F238E27FC236}">
                  <a16:creationId xmlns:a16="http://schemas.microsoft.com/office/drawing/2014/main" id="{00000000-0008-0000-0200-00008C000000}"/>
                </a:ext>
              </a:extLst>
            </xdr:cNvPr>
            <xdr:cNvSpPr txBox="1"/>
          </xdr:nvSpPr>
          <xdr:spPr>
            <a:xfrm>
              <a:off x="2319337" y="34218562"/>
              <a:ext cx="6667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𝑘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40" name="CuadroTexto 139">
              <a:extLst>
                <a:ext uri="{FF2B5EF4-FFF2-40B4-BE49-F238E27FC236}">
                  <a16:creationId xmlns:a16="http://schemas.microsoft.com/office/drawing/2014/main" id="{D6A8A8C9-2D6C-4443-8151-CA22667203DD}"/>
                </a:ext>
              </a:extLst>
            </xdr:cNvPr>
            <xdr:cNvSpPr txBox="1"/>
          </xdr:nvSpPr>
          <xdr:spPr>
            <a:xfrm>
              <a:off x="2319337" y="34218562"/>
              <a:ext cx="6667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𝑈=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𝑐∗𝑘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728662</xdr:colOff>
      <xdr:row>180</xdr:row>
      <xdr:rowOff>23812</xdr:rowOff>
    </xdr:from>
    <xdr:ext cx="11381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CuadroTexto 140">
              <a:extLst>
                <a:ext uri="{FF2B5EF4-FFF2-40B4-BE49-F238E27FC236}">
                  <a16:creationId xmlns:a16="http://schemas.microsoft.com/office/drawing/2014/main" id="{00000000-0008-0000-0200-00008D000000}"/>
                </a:ext>
              </a:extLst>
            </xdr:cNvPr>
            <xdr:cNvSpPr txBox="1"/>
          </xdr:nvSpPr>
          <xdr:spPr>
            <a:xfrm>
              <a:off x="2595562" y="33885187"/>
              <a:ext cx="1138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𝑘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41" name="CuadroTexto 140">
              <a:extLst>
                <a:ext uri="{FF2B5EF4-FFF2-40B4-BE49-F238E27FC236}">
                  <a16:creationId xmlns:a16="http://schemas.microsoft.com/office/drawing/2014/main" id="{3473D938-0006-4C01-8848-6BB579252BBB}"/>
                </a:ext>
              </a:extLst>
            </xdr:cNvPr>
            <xdr:cNvSpPr txBox="1"/>
          </xdr:nvSpPr>
          <xdr:spPr>
            <a:xfrm>
              <a:off x="2595562" y="33885187"/>
              <a:ext cx="1138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𝑘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6</xdr:col>
      <xdr:colOff>131732</xdr:colOff>
      <xdr:row>193</xdr:row>
      <xdr:rowOff>3651</xdr:rowOff>
    </xdr:from>
    <xdr:ext cx="1249394" cy="469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CuadroTexto 141">
              <a:extLst>
                <a:ext uri="{FF2B5EF4-FFF2-40B4-BE49-F238E27FC236}">
                  <a16:creationId xmlns:a16="http://schemas.microsoft.com/office/drawing/2014/main" id="{00000000-0008-0000-0200-00008E000000}"/>
                </a:ext>
              </a:extLst>
            </xdr:cNvPr>
            <xdr:cNvSpPr txBox="1"/>
          </xdr:nvSpPr>
          <xdr:spPr>
            <a:xfrm>
              <a:off x="6180107" y="36360576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porDesviacion</a:t>
              </a:r>
              <a:r>
                <a:rPr lang="es-CO" sz="1000" baseline="0"/>
                <a:t> del cero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100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CO" sz="1000" b="0" i="1" baseline="0"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s-CO" sz="10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142" name="CuadroTexto 141">
              <a:extLst>
                <a:ext uri="{FF2B5EF4-FFF2-40B4-BE49-F238E27FC236}">
                  <a16:creationId xmlns:a16="http://schemas.microsoft.com/office/drawing/2014/main" id="{3DCB7561-0EDA-47AC-B740-F831D54B0FAE}"/>
                </a:ext>
              </a:extLst>
            </xdr:cNvPr>
            <xdr:cNvSpPr txBox="1"/>
          </xdr:nvSpPr>
          <xdr:spPr>
            <a:xfrm>
              <a:off x="6180107" y="36360576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porDesviacion</a:t>
              </a:r>
              <a:r>
                <a:rPr lang="es-CO" sz="1000" baseline="0"/>
                <a:t> del cero</a:t>
              </a:r>
            </a:p>
            <a:p>
              <a:r>
                <a:rPr lang="es-CO" sz="1000" baseline="0"/>
                <a:t>                </a:t>
              </a:r>
              <a:r>
                <a:rPr lang="es-CO" sz="1000" b="0" i="0" baseline="0">
                  <a:latin typeface="Cambria Math" panose="02040503050406030204" pitchFamily="18" charset="0"/>
                </a:rPr>
                <a:t>𝑓_0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5</xdr:col>
      <xdr:colOff>42862</xdr:colOff>
      <xdr:row>190</xdr:row>
      <xdr:rowOff>42862</xdr:rowOff>
    </xdr:from>
    <xdr:ext cx="12474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CuadroTexto 142">
              <a:extLst>
                <a:ext uri="{FF2B5EF4-FFF2-40B4-BE49-F238E27FC236}">
                  <a16:creationId xmlns:a16="http://schemas.microsoft.com/office/drawing/2014/main" id="{00000000-0008-0000-0200-00008F000000}"/>
                </a:ext>
              </a:extLst>
            </xdr:cNvPr>
            <xdr:cNvSpPr txBox="1"/>
          </xdr:nvSpPr>
          <xdr:spPr>
            <a:xfrm>
              <a:off x="4710112" y="35809237"/>
              <a:ext cx="12474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𝑖𝑛𝑑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𝑟</m:t>
                                    </m:r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43" name="CuadroTexto 142">
              <a:extLst>
                <a:ext uri="{FF2B5EF4-FFF2-40B4-BE49-F238E27FC236}">
                  <a16:creationId xmlns:a16="http://schemas.microsoft.com/office/drawing/2014/main" id="{0C3EF247-F89F-46F5-BF13-736A8779A054}"/>
                </a:ext>
              </a:extLst>
            </xdr:cNvPr>
            <xdr:cNvSpPr txBox="1"/>
          </xdr:nvSpPr>
          <xdr:spPr>
            <a:xfrm>
              <a:off x="4710112" y="35809237"/>
              <a:ext cx="12474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𝑃_(𝑖𝑛𝑑 𝑟)=√(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(2𝑟/2)〗^2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190</xdr:row>
      <xdr:rowOff>0</xdr:rowOff>
    </xdr:from>
    <xdr:ext cx="1412823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CuadroTexto 143">
              <a:extLst>
                <a:ext uri="{FF2B5EF4-FFF2-40B4-BE49-F238E27FC236}">
                  <a16:creationId xmlns:a16="http://schemas.microsoft.com/office/drawing/2014/main" id="{00000000-0008-0000-0200-000090000000}"/>
                </a:ext>
              </a:extLst>
            </xdr:cNvPr>
            <xdr:cNvSpPr txBox="1"/>
          </xdr:nvSpPr>
          <xdr:spPr>
            <a:xfrm>
              <a:off x="6048375" y="35766375"/>
              <a:ext cx="141282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𝑑𝑒𝑠𝑣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𝑐𝑒𝑟𝑜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𝑓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0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44" name="CuadroTexto 143">
              <a:extLst>
                <a:ext uri="{FF2B5EF4-FFF2-40B4-BE49-F238E27FC236}">
                  <a16:creationId xmlns:a16="http://schemas.microsoft.com/office/drawing/2014/main" id="{10AEA080-96FF-495B-9872-4A3FACB32D85}"/>
                </a:ext>
              </a:extLst>
            </xdr:cNvPr>
            <xdr:cNvSpPr txBox="1"/>
          </xdr:nvSpPr>
          <xdr:spPr>
            <a:xfrm>
              <a:off x="6048375" y="35766375"/>
              <a:ext cx="141282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𝑃_(𝑑𝑒𝑠𝑣 𝑐𝑒𝑟𝑜)=√(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(𝑓_0/2)〗^2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152400</xdr:colOff>
      <xdr:row>193</xdr:row>
      <xdr:rowOff>9525</xdr:rowOff>
    </xdr:from>
    <xdr:ext cx="1110240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CuadroTexto 144">
              <a:extLst>
                <a:ext uri="{FF2B5EF4-FFF2-40B4-BE49-F238E27FC236}">
                  <a16:creationId xmlns:a16="http://schemas.microsoft.com/office/drawing/2014/main" id="{00000000-0008-0000-0200-000091000000}"/>
                </a:ext>
              </a:extLst>
            </xdr:cNvPr>
            <xdr:cNvSpPr txBox="1"/>
          </xdr:nvSpPr>
          <xdr:spPr>
            <a:xfrm>
              <a:off x="15725775" y="36366450"/>
              <a:ext cx="111024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/>
                <a:t>Desviacion</a:t>
              </a:r>
              <a:r>
                <a:rPr lang="es-CO" sz="1100" baseline="0"/>
                <a:t> del cero</a:t>
              </a:r>
            </a:p>
            <a:p>
              <a:r>
                <a:rPr lang="es-CO" sz="1100" baseline="0"/>
                <a:t>               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110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CO" sz="1100" b="0" i="1" baseline="0"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s-CO" sz="11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endParaRPr lang="es-CO" sz="1100"/>
            </a:p>
          </xdr:txBody>
        </xdr:sp>
      </mc:Choice>
      <mc:Fallback xmlns="">
        <xdr:sp macro="" textlink="">
          <xdr:nvSpPr>
            <xdr:cNvPr id="145" name="CuadroTexto 144">
              <a:extLst>
                <a:ext uri="{FF2B5EF4-FFF2-40B4-BE49-F238E27FC236}">
                  <a16:creationId xmlns:a16="http://schemas.microsoft.com/office/drawing/2014/main" id="{E5CA36F9-7A97-49CB-B074-65A532B88568}"/>
                </a:ext>
              </a:extLst>
            </xdr:cNvPr>
            <xdr:cNvSpPr txBox="1"/>
          </xdr:nvSpPr>
          <xdr:spPr>
            <a:xfrm>
              <a:off x="15725775" y="36366450"/>
              <a:ext cx="111024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/>
                <a:t>Desviacion</a:t>
              </a:r>
              <a:r>
                <a:rPr lang="es-CO" sz="1100" baseline="0"/>
                <a:t> del cero</a:t>
              </a:r>
            </a:p>
            <a:p>
              <a:r>
                <a:rPr lang="es-CO" sz="1100" baseline="0"/>
                <a:t>                </a:t>
              </a:r>
              <a:r>
                <a:rPr lang="es-CO" sz="1100" b="0" i="0" baseline="0">
                  <a:latin typeface="Cambria Math" panose="02040503050406030204" pitchFamily="18" charset="0"/>
                </a:rPr>
                <a:t>𝑓_0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23812</xdr:colOff>
      <xdr:row>194</xdr:row>
      <xdr:rowOff>14287</xdr:rowOff>
    </xdr:from>
    <xdr:ext cx="658385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6" name="CuadroTexto 145">
              <a:extLst>
                <a:ext uri="{FF2B5EF4-FFF2-40B4-BE49-F238E27FC236}">
                  <a16:creationId xmlns:a16="http://schemas.microsoft.com/office/drawing/2014/main" id="{00000000-0008-0000-0200-000092000000}"/>
                </a:ext>
              </a:extLst>
            </xdr:cNvPr>
            <xdr:cNvSpPr txBox="1"/>
          </xdr:nvSpPr>
          <xdr:spPr>
            <a:xfrm>
              <a:off x="15597187" y="36866512"/>
              <a:ext cx="65838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2,0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1,0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46" name="CuadroTexto 145">
              <a:extLst>
                <a:ext uri="{FF2B5EF4-FFF2-40B4-BE49-F238E27FC236}">
                  <a16:creationId xmlns:a16="http://schemas.microsoft.com/office/drawing/2014/main" id="{055873D6-E03F-4553-A3EB-99C2FEB93B86}"/>
                </a:ext>
              </a:extLst>
            </xdr:cNvPr>
            <xdr:cNvSpPr txBox="1"/>
          </xdr:nvSpPr>
          <xdr:spPr>
            <a:xfrm>
              <a:off x="15597187" y="36866512"/>
              <a:ext cx="65838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𝑋_2,0−𝑋_1,0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28575</xdr:colOff>
      <xdr:row>195</xdr:row>
      <xdr:rowOff>28575</xdr:rowOff>
    </xdr:from>
    <xdr:ext cx="661656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CuadroTexto 146">
              <a:extLst>
                <a:ext uri="{FF2B5EF4-FFF2-40B4-BE49-F238E27FC236}">
                  <a16:creationId xmlns:a16="http://schemas.microsoft.com/office/drawing/2014/main" id="{00000000-0008-0000-0200-000093000000}"/>
                </a:ext>
              </a:extLst>
            </xdr:cNvPr>
            <xdr:cNvSpPr txBox="1"/>
          </xdr:nvSpPr>
          <xdr:spPr>
            <a:xfrm>
              <a:off x="15601950" y="37071300"/>
              <a:ext cx="66165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4,0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3,0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47" name="CuadroTexto 146">
              <a:extLst>
                <a:ext uri="{FF2B5EF4-FFF2-40B4-BE49-F238E27FC236}">
                  <a16:creationId xmlns:a16="http://schemas.microsoft.com/office/drawing/2014/main" id="{C465A3BF-063C-462E-988D-CA0DB4CA7CC4}"/>
                </a:ext>
              </a:extLst>
            </xdr:cNvPr>
            <xdr:cNvSpPr txBox="1"/>
          </xdr:nvSpPr>
          <xdr:spPr>
            <a:xfrm>
              <a:off x="15601950" y="37071300"/>
              <a:ext cx="66165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𝑋_4,0−𝑋_3,0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7</xdr:col>
      <xdr:colOff>180975</xdr:colOff>
      <xdr:row>192</xdr:row>
      <xdr:rowOff>190500</xdr:rowOff>
    </xdr:from>
    <xdr:ext cx="1249394" cy="5021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8" name="CuadroTexto 147">
              <a:extLst>
                <a:ext uri="{FF2B5EF4-FFF2-40B4-BE49-F238E27FC236}">
                  <a16:creationId xmlns:a16="http://schemas.microsoft.com/office/drawing/2014/main" id="{00000000-0008-0000-0200-000094000000}"/>
                </a:ext>
              </a:extLst>
            </xdr:cNvPr>
            <xdr:cNvSpPr txBox="1"/>
          </xdr:nvSpPr>
          <xdr:spPr>
            <a:xfrm>
              <a:off x="7715250" y="36347400"/>
              <a:ext cx="1249394" cy="502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repetibilidad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sSup>
                    <m:sSupPr>
                      <m:ctrlPr>
                        <a:rPr lang="es-CO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s-CO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𝑏</m:t>
                      </m:r>
                    </m:e>
                    <m:sup>
                      <m:r>
                        <a:rPr lang="es-CO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′</m:t>
                      </m:r>
                    </m:sup>
                  </m:sSup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148" name="CuadroTexto 147">
              <a:extLst>
                <a:ext uri="{FF2B5EF4-FFF2-40B4-BE49-F238E27FC236}">
                  <a16:creationId xmlns:a16="http://schemas.microsoft.com/office/drawing/2014/main" id="{E795C385-397A-4B8F-AED6-FA9BF83A516F}"/>
                </a:ext>
              </a:extLst>
            </xdr:cNvPr>
            <xdr:cNvSpPr txBox="1"/>
          </xdr:nvSpPr>
          <xdr:spPr>
            <a:xfrm>
              <a:off x="7715250" y="36347400"/>
              <a:ext cx="1249394" cy="502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repetibilidad</a:t>
              </a:r>
            </a:p>
            <a:p>
              <a:r>
                <a:rPr lang="es-CO" sz="1000" baseline="0"/>
                <a:t>               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7</xdr:col>
      <xdr:colOff>76200</xdr:colOff>
      <xdr:row>190</xdr:row>
      <xdr:rowOff>9525</xdr:rowOff>
    </xdr:from>
    <xdr:ext cx="1250599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CuadroTexto 148">
              <a:extLst>
                <a:ext uri="{FF2B5EF4-FFF2-40B4-BE49-F238E27FC236}">
                  <a16:creationId xmlns:a16="http://schemas.microsoft.com/office/drawing/2014/main" id="{00000000-0008-0000-0200-000095000000}"/>
                </a:ext>
              </a:extLst>
            </xdr:cNvPr>
            <xdr:cNvSpPr txBox="1"/>
          </xdr:nvSpPr>
          <xdr:spPr>
            <a:xfrm>
              <a:off x="7610475" y="35775900"/>
              <a:ext cx="125059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𝑟𝑒𝑝𝑒𝑡𝑖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p>
                                      <m:sSup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𝑏</m:t>
                                        </m:r>
                                      </m:e>
                                      <m:sup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′</m:t>
                                        </m:r>
                                      </m:sup>
                                    </m:sSup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49" name="CuadroTexto 148">
              <a:extLst>
                <a:ext uri="{FF2B5EF4-FFF2-40B4-BE49-F238E27FC236}">
                  <a16:creationId xmlns:a16="http://schemas.microsoft.com/office/drawing/2014/main" id="{2D2639B2-BF66-4E6C-B9C9-837E5CEFFE91}"/>
                </a:ext>
              </a:extLst>
            </xdr:cNvPr>
            <xdr:cNvSpPr txBox="1"/>
          </xdr:nvSpPr>
          <xdr:spPr>
            <a:xfrm>
              <a:off x="7610475" y="35775900"/>
              <a:ext cx="125059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𝑃_𝑟𝑒𝑝𝑒𝑡𝑖=√(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(𝑏^′/2)〗^2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274606</xdr:colOff>
      <xdr:row>195</xdr:row>
      <xdr:rowOff>184626</xdr:rowOff>
    </xdr:from>
    <xdr:ext cx="15279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CuadroTexto 149">
              <a:extLst>
                <a:ext uri="{FF2B5EF4-FFF2-40B4-BE49-F238E27FC236}">
                  <a16:creationId xmlns:a16="http://schemas.microsoft.com/office/drawing/2014/main" id="{00000000-0008-0000-0200-000096000000}"/>
                </a:ext>
              </a:extLst>
            </xdr:cNvPr>
            <xdr:cNvSpPr txBox="1"/>
          </xdr:nvSpPr>
          <xdr:spPr>
            <a:xfrm>
              <a:off x="15847981" y="37227351"/>
              <a:ext cx="1527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50" name="CuadroTexto 149">
              <a:extLst>
                <a:ext uri="{FF2B5EF4-FFF2-40B4-BE49-F238E27FC236}">
                  <a16:creationId xmlns:a16="http://schemas.microsoft.com/office/drawing/2014/main" id="{B32EFA64-DF37-4C07-8F7C-D5EA9B3DB46E}"/>
                </a:ext>
              </a:extLst>
            </xdr:cNvPr>
            <xdr:cNvSpPr txBox="1"/>
          </xdr:nvSpPr>
          <xdr:spPr>
            <a:xfrm>
              <a:off x="15847981" y="37227351"/>
              <a:ext cx="1527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𝑓_0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404812</xdr:colOff>
      <xdr:row>191</xdr:row>
      <xdr:rowOff>42862</xdr:rowOff>
    </xdr:from>
    <xdr:ext cx="2207336" cy="1910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CuadroTexto 150">
              <a:extLst>
                <a:ext uri="{FF2B5EF4-FFF2-40B4-BE49-F238E27FC236}">
                  <a16:creationId xmlns:a16="http://schemas.microsoft.com/office/drawing/2014/main" id="{00000000-0008-0000-0200-000097000000}"/>
                </a:ext>
              </a:extLst>
            </xdr:cNvPr>
            <xdr:cNvSpPr txBox="1"/>
          </xdr:nvSpPr>
          <xdr:spPr>
            <a:xfrm>
              <a:off x="15216187" y="36009262"/>
              <a:ext cx="2207336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𝑚𝑎𝑥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2,0</m:t>
                                </m:r>
                              </m:sub>
                            </m:s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1,0</m:t>
                                </m:r>
                              </m:sub>
                            </m:sSub>
                          </m:e>
                        </m:d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;</m:t>
                        </m:r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</m:e>
                        </m:d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51" name="CuadroTexto 150">
              <a:extLst>
                <a:ext uri="{FF2B5EF4-FFF2-40B4-BE49-F238E27FC236}">
                  <a16:creationId xmlns:a16="http://schemas.microsoft.com/office/drawing/2014/main" id="{9716F665-4B56-4383-8E9F-0CDF17F8AFBC}"/>
                </a:ext>
              </a:extLst>
            </xdr:cNvPr>
            <xdr:cNvSpPr txBox="1"/>
          </xdr:nvSpPr>
          <xdr:spPr>
            <a:xfrm>
              <a:off x="15216187" y="36009262"/>
              <a:ext cx="2207336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𝑓_0=𝑚𝑎𝑥{|𝑋_2,0−𝑋_1,0 |;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|𝑋_4,0−𝑋_3,0 |}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8</xdr:col>
      <xdr:colOff>171450</xdr:colOff>
      <xdr:row>193</xdr:row>
      <xdr:rowOff>9525</xdr:rowOff>
    </xdr:from>
    <xdr:ext cx="1249394" cy="469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CuadroTexto 151">
              <a:extLst>
                <a:ext uri="{FF2B5EF4-FFF2-40B4-BE49-F238E27FC236}">
                  <a16:creationId xmlns:a16="http://schemas.microsoft.com/office/drawing/2014/main" id="{00000000-0008-0000-0200-000098000000}"/>
                </a:ext>
              </a:extLst>
            </xdr:cNvPr>
            <xdr:cNvSpPr txBox="1"/>
          </xdr:nvSpPr>
          <xdr:spPr>
            <a:xfrm>
              <a:off x="9210675" y="36366450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histeris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r>
                    <a:rPr lang="es-CO" sz="1000" b="0" i="1" baseline="0">
                      <a:latin typeface="Cambria Math" panose="02040503050406030204" pitchFamily="18" charset="0"/>
                    </a:rPr>
                    <m:t>h</m:t>
                  </m:r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152" name="CuadroTexto 151">
              <a:extLst>
                <a:ext uri="{FF2B5EF4-FFF2-40B4-BE49-F238E27FC236}">
                  <a16:creationId xmlns:a16="http://schemas.microsoft.com/office/drawing/2014/main" id="{3A74A735-2796-4D75-B5A0-D514861168E9}"/>
                </a:ext>
              </a:extLst>
            </xdr:cNvPr>
            <xdr:cNvSpPr txBox="1"/>
          </xdr:nvSpPr>
          <xdr:spPr>
            <a:xfrm>
              <a:off x="9210675" y="36366450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histeris</a:t>
              </a:r>
            </a:p>
            <a:p>
              <a:r>
                <a:rPr lang="es-CO" sz="1000" baseline="0"/>
                <a:t>                </a:t>
              </a:r>
              <a:r>
                <a:rPr lang="es-CO" sz="1000" b="0" i="0" baseline="0">
                  <a:latin typeface="Cambria Math" panose="02040503050406030204" pitchFamily="18" charset="0"/>
                </a:rPr>
                <a:t>ℎ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8</xdr:col>
      <xdr:colOff>28575</xdr:colOff>
      <xdr:row>190</xdr:row>
      <xdr:rowOff>0</xdr:rowOff>
    </xdr:from>
    <xdr:ext cx="1285929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CuadroTexto 152">
              <a:extLst>
                <a:ext uri="{FF2B5EF4-FFF2-40B4-BE49-F238E27FC236}">
                  <a16:creationId xmlns:a16="http://schemas.microsoft.com/office/drawing/2014/main" id="{00000000-0008-0000-0200-000099000000}"/>
                </a:ext>
              </a:extLst>
            </xdr:cNvPr>
            <xdr:cNvSpPr txBox="1"/>
          </xdr:nvSpPr>
          <xdr:spPr>
            <a:xfrm>
              <a:off x="9067800" y="35766375"/>
              <a:ext cx="128592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h𝑖𝑠𝑡𝑒𝑟𝑖𝑠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h</m:t>
                                    </m:r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53" name="CuadroTexto 152">
              <a:extLst>
                <a:ext uri="{FF2B5EF4-FFF2-40B4-BE49-F238E27FC236}">
                  <a16:creationId xmlns:a16="http://schemas.microsoft.com/office/drawing/2014/main" id="{C2B72081-A1DA-4E24-8D94-B28C0083959D}"/>
                </a:ext>
              </a:extLst>
            </xdr:cNvPr>
            <xdr:cNvSpPr txBox="1"/>
          </xdr:nvSpPr>
          <xdr:spPr>
            <a:xfrm>
              <a:off x="9067800" y="35766375"/>
              <a:ext cx="128592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𝑃_ℎ𝑖𝑠𝑡𝑒𝑟𝑖𝑠=√(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(ℎ/2)〗^2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154" name="CuadroTexto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 txBox="1"/>
      </xdr:nvSpPr>
      <xdr:spPr>
        <a:xfrm>
          <a:off x="5065681" y="3771312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</xdr:col>
      <xdr:colOff>100012</xdr:colOff>
      <xdr:row>203</xdr:row>
      <xdr:rowOff>52387</xdr:rowOff>
    </xdr:from>
    <xdr:ext cx="1386983" cy="6585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CuadroTexto 154">
              <a:extLst>
                <a:ext uri="{FF2B5EF4-FFF2-40B4-BE49-F238E27FC236}">
                  <a16:creationId xmlns:a16="http://schemas.microsoft.com/office/drawing/2014/main" id="{00000000-0008-0000-0200-00009B000000}"/>
                </a:ext>
              </a:extLst>
            </xdr:cNvPr>
            <xdr:cNvSpPr txBox="1"/>
          </xdr:nvSpPr>
          <xdr:spPr>
            <a:xfrm>
              <a:off x="1966912" y="39390637"/>
              <a:ext cx="138698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nary>
                          <m:naryPr>
                            <m:chr m:val="∑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sup>
                          <m:e>
                            <m:sSup>
                              <m:sSup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𝑐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∗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𝜇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(</m:t>
                                    </m:r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55" name="CuadroTexto 154">
              <a:extLst>
                <a:ext uri="{FF2B5EF4-FFF2-40B4-BE49-F238E27FC236}">
                  <a16:creationId xmlns:a16="http://schemas.microsoft.com/office/drawing/2014/main" id="{6CA83D93-1F66-4F79-AE61-9B76A0FB075A}"/>
                </a:ext>
              </a:extLst>
            </xdr:cNvPr>
            <xdr:cNvSpPr txBox="1"/>
          </xdr:nvSpPr>
          <xdr:spPr>
            <a:xfrm>
              <a:off x="1966912" y="39390637"/>
              <a:ext cx="138698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𝑐=√(∑_(𝑖=1)^𝑁▒〖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(𝑐_𝑖∗𝜇(𝑥_𝑖 ))〗^</a:t>
              </a:r>
              <a:r>
                <a:rPr lang="es-CO" sz="1100" b="0" i="0">
                  <a:latin typeface="Cambria Math" panose="02040503050406030204" pitchFamily="18" charset="0"/>
                </a:rPr>
                <a:t>2 )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214312</xdr:colOff>
      <xdr:row>190</xdr:row>
      <xdr:rowOff>166687</xdr:rowOff>
    </xdr:from>
    <xdr:ext cx="90601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CuadroTexto 155">
              <a:extLst>
                <a:ext uri="{FF2B5EF4-FFF2-40B4-BE49-F238E27FC236}">
                  <a16:creationId xmlns:a16="http://schemas.microsoft.com/office/drawing/2014/main" id="{00000000-0008-0000-0200-00009C000000}"/>
                </a:ext>
              </a:extLst>
            </xdr:cNvPr>
            <xdr:cNvSpPr txBox="1"/>
          </xdr:nvSpPr>
          <xdr:spPr>
            <a:xfrm>
              <a:off x="3605212" y="35933062"/>
              <a:ext cx="9060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𝑃𝑎𝑡𝑟𝑜𝑛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/2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56" name="CuadroTexto 155">
              <a:extLst>
                <a:ext uri="{FF2B5EF4-FFF2-40B4-BE49-F238E27FC236}">
                  <a16:creationId xmlns:a16="http://schemas.microsoft.com/office/drawing/2014/main" id="{3032130B-2399-4E87-B3F8-D92D9769EF1D}"/>
                </a:ext>
              </a:extLst>
            </xdr:cNvPr>
            <xdr:cNvSpPr txBox="1"/>
          </xdr:nvSpPr>
          <xdr:spPr>
            <a:xfrm>
              <a:off x="3605212" y="35933062"/>
              <a:ext cx="9060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𝑃𝑎𝑡𝑟𝑜𝑛=𝑈/2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71436</xdr:colOff>
      <xdr:row>207</xdr:row>
      <xdr:rowOff>157162</xdr:rowOff>
    </xdr:from>
    <xdr:ext cx="1395413" cy="51834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CuadroTexto 156">
              <a:extLst>
                <a:ext uri="{FF2B5EF4-FFF2-40B4-BE49-F238E27FC236}">
                  <a16:creationId xmlns:a16="http://schemas.microsoft.com/office/drawing/2014/main" id="{00000000-0008-0000-0200-00009D000000}"/>
                </a:ext>
              </a:extLst>
            </xdr:cNvPr>
            <xdr:cNvSpPr txBox="1"/>
          </xdr:nvSpPr>
          <xdr:spPr>
            <a:xfrm>
              <a:off x="1938336" y="40257412"/>
              <a:ext cx="1395413" cy="518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𝑒𝑓𝑓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e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num>
                      <m:den>
                        <m:nary>
                          <m:naryPr>
                            <m:chr m:val="∑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f>
                              <m:f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es-CO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𝜇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4</m:t>
                                    </m:r>
                                  </m:sup>
                                </m:sSup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𝑣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den>
                            </m:f>
                          </m:e>
                        </m:nary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57" name="CuadroTexto 156">
              <a:extLst>
                <a:ext uri="{FF2B5EF4-FFF2-40B4-BE49-F238E27FC236}">
                  <a16:creationId xmlns:a16="http://schemas.microsoft.com/office/drawing/2014/main" id="{8ED72046-A3DA-4064-BCB3-F8165A17EA00}"/>
                </a:ext>
              </a:extLst>
            </xdr:cNvPr>
            <xdr:cNvSpPr txBox="1"/>
          </xdr:nvSpPr>
          <xdr:spPr>
            <a:xfrm>
              <a:off x="1938336" y="40257412"/>
              <a:ext cx="1395413" cy="518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𝑣_𝑒𝑓𝑓=〖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𝑐〗^4/(∑_(𝑖=1)^𝑛▒(〖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𝑖〗^4 (𝑥_𝑖))/𝑣_𝑖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690562</xdr:colOff>
      <xdr:row>200</xdr:row>
      <xdr:rowOff>80962</xdr:rowOff>
    </xdr:from>
    <xdr:ext cx="1527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CuadroTexto 157">
              <a:extLst>
                <a:ext uri="{FF2B5EF4-FFF2-40B4-BE49-F238E27FC236}">
                  <a16:creationId xmlns:a16="http://schemas.microsoft.com/office/drawing/2014/main" id="{00000000-0008-0000-0200-00009E000000}"/>
                </a:ext>
              </a:extLst>
            </xdr:cNvPr>
            <xdr:cNvSpPr txBox="1"/>
          </xdr:nvSpPr>
          <xdr:spPr>
            <a:xfrm>
              <a:off x="2557462" y="38085712"/>
              <a:ext cx="152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58" name="CuadroTexto 157">
              <a:extLst>
                <a:ext uri="{FF2B5EF4-FFF2-40B4-BE49-F238E27FC236}">
                  <a16:creationId xmlns:a16="http://schemas.microsoft.com/office/drawing/2014/main" id="{A7991364-AB43-4156-8729-02E3B2ED6B9E}"/>
                </a:ext>
              </a:extLst>
            </xdr:cNvPr>
            <xdr:cNvSpPr txBox="1"/>
          </xdr:nvSpPr>
          <xdr:spPr>
            <a:xfrm>
              <a:off x="2557462" y="38085712"/>
              <a:ext cx="152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𝑣_𝑖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338137</xdr:colOff>
      <xdr:row>202</xdr:row>
      <xdr:rowOff>519112</xdr:rowOff>
    </xdr:from>
    <xdr:ext cx="2236831" cy="2027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CuadroTexto 158">
              <a:extLst>
                <a:ext uri="{FF2B5EF4-FFF2-40B4-BE49-F238E27FC236}">
                  <a16:creationId xmlns:a16="http://schemas.microsoft.com/office/drawing/2014/main" id="{00000000-0008-0000-0200-00009F000000}"/>
                </a:ext>
              </a:extLst>
            </xdr:cNvPr>
            <xdr:cNvSpPr txBox="1"/>
          </xdr:nvSpPr>
          <xdr:spPr>
            <a:xfrm>
              <a:off x="15149512" y="39285862"/>
              <a:ext cx="2236831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𝑎𝑠𝑐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3,0)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1,0)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59" name="CuadroTexto 158">
              <a:extLst>
                <a:ext uri="{FF2B5EF4-FFF2-40B4-BE49-F238E27FC236}">
                  <a16:creationId xmlns:a16="http://schemas.microsoft.com/office/drawing/2014/main" id="{7B4A67F0-D410-464D-8FB0-DE33F39E12B2}"/>
                </a:ext>
              </a:extLst>
            </xdr:cNvPr>
            <xdr:cNvSpPr txBox="1"/>
          </xdr:nvSpPr>
          <xdr:spPr>
            <a:xfrm>
              <a:off x="15149512" y="39285862"/>
              <a:ext cx="2236831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𝑏^′〗_(</a:t>
              </a:r>
              <a:r>
                <a:rPr lang="es-CO" sz="1100" b="0" i="0">
                  <a:latin typeface="Cambria Math" panose="02040503050406030204" pitchFamily="18" charset="0"/>
                </a:rPr>
                <a:t>𝑎𝑠𝑐,𝑗)=|(𝑥_(3,𝑗)−𝑥_(3,0))−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(𝑥_(1,𝑗)−𝑥_(1,0)) |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342900</xdr:colOff>
      <xdr:row>204</xdr:row>
      <xdr:rowOff>66675</xdr:rowOff>
    </xdr:from>
    <xdr:ext cx="2218749" cy="2027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CuadroTexto 159">
              <a:extLst>
                <a:ext uri="{FF2B5EF4-FFF2-40B4-BE49-F238E27FC236}">
                  <a16:creationId xmlns:a16="http://schemas.microsoft.com/office/drawing/2014/main" id="{00000000-0008-0000-0200-0000A0000000}"/>
                </a:ext>
              </a:extLst>
            </xdr:cNvPr>
            <xdr:cNvSpPr txBox="1"/>
          </xdr:nvSpPr>
          <xdr:spPr>
            <a:xfrm>
              <a:off x="15154275" y="39595425"/>
              <a:ext cx="2218749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𝑑𝑒𝑠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4,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3,0)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1,0)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60" name="CuadroTexto 159">
              <a:extLst>
                <a:ext uri="{FF2B5EF4-FFF2-40B4-BE49-F238E27FC236}">
                  <a16:creationId xmlns:a16="http://schemas.microsoft.com/office/drawing/2014/main" id="{F0FC7DBC-6169-4218-B8FE-2F4FD46A6BBC}"/>
                </a:ext>
              </a:extLst>
            </xdr:cNvPr>
            <xdr:cNvSpPr txBox="1"/>
          </xdr:nvSpPr>
          <xdr:spPr>
            <a:xfrm>
              <a:off x="15154275" y="39595425"/>
              <a:ext cx="2218749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𝑏^′〗_(</a:t>
              </a:r>
              <a:r>
                <a:rPr lang="es-CO" sz="1100" b="0" i="0">
                  <a:latin typeface="Cambria Math" panose="02040503050406030204" pitchFamily="18" charset="0"/>
                </a:rPr>
                <a:t>𝑑𝑒𝑠,𝑗)=|(𝑥_(4,𝑗)−𝑥_(3,0))−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(𝑥_(2,𝑗)−𝑥_(1,0)) |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314325</xdr:colOff>
      <xdr:row>205</xdr:row>
      <xdr:rowOff>180975</xdr:rowOff>
    </xdr:from>
    <xdr:ext cx="1793055" cy="2024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CuadroTexto 160">
              <a:extLst>
                <a:ext uri="{FF2B5EF4-FFF2-40B4-BE49-F238E27FC236}">
                  <a16:creationId xmlns:a16="http://schemas.microsoft.com/office/drawing/2014/main" id="{00000000-0008-0000-0200-0000A1000000}"/>
                </a:ext>
              </a:extLst>
            </xdr:cNvPr>
            <xdr:cNvSpPr txBox="1"/>
          </xdr:nvSpPr>
          <xdr:spPr>
            <a:xfrm>
              <a:off x="15125700" y="39900225"/>
              <a:ext cx="1793055" cy="2024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𝑚𝑒𝑑𝑖𝑜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CO" sz="1100" b="0" i="0">
                        <a:latin typeface="Cambria Math" panose="02040503050406030204" pitchFamily="18" charset="0"/>
                      </a:rPr>
                      <m:t>max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𝑎𝑠𝑐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; </m:t>
                        </m:r>
                        <m:sSub>
                          <m:sSub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𝑑𝑒𝑠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61" name="CuadroTexto 160">
              <a:extLst>
                <a:ext uri="{FF2B5EF4-FFF2-40B4-BE49-F238E27FC236}">
                  <a16:creationId xmlns:a16="http://schemas.microsoft.com/office/drawing/2014/main" id="{8391C733-F347-4627-8B9B-10FCB0E46C49}"/>
                </a:ext>
              </a:extLst>
            </xdr:cNvPr>
            <xdr:cNvSpPr txBox="1"/>
          </xdr:nvSpPr>
          <xdr:spPr>
            <a:xfrm>
              <a:off x="15125700" y="39900225"/>
              <a:ext cx="1793055" cy="2024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</a:t>
              </a:r>
              <a:r>
                <a:rPr lang="es-CO" sz="1100" b="0" i="0">
                  <a:latin typeface="Cambria Math" panose="02040503050406030204" pitchFamily="18" charset="0"/>
                </a:rPr>
                <a:t>𝑚𝑒𝑑𝑖𝑜=max{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〖𝑏^′〗_(𝑎𝑠𝑐,𝑗); 〖𝑏^′〗_(𝑑𝑒𝑠,𝑗) 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57150</xdr:colOff>
      <xdr:row>210</xdr:row>
      <xdr:rowOff>19050</xdr:rowOff>
    </xdr:from>
    <xdr:ext cx="4006546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CuadroTexto 161">
              <a:extLst>
                <a:ext uri="{FF2B5EF4-FFF2-40B4-BE49-F238E27FC236}">
                  <a16:creationId xmlns:a16="http://schemas.microsoft.com/office/drawing/2014/main" id="{00000000-0008-0000-0200-0000A2000000}"/>
                </a:ext>
              </a:extLst>
            </xdr:cNvPr>
            <xdr:cNvSpPr txBox="1"/>
          </xdr:nvSpPr>
          <xdr:spPr>
            <a:xfrm>
              <a:off x="14868525" y="40690800"/>
              <a:ext cx="400654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2,</m:t>
                                </m:r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d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d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62" name="CuadroTexto 161">
              <a:extLst>
                <a:ext uri="{FF2B5EF4-FFF2-40B4-BE49-F238E27FC236}">
                  <a16:creationId xmlns:a16="http://schemas.microsoft.com/office/drawing/2014/main" id="{EBC3257C-082A-43BF-908F-3667462D98A4}"/>
                </a:ext>
              </a:extLst>
            </xdr:cNvPr>
            <xdr:cNvSpPr txBox="1"/>
          </xdr:nvSpPr>
          <xdr:spPr>
            <a:xfrm>
              <a:off x="14868525" y="40690800"/>
              <a:ext cx="400654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ℎ=1/𝑛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×{|〖(𝑋〗_(2,𝑗)−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𝑋_1,0)−〖(𝑋〗_(1,𝑗)−𝑋_1,0)|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|〖(𝑋〗_(4,𝑗)−𝑋_3,0)−〖(𝑋〗_(3,𝑗)−𝑋_3,0)|}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452437</xdr:colOff>
      <xdr:row>212</xdr:row>
      <xdr:rowOff>166687</xdr:rowOff>
    </xdr:from>
    <xdr:ext cx="66678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CuadroTexto 162">
              <a:extLst>
                <a:ext uri="{FF2B5EF4-FFF2-40B4-BE49-F238E27FC236}">
                  <a16:creationId xmlns:a16="http://schemas.microsoft.com/office/drawing/2014/main" id="{00000000-0008-0000-0200-0000A3000000}"/>
                </a:ext>
              </a:extLst>
            </xdr:cNvPr>
            <xdr:cNvSpPr txBox="1"/>
          </xdr:nvSpPr>
          <xdr:spPr>
            <a:xfrm>
              <a:off x="2319337" y="41219437"/>
              <a:ext cx="6667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𝑘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63" name="CuadroTexto 162">
              <a:extLst>
                <a:ext uri="{FF2B5EF4-FFF2-40B4-BE49-F238E27FC236}">
                  <a16:creationId xmlns:a16="http://schemas.microsoft.com/office/drawing/2014/main" id="{5B59EF78-EA1B-4EC2-AB40-B909C0C35381}"/>
                </a:ext>
              </a:extLst>
            </xdr:cNvPr>
            <xdr:cNvSpPr txBox="1"/>
          </xdr:nvSpPr>
          <xdr:spPr>
            <a:xfrm>
              <a:off x="2319337" y="41219437"/>
              <a:ext cx="6667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𝑈=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𝑐∗𝑘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728662</xdr:colOff>
      <xdr:row>211</xdr:row>
      <xdr:rowOff>23812</xdr:rowOff>
    </xdr:from>
    <xdr:ext cx="11381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CuadroTexto 163">
              <a:extLst>
                <a:ext uri="{FF2B5EF4-FFF2-40B4-BE49-F238E27FC236}">
                  <a16:creationId xmlns:a16="http://schemas.microsoft.com/office/drawing/2014/main" id="{00000000-0008-0000-0200-0000A4000000}"/>
                </a:ext>
              </a:extLst>
            </xdr:cNvPr>
            <xdr:cNvSpPr txBox="1"/>
          </xdr:nvSpPr>
          <xdr:spPr>
            <a:xfrm>
              <a:off x="2595562" y="40886062"/>
              <a:ext cx="1138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𝑘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64" name="CuadroTexto 163">
              <a:extLst>
                <a:ext uri="{FF2B5EF4-FFF2-40B4-BE49-F238E27FC236}">
                  <a16:creationId xmlns:a16="http://schemas.microsoft.com/office/drawing/2014/main" id="{C21B22C6-4D13-4F35-B004-31957A865B1B}"/>
                </a:ext>
              </a:extLst>
            </xdr:cNvPr>
            <xdr:cNvSpPr txBox="1"/>
          </xdr:nvSpPr>
          <xdr:spPr>
            <a:xfrm>
              <a:off x="2595562" y="40886062"/>
              <a:ext cx="1138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𝑘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6</xdr:col>
      <xdr:colOff>131732</xdr:colOff>
      <xdr:row>224</xdr:row>
      <xdr:rowOff>3651</xdr:rowOff>
    </xdr:from>
    <xdr:ext cx="1249394" cy="469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CuadroTexto 164">
              <a:extLst>
                <a:ext uri="{FF2B5EF4-FFF2-40B4-BE49-F238E27FC236}">
                  <a16:creationId xmlns:a16="http://schemas.microsoft.com/office/drawing/2014/main" id="{00000000-0008-0000-0200-0000A5000000}"/>
                </a:ext>
              </a:extLst>
            </xdr:cNvPr>
            <xdr:cNvSpPr txBox="1"/>
          </xdr:nvSpPr>
          <xdr:spPr>
            <a:xfrm>
              <a:off x="6180107" y="43361451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porDesviacion</a:t>
              </a:r>
              <a:r>
                <a:rPr lang="es-CO" sz="1000" baseline="0"/>
                <a:t> del cero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100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CO" sz="1000" b="0" i="1" baseline="0"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s-CO" sz="10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165" name="CuadroTexto 164">
              <a:extLst>
                <a:ext uri="{FF2B5EF4-FFF2-40B4-BE49-F238E27FC236}">
                  <a16:creationId xmlns:a16="http://schemas.microsoft.com/office/drawing/2014/main" id="{F09CF47D-7EFD-413C-935A-410BB355C11F}"/>
                </a:ext>
              </a:extLst>
            </xdr:cNvPr>
            <xdr:cNvSpPr txBox="1"/>
          </xdr:nvSpPr>
          <xdr:spPr>
            <a:xfrm>
              <a:off x="6180107" y="43361451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porDesviacion</a:t>
              </a:r>
              <a:r>
                <a:rPr lang="es-CO" sz="1000" baseline="0"/>
                <a:t> del cero</a:t>
              </a:r>
            </a:p>
            <a:p>
              <a:r>
                <a:rPr lang="es-CO" sz="1000" baseline="0"/>
                <a:t>                </a:t>
              </a:r>
              <a:r>
                <a:rPr lang="es-CO" sz="1000" b="0" i="0" baseline="0">
                  <a:latin typeface="Cambria Math" panose="02040503050406030204" pitchFamily="18" charset="0"/>
                </a:rPr>
                <a:t>𝑓_0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5</xdr:col>
      <xdr:colOff>42862</xdr:colOff>
      <xdr:row>221</xdr:row>
      <xdr:rowOff>42862</xdr:rowOff>
    </xdr:from>
    <xdr:ext cx="12474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CuadroTexto 165">
              <a:extLst>
                <a:ext uri="{FF2B5EF4-FFF2-40B4-BE49-F238E27FC236}">
                  <a16:creationId xmlns:a16="http://schemas.microsoft.com/office/drawing/2014/main" id="{00000000-0008-0000-0200-0000A6000000}"/>
                </a:ext>
              </a:extLst>
            </xdr:cNvPr>
            <xdr:cNvSpPr txBox="1"/>
          </xdr:nvSpPr>
          <xdr:spPr>
            <a:xfrm>
              <a:off x="4710112" y="42810112"/>
              <a:ext cx="12474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𝑖𝑛𝑑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𝑟</m:t>
                                    </m:r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66" name="CuadroTexto 165">
              <a:extLst>
                <a:ext uri="{FF2B5EF4-FFF2-40B4-BE49-F238E27FC236}">
                  <a16:creationId xmlns:a16="http://schemas.microsoft.com/office/drawing/2014/main" id="{5AD99836-00E6-4752-9363-D8AE99753815}"/>
                </a:ext>
              </a:extLst>
            </xdr:cNvPr>
            <xdr:cNvSpPr txBox="1"/>
          </xdr:nvSpPr>
          <xdr:spPr>
            <a:xfrm>
              <a:off x="4710112" y="42810112"/>
              <a:ext cx="12474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𝑃_(𝑖𝑛𝑑 𝑟)=√(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(2𝑟/2)〗^2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221</xdr:row>
      <xdr:rowOff>0</xdr:rowOff>
    </xdr:from>
    <xdr:ext cx="1412823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CuadroTexto 166">
              <a:extLst>
                <a:ext uri="{FF2B5EF4-FFF2-40B4-BE49-F238E27FC236}">
                  <a16:creationId xmlns:a16="http://schemas.microsoft.com/office/drawing/2014/main" id="{00000000-0008-0000-0200-0000A7000000}"/>
                </a:ext>
              </a:extLst>
            </xdr:cNvPr>
            <xdr:cNvSpPr txBox="1"/>
          </xdr:nvSpPr>
          <xdr:spPr>
            <a:xfrm>
              <a:off x="6048375" y="42767250"/>
              <a:ext cx="141282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𝑑𝑒𝑠𝑣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𝑐𝑒𝑟𝑜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𝑓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0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67" name="CuadroTexto 166">
              <a:extLst>
                <a:ext uri="{FF2B5EF4-FFF2-40B4-BE49-F238E27FC236}">
                  <a16:creationId xmlns:a16="http://schemas.microsoft.com/office/drawing/2014/main" id="{6B71DB74-F8BA-43A4-914A-798811349067}"/>
                </a:ext>
              </a:extLst>
            </xdr:cNvPr>
            <xdr:cNvSpPr txBox="1"/>
          </xdr:nvSpPr>
          <xdr:spPr>
            <a:xfrm>
              <a:off x="6048375" y="42767250"/>
              <a:ext cx="141282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𝑃_(𝑑𝑒𝑠𝑣 𝑐𝑒𝑟𝑜)=√(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(𝑓_0/2)〗^2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152400</xdr:colOff>
      <xdr:row>224</xdr:row>
      <xdr:rowOff>9525</xdr:rowOff>
    </xdr:from>
    <xdr:ext cx="1110240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CuadroTexto 167">
              <a:extLst>
                <a:ext uri="{FF2B5EF4-FFF2-40B4-BE49-F238E27FC236}">
                  <a16:creationId xmlns:a16="http://schemas.microsoft.com/office/drawing/2014/main" id="{00000000-0008-0000-0200-0000A8000000}"/>
                </a:ext>
              </a:extLst>
            </xdr:cNvPr>
            <xdr:cNvSpPr txBox="1"/>
          </xdr:nvSpPr>
          <xdr:spPr>
            <a:xfrm>
              <a:off x="15725775" y="43367325"/>
              <a:ext cx="111024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/>
                <a:t>Desviacion</a:t>
              </a:r>
              <a:r>
                <a:rPr lang="es-CO" sz="1100" baseline="0"/>
                <a:t> del cero</a:t>
              </a:r>
            </a:p>
            <a:p>
              <a:r>
                <a:rPr lang="es-CO" sz="1100" baseline="0"/>
                <a:t>               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110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CO" sz="1100" b="0" i="1" baseline="0"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s-CO" sz="11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endParaRPr lang="es-CO" sz="1100"/>
            </a:p>
          </xdr:txBody>
        </xdr:sp>
      </mc:Choice>
      <mc:Fallback xmlns="">
        <xdr:sp macro="" textlink="">
          <xdr:nvSpPr>
            <xdr:cNvPr id="168" name="CuadroTexto 167">
              <a:extLst>
                <a:ext uri="{FF2B5EF4-FFF2-40B4-BE49-F238E27FC236}">
                  <a16:creationId xmlns:a16="http://schemas.microsoft.com/office/drawing/2014/main" id="{600463CF-5ED7-4056-8846-8A34198804EF}"/>
                </a:ext>
              </a:extLst>
            </xdr:cNvPr>
            <xdr:cNvSpPr txBox="1"/>
          </xdr:nvSpPr>
          <xdr:spPr>
            <a:xfrm>
              <a:off x="15725775" y="43367325"/>
              <a:ext cx="111024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/>
                <a:t>Desviacion</a:t>
              </a:r>
              <a:r>
                <a:rPr lang="es-CO" sz="1100" baseline="0"/>
                <a:t> del cero</a:t>
              </a:r>
            </a:p>
            <a:p>
              <a:r>
                <a:rPr lang="es-CO" sz="1100" baseline="0"/>
                <a:t>                </a:t>
              </a:r>
              <a:r>
                <a:rPr lang="es-CO" sz="1100" b="0" i="0" baseline="0">
                  <a:latin typeface="Cambria Math" panose="02040503050406030204" pitchFamily="18" charset="0"/>
                </a:rPr>
                <a:t>𝑓_0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23812</xdr:colOff>
      <xdr:row>225</xdr:row>
      <xdr:rowOff>14287</xdr:rowOff>
    </xdr:from>
    <xdr:ext cx="658385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CuadroTexto 168">
              <a:extLst>
                <a:ext uri="{FF2B5EF4-FFF2-40B4-BE49-F238E27FC236}">
                  <a16:creationId xmlns:a16="http://schemas.microsoft.com/office/drawing/2014/main" id="{00000000-0008-0000-0200-0000A9000000}"/>
                </a:ext>
              </a:extLst>
            </xdr:cNvPr>
            <xdr:cNvSpPr txBox="1"/>
          </xdr:nvSpPr>
          <xdr:spPr>
            <a:xfrm>
              <a:off x="15597187" y="43867387"/>
              <a:ext cx="65838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2,0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1,0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69" name="CuadroTexto 168">
              <a:extLst>
                <a:ext uri="{FF2B5EF4-FFF2-40B4-BE49-F238E27FC236}">
                  <a16:creationId xmlns:a16="http://schemas.microsoft.com/office/drawing/2014/main" id="{7298B0F3-8A94-4DAB-B94F-4C66C48692CC}"/>
                </a:ext>
              </a:extLst>
            </xdr:cNvPr>
            <xdr:cNvSpPr txBox="1"/>
          </xdr:nvSpPr>
          <xdr:spPr>
            <a:xfrm>
              <a:off x="15597187" y="43867387"/>
              <a:ext cx="65838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𝑋_2,0−𝑋_1,0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28575</xdr:colOff>
      <xdr:row>226</xdr:row>
      <xdr:rowOff>28575</xdr:rowOff>
    </xdr:from>
    <xdr:ext cx="661656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CuadroTexto 169">
              <a:extLst>
                <a:ext uri="{FF2B5EF4-FFF2-40B4-BE49-F238E27FC236}">
                  <a16:creationId xmlns:a16="http://schemas.microsoft.com/office/drawing/2014/main" id="{00000000-0008-0000-0200-0000AA000000}"/>
                </a:ext>
              </a:extLst>
            </xdr:cNvPr>
            <xdr:cNvSpPr txBox="1"/>
          </xdr:nvSpPr>
          <xdr:spPr>
            <a:xfrm>
              <a:off x="15601950" y="44072175"/>
              <a:ext cx="66165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4,0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3,0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70" name="CuadroTexto 169">
              <a:extLst>
                <a:ext uri="{FF2B5EF4-FFF2-40B4-BE49-F238E27FC236}">
                  <a16:creationId xmlns:a16="http://schemas.microsoft.com/office/drawing/2014/main" id="{BDCA256C-C7A2-4441-B1BD-3E8D9587A8C2}"/>
                </a:ext>
              </a:extLst>
            </xdr:cNvPr>
            <xdr:cNvSpPr txBox="1"/>
          </xdr:nvSpPr>
          <xdr:spPr>
            <a:xfrm>
              <a:off x="15601950" y="44072175"/>
              <a:ext cx="66165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𝑋_4,0−𝑋_3,0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7</xdr:col>
      <xdr:colOff>180975</xdr:colOff>
      <xdr:row>223</xdr:row>
      <xdr:rowOff>190500</xdr:rowOff>
    </xdr:from>
    <xdr:ext cx="1249394" cy="5021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CuadroTexto 170">
              <a:extLst>
                <a:ext uri="{FF2B5EF4-FFF2-40B4-BE49-F238E27FC236}">
                  <a16:creationId xmlns:a16="http://schemas.microsoft.com/office/drawing/2014/main" id="{00000000-0008-0000-0200-0000AB000000}"/>
                </a:ext>
              </a:extLst>
            </xdr:cNvPr>
            <xdr:cNvSpPr txBox="1"/>
          </xdr:nvSpPr>
          <xdr:spPr>
            <a:xfrm>
              <a:off x="7715250" y="43348275"/>
              <a:ext cx="1249394" cy="502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repetibilidad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sSup>
                    <m:sSupPr>
                      <m:ctrlPr>
                        <a:rPr lang="es-CO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s-CO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𝑏</m:t>
                      </m:r>
                    </m:e>
                    <m:sup>
                      <m:r>
                        <a:rPr lang="es-CO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′</m:t>
                      </m:r>
                    </m:sup>
                  </m:sSup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171" name="CuadroTexto 170">
              <a:extLst>
                <a:ext uri="{FF2B5EF4-FFF2-40B4-BE49-F238E27FC236}">
                  <a16:creationId xmlns:a16="http://schemas.microsoft.com/office/drawing/2014/main" id="{666341FF-1250-4D64-852F-88CC1456FEF0}"/>
                </a:ext>
              </a:extLst>
            </xdr:cNvPr>
            <xdr:cNvSpPr txBox="1"/>
          </xdr:nvSpPr>
          <xdr:spPr>
            <a:xfrm>
              <a:off x="7715250" y="43348275"/>
              <a:ext cx="1249394" cy="502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repetibilidad</a:t>
              </a:r>
            </a:p>
            <a:p>
              <a:r>
                <a:rPr lang="es-CO" sz="1000" baseline="0"/>
                <a:t>               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7</xdr:col>
      <xdr:colOff>76200</xdr:colOff>
      <xdr:row>221</xdr:row>
      <xdr:rowOff>9525</xdr:rowOff>
    </xdr:from>
    <xdr:ext cx="1250599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CuadroTexto 171">
              <a:extLst>
                <a:ext uri="{FF2B5EF4-FFF2-40B4-BE49-F238E27FC236}">
                  <a16:creationId xmlns:a16="http://schemas.microsoft.com/office/drawing/2014/main" id="{00000000-0008-0000-0200-0000AC000000}"/>
                </a:ext>
              </a:extLst>
            </xdr:cNvPr>
            <xdr:cNvSpPr txBox="1"/>
          </xdr:nvSpPr>
          <xdr:spPr>
            <a:xfrm>
              <a:off x="7610475" y="42776775"/>
              <a:ext cx="125059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𝑟𝑒𝑝𝑒𝑡𝑖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p>
                                      <m:sSup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𝑏</m:t>
                                        </m:r>
                                      </m:e>
                                      <m:sup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′</m:t>
                                        </m:r>
                                      </m:sup>
                                    </m:sSup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72" name="CuadroTexto 171">
              <a:extLst>
                <a:ext uri="{FF2B5EF4-FFF2-40B4-BE49-F238E27FC236}">
                  <a16:creationId xmlns:a16="http://schemas.microsoft.com/office/drawing/2014/main" id="{13E903FF-2CDB-4420-A393-D4026C411D53}"/>
                </a:ext>
              </a:extLst>
            </xdr:cNvPr>
            <xdr:cNvSpPr txBox="1"/>
          </xdr:nvSpPr>
          <xdr:spPr>
            <a:xfrm>
              <a:off x="7610475" y="42776775"/>
              <a:ext cx="125059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𝑃_𝑟𝑒𝑝𝑒𝑡𝑖=√(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(𝑏^′/2)〗^2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274606</xdr:colOff>
      <xdr:row>226</xdr:row>
      <xdr:rowOff>184626</xdr:rowOff>
    </xdr:from>
    <xdr:ext cx="15279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CuadroTexto 172">
              <a:extLst>
                <a:ext uri="{FF2B5EF4-FFF2-40B4-BE49-F238E27FC236}">
                  <a16:creationId xmlns:a16="http://schemas.microsoft.com/office/drawing/2014/main" id="{00000000-0008-0000-0200-0000AD000000}"/>
                </a:ext>
              </a:extLst>
            </xdr:cNvPr>
            <xdr:cNvSpPr txBox="1"/>
          </xdr:nvSpPr>
          <xdr:spPr>
            <a:xfrm>
              <a:off x="15847981" y="44228226"/>
              <a:ext cx="1527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73" name="CuadroTexto 172">
              <a:extLst>
                <a:ext uri="{FF2B5EF4-FFF2-40B4-BE49-F238E27FC236}">
                  <a16:creationId xmlns:a16="http://schemas.microsoft.com/office/drawing/2014/main" id="{1C03DA6A-7142-451E-8E0A-D43275D21C98}"/>
                </a:ext>
              </a:extLst>
            </xdr:cNvPr>
            <xdr:cNvSpPr txBox="1"/>
          </xdr:nvSpPr>
          <xdr:spPr>
            <a:xfrm>
              <a:off x="15847981" y="44228226"/>
              <a:ext cx="1527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𝑓_0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404812</xdr:colOff>
      <xdr:row>222</xdr:row>
      <xdr:rowOff>42862</xdr:rowOff>
    </xdr:from>
    <xdr:ext cx="2207336" cy="1910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4" name="CuadroTexto 173">
              <a:extLst>
                <a:ext uri="{FF2B5EF4-FFF2-40B4-BE49-F238E27FC236}">
                  <a16:creationId xmlns:a16="http://schemas.microsoft.com/office/drawing/2014/main" id="{00000000-0008-0000-0200-0000AE000000}"/>
                </a:ext>
              </a:extLst>
            </xdr:cNvPr>
            <xdr:cNvSpPr txBox="1"/>
          </xdr:nvSpPr>
          <xdr:spPr>
            <a:xfrm>
              <a:off x="15216187" y="43010137"/>
              <a:ext cx="2207336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𝑚𝑎𝑥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2,0</m:t>
                                </m:r>
                              </m:sub>
                            </m:s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1,0</m:t>
                                </m:r>
                              </m:sub>
                            </m:sSub>
                          </m:e>
                        </m:d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;</m:t>
                        </m:r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</m:e>
                        </m:d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74" name="CuadroTexto 173">
              <a:extLst>
                <a:ext uri="{FF2B5EF4-FFF2-40B4-BE49-F238E27FC236}">
                  <a16:creationId xmlns:a16="http://schemas.microsoft.com/office/drawing/2014/main" id="{77E39EBF-968D-4630-9851-1D4929035B80}"/>
                </a:ext>
              </a:extLst>
            </xdr:cNvPr>
            <xdr:cNvSpPr txBox="1"/>
          </xdr:nvSpPr>
          <xdr:spPr>
            <a:xfrm>
              <a:off x="15216187" y="43010137"/>
              <a:ext cx="2207336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𝑓_0=𝑚𝑎𝑥{|𝑋_2,0−𝑋_1,0 |;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|𝑋_4,0−𝑋_3,0 |}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8</xdr:col>
      <xdr:colOff>171450</xdr:colOff>
      <xdr:row>224</xdr:row>
      <xdr:rowOff>9525</xdr:rowOff>
    </xdr:from>
    <xdr:ext cx="1249394" cy="469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5" name="CuadroTexto 174">
              <a:extLst>
                <a:ext uri="{FF2B5EF4-FFF2-40B4-BE49-F238E27FC236}">
                  <a16:creationId xmlns:a16="http://schemas.microsoft.com/office/drawing/2014/main" id="{00000000-0008-0000-0200-0000AF000000}"/>
                </a:ext>
              </a:extLst>
            </xdr:cNvPr>
            <xdr:cNvSpPr txBox="1"/>
          </xdr:nvSpPr>
          <xdr:spPr>
            <a:xfrm>
              <a:off x="9210675" y="43367325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histeris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r>
                    <a:rPr lang="es-CO" sz="1000" b="0" i="1" baseline="0">
                      <a:latin typeface="Cambria Math" panose="02040503050406030204" pitchFamily="18" charset="0"/>
                    </a:rPr>
                    <m:t>h</m:t>
                  </m:r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175" name="CuadroTexto 174">
              <a:extLst>
                <a:ext uri="{FF2B5EF4-FFF2-40B4-BE49-F238E27FC236}">
                  <a16:creationId xmlns:a16="http://schemas.microsoft.com/office/drawing/2014/main" id="{E91333B1-1B69-40EC-939E-03845C7CFC51}"/>
                </a:ext>
              </a:extLst>
            </xdr:cNvPr>
            <xdr:cNvSpPr txBox="1"/>
          </xdr:nvSpPr>
          <xdr:spPr>
            <a:xfrm>
              <a:off x="9210675" y="43367325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histeris</a:t>
              </a:r>
            </a:p>
            <a:p>
              <a:r>
                <a:rPr lang="es-CO" sz="1000" baseline="0"/>
                <a:t>                </a:t>
              </a:r>
              <a:r>
                <a:rPr lang="es-CO" sz="1000" b="0" i="0" baseline="0">
                  <a:latin typeface="Cambria Math" panose="02040503050406030204" pitchFamily="18" charset="0"/>
                </a:rPr>
                <a:t>ℎ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8</xdr:col>
      <xdr:colOff>28575</xdr:colOff>
      <xdr:row>221</xdr:row>
      <xdr:rowOff>0</xdr:rowOff>
    </xdr:from>
    <xdr:ext cx="1285929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CuadroTexto 175">
              <a:extLst>
                <a:ext uri="{FF2B5EF4-FFF2-40B4-BE49-F238E27FC236}">
                  <a16:creationId xmlns:a16="http://schemas.microsoft.com/office/drawing/2014/main" id="{00000000-0008-0000-0200-0000B0000000}"/>
                </a:ext>
              </a:extLst>
            </xdr:cNvPr>
            <xdr:cNvSpPr txBox="1"/>
          </xdr:nvSpPr>
          <xdr:spPr>
            <a:xfrm>
              <a:off x="9067800" y="42767250"/>
              <a:ext cx="128592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h𝑖𝑠𝑡𝑒𝑟𝑖𝑠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h</m:t>
                                    </m:r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76" name="CuadroTexto 175">
              <a:extLst>
                <a:ext uri="{FF2B5EF4-FFF2-40B4-BE49-F238E27FC236}">
                  <a16:creationId xmlns:a16="http://schemas.microsoft.com/office/drawing/2014/main" id="{56B01E0A-F9EB-4516-87F3-8B9E4433A554}"/>
                </a:ext>
              </a:extLst>
            </xdr:cNvPr>
            <xdr:cNvSpPr txBox="1"/>
          </xdr:nvSpPr>
          <xdr:spPr>
            <a:xfrm>
              <a:off x="9067800" y="42767250"/>
              <a:ext cx="128592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𝑃_ℎ𝑖𝑠𝑡𝑒𝑟𝑖𝑠=√(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(ℎ/2)〗^2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177" name="CuadroTexto 17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 txBox="1"/>
      </xdr:nvSpPr>
      <xdr:spPr>
        <a:xfrm>
          <a:off x="5065681" y="4471400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</xdr:col>
      <xdr:colOff>100012</xdr:colOff>
      <xdr:row>234</xdr:row>
      <xdr:rowOff>52387</xdr:rowOff>
    </xdr:from>
    <xdr:ext cx="1386983" cy="6585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8" name="CuadroTexto 177">
              <a:extLst>
                <a:ext uri="{FF2B5EF4-FFF2-40B4-BE49-F238E27FC236}">
                  <a16:creationId xmlns:a16="http://schemas.microsoft.com/office/drawing/2014/main" id="{00000000-0008-0000-0200-0000B2000000}"/>
                </a:ext>
              </a:extLst>
            </xdr:cNvPr>
            <xdr:cNvSpPr txBox="1"/>
          </xdr:nvSpPr>
          <xdr:spPr>
            <a:xfrm>
              <a:off x="1966912" y="46391512"/>
              <a:ext cx="138698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nary>
                          <m:naryPr>
                            <m:chr m:val="∑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sup>
                          <m:e>
                            <m:sSup>
                              <m:sSup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𝑐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∗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𝜇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(</m:t>
                                    </m:r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78" name="CuadroTexto 177">
              <a:extLst>
                <a:ext uri="{FF2B5EF4-FFF2-40B4-BE49-F238E27FC236}">
                  <a16:creationId xmlns:a16="http://schemas.microsoft.com/office/drawing/2014/main" id="{617195C8-3AD2-4640-8EFD-F96A6A644745}"/>
                </a:ext>
              </a:extLst>
            </xdr:cNvPr>
            <xdr:cNvSpPr txBox="1"/>
          </xdr:nvSpPr>
          <xdr:spPr>
            <a:xfrm>
              <a:off x="1966912" y="46391512"/>
              <a:ext cx="138698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𝑐=√(∑_(𝑖=1)^𝑁▒〖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(𝑐_𝑖∗𝜇(𝑥_𝑖 ))〗^</a:t>
              </a:r>
              <a:r>
                <a:rPr lang="es-CO" sz="1100" b="0" i="0">
                  <a:latin typeface="Cambria Math" panose="02040503050406030204" pitchFamily="18" charset="0"/>
                </a:rPr>
                <a:t>2 )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214312</xdr:colOff>
      <xdr:row>221</xdr:row>
      <xdr:rowOff>166687</xdr:rowOff>
    </xdr:from>
    <xdr:ext cx="90601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9" name="CuadroTexto 178">
              <a:extLst>
                <a:ext uri="{FF2B5EF4-FFF2-40B4-BE49-F238E27FC236}">
                  <a16:creationId xmlns:a16="http://schemas.microsoft.com/office/drawing/2014/main" id="{00000000-0008-0000-0200-0000B3000000}"/>
                </a:ext>
              </a:extLst>
            </xdr:cNvPr>
            <xdr:cNvSpPr txBox="1"/>
          </xdr:nvSpPr>
          <xdr:spPr>
            <a:xfrm>
              <a:off x="3605212" y="42933937"/>
              <a:ext cx="9060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𝑃𝑎𝑡𝑟𝑜𝑛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/2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79" name="CuadroTexto 178">
              <a:extLst>
                <a:ext uri="{FF2B5EF4-FFF2-40B4-BE49-F238E27FC236}">
                  <a16:creationId xmlns:a16="http://schemas.microsoft.com/office/drawing/2014/main" id="{1C2D5E74-7B3D-4117-83DD-D7219E53B11A}"/>
                </a:ext>
              </a:extLst>
            </xdr:cNvPr>
            <xdr:cNvSpPr txBox="1"/>
          </xdr:nvSpPr>
          <xdr:spPr>
            <a:xfrm>
              <a:off x="3605212" y="42933937"/>
              <a:ext cx="9060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𝑃𝑎𝑡𝑟𝑜𝑛=𝑈/2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71436</xdr:colOff>
      <xdr:row>238</xdr:row>
      <xdr:rowOff>157162</xdr:rowOff>
    </xdr:from>
    <xdr:ext cx="1395413" cy="51834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0" name="CuadroTexto 179">
              <a:extLst>
                <a:ext uri="{FF2B5EF4-FFF2-40B4-BE49-F238E27FC236}">
                  <a16:creationId xmlns:a16="http://schemas.microsoft.com/office/drawing/2014/main" id="{00000000-0008-0000-0200-0000B4000000}"/>
                </a:ext>
              </a:extLst>
            </xdr:cNvPr>
            <xdr:cNvSpPr txBox="1"/>
          </xdr:nvSpPr>
          <xdr:spPr>
            <a:xfrm>
              <a:off x="1938336" y="47258287"/>
              <a:ext cx="1395413" cy="518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𝑒𝑓𝑓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e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num>
                      <m:den>
                        <m:nary>
                          <m:naryPr>
                            <m:chr m:val="∑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f>
                              <m:f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es-CO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𝜇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4</m:t>
                                    </m:r>
                                  </m:sup>
                                </m:sSup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𝑣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den>
                            </m:f>
                          </m:e>
                        </m:nary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80" name="CuadroTexto 179">
              <a:extLst>
                <a:ext uri="{FF2B5EF4-FFF2-40B4-BE49-F238E27FC236}">
                  <a16:creationId xmlns:a16="http://schemas.microsoft.com/office/drawing/2014/main" id="{EE1A39C3-6F27-48C5-9E6D-3C6D13569B84}"/>
                </a:ext>
              </a:extLst>
            </xdr:cNvPr>
            <xdr:cNvSpPr txBox="1"/>
          </xdr:nvSpPr>
          <xdr:spPr>
            <a:xfrm>
              <a:off x="1938336" y="47258287"/>
              <a:ext cx="1395413" cy="518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𝑣_𝑒𝑓𝑓=〖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𝑐〗^4/(∑_(𝑖=1)^𝑛▒(〖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𝑖〗^4 (𝑥_𝑖))/𝑣_𝑖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690562</xdr:colOff>
      <xdr:row>231</xdr:row>
      <xdr:rowOff>80962</xdr:rowOff>
    </xdr:from>
    <xdr:ext cx="1527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1" name="CuadroTexto 180">
              <a:extLst>
                <a:ext uri="{FF2B5EF4-FFF2-40B4-BE49-F238E27FC236}">
                  <a16:creationId xmlns:a16="http://schemas.microsoft.com/office/drawing/2014/main" id="{00000000-0008-0000-0200-0000B5000000}"/>
                </a:ext>
              </a:extLst>
            </xdr:cNvPr>
            <xdr:cNvSpPr txBox="1"/>
          </xdr:nvSpPr>
          <xdr:spPr>
            <a:xfrm>
              <a:off x="2557462" y="45086587"/>
              <a:ext cx="152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81" name="CuadroTexto 180">
              <a:extLst>
                <a:ext uri="{FF2B5EF4-FFF2-40B4-BE49-F238E27FC236}">
                  <a16:creationId xmlns:a16="http://schemas.microsoft.com/office/drawing/2014/main" id="{B0B941A6-A361-411A-8BE5-9341C1FBB939}"/>
                </a:ext>
              </a:extLst>
            </xdr:cNvPr>
            <xdr:cNvSpPr txBox="1"/>
          </xdr:nvSpPr>
          <xdr:spPr>
            <a:xfrm>
              <a:off x="2557462" y="45086587"/>
              <a:ext cx="152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𝑣_𝑖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338137</xdr:colOff>
      <xdr:row>233</xdr:row>
      <xdr:rowOff>519112</xdr:rowOff>
    </xdr:from>
    <xdr:ext cx="2236831" cy="2027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2" name="CuadroTexto 181">
              <a:extLst>
                <a:ext uri="{FF2B5EF4-FFF2-40B4-BE49-F238E27FC236}">
                  <a16:creationId xmlns:a16="http://schemas.microsoft.com/office/drawing/2014/main" id="{00000000-0008-0000-0200-0000B6000000}"/>
                </a:ext>
              </a:extLst>
            </xdr:cNvPr>
            <xdr:cNvSpPr txBox="1"/>
          </xdr:nvSpPr>
          <xdr:spPr>
            <a:xfrm>
              <a:off x="15149512" y="46286737"/>
              <a:ext cx="2236831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𝑎𝑠𝑐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3,0)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1,0)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82" name="CuadroTexto 181">
              <a:extLst>
                <a:ext uri="{FF2B5EF4-FFF2-40B4-BE49-F238E27FC236}">
                  <a16:creationId xmlns:a16="http://schemas.microsoft.com/office/drawing/2014/main" id="{4D3736FD-6D67-4BF2-B632-7C98131ECEFE}"/>
                </a:ext>
              </a:extLst>
            </xdr:cNvPr>
            <xdr:cNvSpPr txBox="1"/>
          </xdr:nvSpPr>
          <xdr:spPr>
            <a:xfrm>
              <a:off x="15149512" y="46286737"/>
              <a:ext cx="2236831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𝑏^′〗_(</a:t>
              </a:r>
              <a:r>
                <a:rPr lang="es-CO" sz="1100" b="0" i="0">
                  <a:latin typeface="Cambria Math" panose="02040503050406030204" pitchFamily="18" charset="0"/>
                </a:rPr>
                <a:t>𝑎𝑠𝑐,𝑗)=|(𝑥_(3,𝑗)−𝑥_(3,0))−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(𝑥_(1,𝑗)−𝑥_(1,0)) |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342900</xdr:colOff>
      <xdr:row>235</xdr:row>
      <xdr:rowOff>66675</xdr:rowOff>
    </xdr:from>
    <xdr:ext cx="2218749" cy="2027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3" name="CuadroTexto 182">
              <a:extLst>
                <a:ext uri="{FF2B5EF4-FFF2-40B4-BE49-F238E27FC236}">
                  <a16:creationId xmlns:a16="http://schemas.microsoft.com/office/drawing/2014/main" id="{00000000-0008-0000-0200-0000B7000000}"/>
                </a:ext>
              </a:extLst>
            </xdr:cNvPr>
            <xdr:cNvSpPr txBox="1"/>
          </xdr:nvSpPr>
          <xdr:spPr>
            <a:xfrm>
              <a:off x="15154275" y="46596300"/>
              <a:ext cx="2218749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𝑑𝑒𝑠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4,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3,0)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1,0)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83" name="CuadroTexto 182">
              <a:extLst>
                <a:ext uri="{FF2B5EF4-FFF2-40B4-BE49-F238E27FC236}">
                  <a16:creationId xmlns:a16="http://schemas.microsoft.com/office/drawing/2014/main" id="{EA6885EF-FEB4-4A99-A572-FC8F4AA87164}"/>
                </a:ext>
              </a:extLst>
            </xdr:cNvPr>
            <xdr:cNvSpPr txBox="1"/>
          </xdr:nvSpPr>
          <xdr:spPr>
            <a:xfrm>
              <a:off x="15154275" y="46596300"/>
              <a:ext cx="2218749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𝑏^′〗_(</a:t>
              </a:r>
              <a:r>
                <a:rPr lang="es-CO" sz="1100" b="0" i="0">
                  <a:latin typeface="Cambria Math" panose="02040503050406030204" pitchFamily="18" charset="0"/>
                </a:rPr>
                <a:t>𝑑𝑒𝑠,𝑗)=|(𝑥_(4,𝑗)−𝑥_(3,0))−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(𝑥_(2,𝑗)−𝑥_(1,0)) |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314325</xdr:colOff>
      <xdr:row>236</xdr:row>
      <xdr:rowOff>180975</xdr:rowOff>
    </xdr:from>
    <xdr:ext cx="1793055" cy="2024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4" name="CuadroTexto 183">
              <a:extLst>
                <a:ext uri="{FF2B5EF4-FFF2-40B4-BE49-F238E27FC236}">
                  <a16:creationId xmlns:a16="http://schemas.microsoft.com/office/drawing/2014/main" id="{00000000-0008-0000-0200-0000B8000000}"/>
                </a:ext>
              </a:extLst>
            </xdr:cNvPr>
            <xdr:cNvSpPr txBox="1"/>
          </xdr:nvSpPr>
          <xdr:spPr>
            <a:xfrm>
              <a:off x="15125700" y="46901100"/>
              <a:ext cx="1793055" cy="2024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𝑚𝑒𝑑𝑖𝑜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CO" sz="1100" b="0" i="0">
                        <a:latin typeface="Cambria Math" panose="02040503050406030204" pitchFamily="18" charset="0"/>
                      </a:rPr>
                      <m:t>max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𝑎𝑠𝑐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; </m:t>
                        </m:r>
                        <m:sSub>
                          <m:sSub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𝑑𝑒𝑠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84" name="CuadroTexto 183">
              <a:extLst>
                <a:ext uri="{FF2B5EF4-FFF2-40B4-BE49-F238E27FC236}">
                  <a16:creationId xmlns:a16="http://schemas.microsoft.com/office/drawing/2014/main" id="{6E7E02BA-FB98-455A-A412-5E9479960EF3}"/>
                </a:ext>
              </a:extLst>
            </xdr:cNvPr>
            <xdr:cNvSpPr txBox="1"/>
          </xdr:nvSpPr>
          <xdr:spPr>
            <a:xfrm>
              <a:off x="15125700" y="46901100"/>
              <a:ext cx="1793055" cy="2024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</a:t>
              </a:r>
              <a:r>
                <a:rPr lang="es-CO" sz="1100" b="0" i="0">
                  <a:latin typeface="Cambria Math" panose="02040503050406030204" pitchFamily="18" charset="0"/>
                </a:rPr>
                <a:t>𝑚𝑒𝑑𝑖𝑜=max{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〖𝑏^′〗_(𝑎𝑠𝑐,𝑗); 〖𝑏^′〗_(𝑑𝑒𝑠,𝑗) 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57150</xdr:colOff>
      <xdr:row>241</xdr:row>
      <xdr:rowOff>19050</xdr:rowOff>
    </xdr:from>
    <xdr:ext cx="4006546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5" name="CuadroTexto 184">
              <a:extLst>
                <a:ext uri="{FF2B5EF4-FFF2-40B4-BE49-F238E27FC236}">
                  <a16:creationId xmlns:a16="http://schemas.microsoft.com/office/drawing/2014/main" id="{00000000-0008-0000-0200-0000B9000000}"/>
                </a:ext>
              </a:extLst>
            </xdr:cNvPr>
            <xdr:cNvSpPr txBox="1"/>
          </xdr:nvSpPr>
          <xdr:spPr>
            <a:xfrm>
              <a:off x="14868525" y="47691675"/>
              <a:ext cx="400654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2,</m:t>
                                </m:r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d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d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85" name="CuadroTexto 184">
              <a:extLst>
                <a:ext uri="{FF2B5EF4-FFF2-40B4-BE49-F238E27FC236}">
                  <a16:creationId xmlns:a16="http://schemas.microsoft.com/office/drawing/2014/main" id="{B273DF52-3D77-4139-8158-B96C693F08B8}"/>
                </a:ext>
              </a:extLst>
            </xdr:cNvPr>
            <xdr:cNvSpPr txBox="1"/>
          </xdr:nvSpPr>
          <xdr:spPr>
            <a:xfrm>
              <a:off x="14868525" y="47691675"/>
              <a:ext cx="400654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ℎ=1/𝑛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×{|〖(𝑋〗_(2,𝑗)−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𝑋_1,0)−〖(𝑋〗_(1,𝑗)−𝑋_1,0)|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|〖(𝑋〗_(4,𝑗)−𝑋_3,0)−〖(𝑋〗_(3,𝑗)−𝑋_3,0)|}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452437</xdr:colOff>
      <xdr:row>243</xdr:row>
      <xdr:rowOff>166687</xdr:rowOff>
    </xdr:from>
    <xdr:ext cx="66678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6" name="CuadroTexto 185">
              <a:extLst>
                <a:ext uri="{FF2B5EF4-FFF2-40B4-BE49-F238E27FC236}">
                  <a16:creationId xmlns:a16="http://schemas.microsoft.com/office/drawing/2014/main" id="{00000000-0008-0000-0200-0000BA000000}"/>
                </a:ext>
              </a:extLst>
            </xdr:cNvPr>
            <xdr:cNvSpPr txBox="1"/>
          </xdr:nvSpPr>
          <xdr:spPr>
            <a:xfrm>
              <a:off x="2319337" y="48220312"/>
              <a:ext cx="6667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𝑘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86" name="CuadroTexto 185">
              <a:extLst>
                <a:ext uri="{FF2B5EF4-FFF2-40B4-BE49-F238E27FC236}">
                  <a16:creationId xmlns:a16="http://schemas.microsoft.com/office/drawing/2014/main" id="{142266A2-5AE6-4A3A-B650-4A05D85E68B7}"/>
                </a:ext>
              </a:extLst>
            </xdr:cNvPr>
            <xdr:cNvSpPr txBox="1"/>
          </xdr:nvSpPr>
          <xdr:spPr>
            <a:xfrm>
              <a:off x="2319337" y="48220312"/>
              <a:ext cx="6667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𝑈=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𝑐∗𝑘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728662</xdr:colOff>
      <xdr:row>242</xdr:row>
      <xdr:rowOff>23812</xdr:rowOff>
    </xdr:from>
    <xdr:ext cx="11381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7" name="CuadroTexto 186">
              <a:extLst>
                <a:ext uri="{FF2B5EF4-FFF2-40B4-BE49-F238E27FC236}">
                  <a16:creationId xmlns:a16="http://schemas.microsoft.com/office/drawing/2014/main" id="{00000000-0008-0000-0200-0000BB000000}"/>
                </a:ext>
              </a:extLst>
            </xdr:cNvPr>
            <xdr:cNvSpPr txBox="1"/>
          </xdr:nvSpPr>
          <xdr:spPr>
            <a:xfrm>
              <a:off x="2595562" y="47886937"/>
              <a:ext cx="1138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𝑘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87" name="CuadroTexto 186">
              <a:extLst>
                <a:ext uri="{FF2B5EF4-FFF2-40B4-BE49-F238E27FC236}">
                  <a16:creationId xmlns:a16="http://schemas.microsoft.com/office/drawing/2014/main" id="{B33005A8-BCC5-4E9A-8C08-46518C631F66}"/>
                </a:ext>
              </a:extLst>
            </xdr:cNvPr>
            <xdr:cNvSpPr txBox="1"/>
          </xdr:nvSpPr>
          <xdr:spPr>
            <a:xfrm>
              <a:off x="2595562" y="47886937"/>
              <a:ext cx="1138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𝑘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6</xdr:col>
      <xdr:colOff>131732</xdr:colOff>
      <xdr:row>255</xdr:row>
      <xdr:rowOff>3651</xdr:rowOff>
    </xdr:from>
    <xdr:ext cx="1249394" cy="469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8" name="CuadroTexto 187">
              <a:extLst>
                <a:ext uri="{FF2B5EF4-FFF2-40B4-BE49-F238E27FC236}">
                  <a16:creationId xmlns:a16="http://schemas.microsoft.com/office/drawing/2014/main" id="{00000000-0008-0000-0200-0000BC000000}"/>
                </a:ext>
              </a:extLst>
            </xdr:cNvPr>
            <xdr:cNvSpPr txBox="1"/>
          </xdr:nvSpPr>
          <xdr:spPr>
            <a:xfrm>
              <a:off x="6180107" y="50362326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porDesviacion</a:t>
              </a:r>
              <a:r>
                <a:rPr lang="es-CO" sz="1000" baseline="0"/>
                <a:t> del cero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100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CO" sz="1000" b="0" i="1" baseline="0"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s-CO" sz="10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188" name="CuadroTexto 187">
              <a:extLst>
                <a:ext uri="{FF2B5EF4-FFF2-40B4-BE49-F238E27FC236}">
                  <a16:creationId xmlns:a16="http://schemas.microsoft.com/office/drawing/2014/main" id="{8B8039A2-A6A0-4079-8202-1B2F8DB1FCE1}"/>
                </a:ext>
              </a:extLst>
            </xdr:cNvPr>
            <xdr:cNvSpPr txBox="1"/>
          </xdr:nvSpPr>
          <xdr:spPr>
            <a:xfrm>
              <a:off x="6180107" y="50362326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porDesviacion</a:t>
              </a:r>
              <a:r>
                <a:rPr lang="es-CO" sz="1000" baseline="0"/>
                <a:t> del cero</a:t>
              </a:r>
            </a:p>
            <a:p>
              <a:r>
                <a:rPr lang="es-CO" sz="1000" baseline="0"/>
                <a:t>                </a:t>
              </a:r>
              <a:r>
                <a:rPr lang="es-CO" sz="1000" b="0" i="0" baseline="0">
                  <a:latin typeface="Cambria Math" panose="02040503050406030204" pitchFamily="18" charset="0"/>
                </a:rPr>
                <a:t>𝑓_0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5</xdr:col>
      <xdr:colOff>42862</xdr:colOff>
      <xdr:row>252</xdr:row>
      <xdr:rowOff>42862</xdr:rowOff>
    </xdr:from>
    <xdr:ext cx="12474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9" name="CuadroTexto 188">
              <a:extLst>
                <a:ext uri="{FF2B5EF4-FFF2-40B4-BE49-F238E27FC236}">
                  <a16:creationId xmlns:a16="http://schemas.microsoft.com/office/drawing/2014/main" id="{00000000-0008-0000-0200-0000BD000000}"/>
                </a:ext>
              </a:extLst>
            </xdr:cNvPr>
            <xdr:cNvSpPr txBox="1"/>
          </xdr:nvSpPr>
          <xdr:spPr>
            <a:xfrm>
              <a:off x="4710112" y="49810987"/>
              <a:ext cx="12474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𝑖𝑛𝑑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𝑟</m:t>
                                    </m:r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89" name="CuadroTexto 188">
              <a:extLst>
                <a:ext uri="{FF2B5EF4-FFF2-40B4-BE49-F238E27FC236}">
                  <a16:creationId xmlns:a16="http://schemas.microsoft.com/office/drawing/2014/main" id="{BDD57147-DF8D-4D48-BB52-8EBEF24BE18C}"/>
                </a:ext>
              </a:extLst>
            </xdr:cNvPr>
            <xdr:cNvSpPr txBox="1"/>
          </xdr:nvSpPr>
          <xdr:spPr>
            <a:xfrm>
              <a:off x="4710112" y="49810987"/>
              <a:ext cx="12474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𝑃_(𝑖𝑛𝑑 𝑟)=√(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(2𝑟/2)〗^2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252</xdr:row>
      <xdr:rowOff>0</xdr:rowOff>
    </xdr:from>
    <xdr:ext cx="1412823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0" name="CuadroTexto 189">
              <a:extLst>
                <a:ext uri="{FF2B5EF4-FFF2-40B4-BE49-F238E27FC236}">
                  <a16:creationId xmlns:a16="http://schemas.microsoft.com/office/drawing/2014/main" id="{00000000-0008-0000-0200-0000BE000000}"/>
                </a:ext>
              </a:extLst>
            </xdr:cNvPr>
            <xdr:cNvSpPr txBox="1"/>
          </xdr:nvSpPr>
          <xdr:spPr>
            <a:xfrm>
              <a:off x="6048375" y="49768125"/>
              <a:ext cx="141282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𝑑𝑒𝑠𝑣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𝑐𝑒𝑟𝑜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𝑓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0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90" name="CuadroTexto 189">
              <a:extLst>
                <a:ext uri="{FF2B5EF4-FFF2-40B4-BE49-F238E27FC236}">
                  <a16:creationId xmlns:a16="http://schemas.microsoft.com/office/drawing/2014/main" id="{BA11FB73-A20F-4702-8976-35D988844CD4}"/>
                </a:ext>
              </a:extLst>
            </xdr:cNvPr>
            <xdr:cNvSpPr txBox="1"/>
          </xdr:nvSpPr>
          <xdr:spPr>
            <a:xfrm>
              <a:off x="6048375" y="49768125"/>
              <a:ext cx="141282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𝑃_(𝑑𝑒𝑠𝑣 𝑐𝑒𝑟𝑜)=√(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(𝑓_0/2)〗^2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152400</xdr:colOff>
      <xdr:row>255</xdr:row>
      <xdr:rowOff>9525</xdr:rowOff>
    </xdr:from>
    <xdr:ext cx="1110240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1" name="CuadroTexto 190">
              <a:extLst>
                <a:ext uri="{FF2B5EF4-FFF2-40B4-BE49-F238E27FC236}">
                  <a16:creationId xmlns:a16="http://schemas.microsoft.com/office/drawing/2014/main" id="{00000000-0008-0000-0200-0000BF000000}"/>
                </a:ext>
              </a:extLst>
            </xdr:cNvPr>
            <xdr:cNvSpPr txBox="1"/>
          </xdr:nvSpPr>
          <xdr:spPr>
            <a:xfrm>
              <a:off x="15725775" y="50368200"/>
              <a:ext cx="111024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/>
                <a:t>Desviacion</a:t>
              </a:r>
              <a:r>
                <a:rPr lang="es-CO" sz="1100" baseline="0"/>
                <a:t> del cero</a:t>
              </a:r>
            </a:p>
            <a:p>
              <a:r>
                <a:rPr lang="es-CO" sz="1100" baseline="0"/>
                <a:t>               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110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CO" sz="1100" b="0" i="1" baseline="0"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s-CO" sz="11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endParaRPr lang="es-CO" sz="1100"/>
            </a:p>
          </xdr:txBody>
        </xdr:sp>
      </mc:Choice>
      <mc:Fallback xmlns="">
        <xdr:sp macro="" textlink="">
          <xdr:nvSpPr>
            <xdr:cNvPr id="191" name="CuadroTexto 190">
              <a:extLst>
                <a:ext uri="{FF2B5EF4-FFF2-40B4-BE49-F238E27FC236}">
                  <a16:creationId xmlns:a16="http://schemas.microsoft.com/office/drawing/2014/main" id="{37743D4A-2121-42DD-9C5B-F0A4A26F2C74}"/>
                </a:ext>
              </a:extLst>
            </xdr:cNvPr>
            <xdr:cNvSpPr txBox="1"/>
          </xdr:nvSpPr>
          <xdr:spPr>
            <a:xfrm>
              <a:off x="15725775" y="50368200"/>
              <a:ext cx="111024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/>
                <a:t>Desviacion</a:t>
              </a:r>
              <a:r>
                <a:rPr lang="es-CO" sz="1100" baseline="0"/>
                <a:t> del cero</a:t>
              </a:r>
            </a:p>
            <a:p>
              <a:r>
                <a:rPr lang="es-CO" sz="1100" baseline="0"/>
                <a:t>                </a:t>
              </a:r>
              <a:r>
                <a:rPr lang="es-CO" sz="1100" b="0" i="0" baseline="0">
                  <a:latin typeface="Cambria Math" panose="02040503050406030204" pitchFamily="18" charset="0"/>
                </a:rPr>
                <a:t>𝑓_0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23812</xdr:colOff>
      <xdr:row>256</xdr:row>
      <xdr:rowOff>14287</xdr:rowOff>
    </xdr:from>
    <xdr:ext cx="658385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2" name="CuadroTexto 191">
              <a:extLst>
                <a:ext uri="{FF2B5EF4-FFF2-40B4-BE49-F238E27FC236}">
                  <a16:creationId xmlns:a16="http://schemas.microsoft.com/office/drawing/2014/main" id="{00000000-0008-0000-0200-0000C0000000}"/>
                </a:ext>
              </a:extLst>
            </xdr:cNvPr>
            <xdr:cNvSpPr txBox="1"/>
          </xdr:nvSpPr>
          <xdr:spPr>
            <a:xfrm>
              <a:off x="15597187" y="50868262"/>
              <a:ext cx="65838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2,0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1,0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92" name="CuadroTexto 191">
              <a:extLst>
                <a:ext uri="{FF2B5EF4-FFF2-40B4-BE49-F238E27FC236}">
                  <a16:creationId xmlns:a16="http://schemas.microsoft.com/office/drawing/2014/main" id="{77361BF2-3E9A-49D2-B4E1-76A48F148CEE}"/>
                </a:ext>
              </a:extLst>
            </xdr:cNvPr>
            <xdr:cNvSpPr txBox="1"/>
          </xdr:nvSpPr>
          <xdr:spPr>
            <a:xfrm>
              <a:off x="15597187" y="50868262"/>
              <a:ext cx="65838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𝑋_2,0−𝑋_1,0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28575</xdr:colOff>
      <xdr:row>257</xdr:row>
      <xdr:rowOff>28575</xdr:rowOff>
    </xdr:from>
    <xdr:ext cx="661656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3" name="CuadroTexto 192">
              <a:extLst>
                <a:ext uri="{FF2B5EF4-FFF2-40B4-BE49-F238E27FC236}">
                  <a16:creationId xmlns:a16="http://schemas.microsoft.com/office/drawing/2014/main" id="{00000000-0008-0000-0200-0000C1000000}"/>
                </a:ext>
              </a:extLst>
            </xdr:cNvPr>
            <xdr:cNvSpPr txBox="1"/>
          </xdr:nvSpPr>
          <xdr:spPr>
            <a:xfrm>
              <a:off x="15601950" y="51073050"/>
              <a:ext cx="66165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4,0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3,0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93" name="CuadroTexto 192">
              <a:extLst>
                <a:ext uri="{FF2B5EF4-FFF2-40B4-BE49-F238E27FC236}">
                  <a16:creationId xmlns:a16="http://schemas.microsoft.com/office/drawing/2014/main" id="{EFBBCA12-66C6-4ED2-89BB-D94D2179D2C5}"/>
                </a:ext>
              </a:extLst>
            </xdr:cNvPr>
            <xdr:cNvSpPr txBox="1"/>
          </xdr:nvSpPr>
          <xdr:spPr>
            <a:xfrm>
              <a:off x="15601950" y="51073050"/>
              <a:ext cx="66165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𝑋_4,0−𝑋_3,0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7</xdr:col>
      <xdr:colOff>180975</xdr:colOff>
      <xdr:row>254</xdr:row>
      <xdr:rowOff>190500</xdr:rowOff>
    </xdr:from>
    <xdr:ext cx="1249394" cy="5021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4" name="CuadroTexto 193">
              <a:extLst>
                <a:ext uri="{FF2B5EF4-FFF2-40B4-BE49-F238E27FC236}">
                  <a16:creationId xmlns:a16="http://schemas.microsoft.com/office/drawing/2014/main" id="{00000000-0008-0000-0200-0000C2000000}"/>
                </a:ext>
              </a:extLst>
            </xdr:cNvPr>
            <xdr:cNvSpPr txBox="1"/>
          </xdr:nvSpPr>
          <xdr:spPr>
            <a:xfrm>
              <a:off x="7715250" y="50349150"/>
              <a:ext cx="1249394" cy="502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repetibilidad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sSup>
                    <m:sSupPr>
                      <m:ctrlPr>
                        <a:rPr lang="es-CO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s-CO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𝑏</m:t>
                      </m:r>
                    </m:e>
                    <m:sup>
                      <m:r>
                        <a:rPr lang="es-CO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′</m:t>
                      </m:r>
                    </m:sup>
                  </m:sSup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194" name="CuadroTexto 193">
              <a:extLst>
                <a:ext uri="{FF2B5EF4-FFF2-40B4-BE49-F238E27FC236}">
                  <a16:creationId xmlns:a16="http://schemas.microsoft.com/office/drawing/2014/main" id="{32987B74-3897-464F-B4EA-3E798C2CEC4E}"/>
                </a:ext>
              </a:extLst>
            </xdr:cNvPr>
            <xdr:cNvSpPr txBox="1"/>
          </xdr:nvSpPr>
          <xdr:spPr>
            <a:xfrm>
              <a:off x="7715250" y="50349150"/>
              <a:ext cx="1249394" cy="502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repetibilidad</a:t>
              </a:r>
            </a:p>
            <a:p>
              <a:r>
                <a:rPr lang="es-CO" sz="1000" baseline="0"/>
                <a:t>               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7</xdr:col>
      <xdr:colOff>76200</xdr:colOff>
      <xdr:row>252</xdr:row>
      <xdr:rowOff>9525</xdr:rowOff>
    </xdr:from>
    <xdr:ext cx="1250599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5" name="CuadroTexto 194">
              <a:extLst>
                <a:ext uri="{FF2B5EF4-FFF2-40B4-BE49-F238E27FC236}">
                  <a16:creationId xmlns:a16="http://schemas.microsoft.com/office/drawing/2014/main" id="{00000000-0008-0000-0200-0000C3000000}"/>
                </a:ext>
              </a:extLst>
            </xdr:cNvPr>
            <xdr:cNvSpPr txBox="1"/>
          </xdr:nvSpPr>
          <xdr:spPr>
            <a:xfrm>
              <a:off x="7610475" y="49777650"/>
              <a:ext cx="125059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𝑟𝑒𝑝𝑒𝑡𝑖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p>
                                      <m:sSup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𝑏</m:t>
                                        </m:r>
                                      </m:e>
                                      <m:sup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′</m:t>
                                        </m:r>
                                      </m:sup>
                                    </m:sSup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95" name="CuadroTexto 194">
              <a:extLst>
                <a:ext uri="{FF2B5EF4-FFF2-40B4-BE49-F238E27FC236}">
                  <a16:creationId xmlns:a16="http://schemas.microsoft.com/office/drawing/2014/main" id="{D3D32D79-6BA5-486B-97EA-F831EFB2FAB6}"/>
                </a:ext>
              </a:extLst>
            </xdr:cNvPr>
            <xdr:cNvSpPr txBox="1"/>
          </xdr:nvSpPr>
          <xdr:spPr>
            <a:xfrm>
              <a:off x="7610475" y="49777650"/>
              <a:ext cx="125059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𝑃_𝑟𝑒𝑝𝑒𝑡𝑖=√(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(𝑏^′/2)〗^2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274606</xdr:colOff>
      <xdr:row>257</xdr:row>
      <xdr:rowOff>184626</xdr:rowOff>
    </xdr:from>
    <xdr:ext cx="15279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6" name="CuadroTexto 195">
              <a:extLst>
                <a:ext uri="{FF2B5EF4-FFF2-40B4-BE49-F238E27FC236}">
                  <a16:creationId xmlns:a16="http://schemas.microsoft.com/office/drawing/2014/main" id="{00000000-0008-0000-0200-0000C4000000}"/>
                </a:ext>
              </a:extLst>
            </xdr:cNvPr>
            <xdr:cNvSpPr txBox="1"/>
          </xdr:nvSpPr>
          <xdr:spPr>
            <a:xfrm>
              <a:off x="15847981" y="51229101"/>
              <a:ext cx="1527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96" name="CuadroTexto 195">
              <a:extLst>
                <a:ext uri="{FF2B5EF4-FFF2-40B4-BE49-F238E27FC236}">
                  <a16:creationId xmlns:a16="http://schemas.microsoft.com/office/drawing/2014/main" id="{B9A73FFB-598A-4D52-83DC-2CE12D2B75D1}"/>
                </a:ext>
              </a:extLst>
            </xdr:cNvPr>
            <xdr:cNvSpPr txBox="1"/>
          </xdr:nvSpPr>
          <xdr:spPr>
            <a:xfrm>
              <a:off x="15847981" y="51229101"/>
              <a:ext cx="1527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𝑓_0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404812</xdr:colOff>
      <xdr:row>253</xdr:row>
      <xdr:rowOff>42862</xdr:rowOff>
    </xdr:from>
    <xdr:ext cx="2207336" cy="1910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7" name="CuadroTexto 196">
              <a:extLst>
                <a:ext uri="{FF2B5EF4-FFF2-40B4-BE49-F238E27FC236}">
                  <a16:creationId xmlns:a16="http://schemas.microsoft.com/office/drawing/2014/main" id="{00000000-0008-0000-0200-0000C5000000}"/>
                </a:ext>
              </a:extLst>
            </xdr:cNvPr>
            <xdr:cNvSpPr txBox="1"/>
          </xdr:nvSpPr>
          <xdr:spPr>
            <a:xfrm>
              <a:off x="15216187" y="50011012"/>
              <a:ext cx="2207336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𝑚𝑎𝑥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2,0</m:t>
                                </m:r>
                              </m:sub>
                            </m:s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1,0</m:t>
                                </m:r>
                              </m:sub>
                            </m:sSub>
                          </m:e>
                        </m:d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;</m:t>
                        </m:r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</m:e>
                        </m:d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97" name="CuadroTexto 196">
              <a:extLst>
                <a:ext uri="{FF2B5EF4-FFF2-40B4-BE49-F238E27FC236}">
                  <a16:creationId xmlns:a16="http://schemas.microsoft.com/office/drawing/2014/main" id="{23AE4264-822A-4D7B-8134-AEA497DD26F0}"/>
                </a:ext>
              </a:extLst>
            </xdr:cNvPr>
            <xdr:cNvSpPr txBox="1"/>
          </xdr:nvSpPr>
          <xdr:spPr>
            <a:xfrm>
              <a:off x="15216187" y="50011012"/>
              <a:ext cx="2207336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𝑓_0=𝑚𝑎𝑥{|𝑋_2,0−𝑋_1,0 |;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|𝑋_4,0−𝑋_3,0 |}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8</xdr:col>
      <xdr:colOff>171450</xdr:colOff>
      <xdr:row>255</xdr:row>
      <xdr:rowOff>9525</xdr:rowOff>
    </xdr:from>
    <xdr:ext cx="1249394" cy="469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8" name="CuadroTexto 197">
              <a:extLst>
                <a:ext uri="{FF2B5EF4-FFF2-40B4-BE49-F238E27FC236}">
                  <a16:creationId xmlns:a16="http://schemas.microsoft.com/office/drawing/2014/main" id="{00000000-0008-0000-0200-0000C6000000}"/>
                </a:ext>
              </a:extLst>
            </xdr:cNvPr>
            <xdr:cNvSpPr txBox="1"/>
          </xdr:nvSpPr>
          <xdr:spPr>
            <a:xfrm>
              <a:off x="9210675" y="50368200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histeris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r>
                    <a:rPr lang="es-CO" sz="1000" b="0" i="1" baseline="0">
                      <a:latin typeface="Cambria Math" panose="02040503050406030204" pitchFamily="18" charset="0"/>
                    </a:rPr>
                    <m:t>h</m:t>
                  </m:r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198" name="CuadroTexto 197">
              <a:extLst>
                <a:ext uri="{FF2B5EF4-FFF2-40B4-BE49-F238E27FC236}">
                  <a16:creationId xmlns:a16="http://schemas.microsoft.com/office/drawing/2014/main" id="{FEA5F9DA-3BC2-416A-905A-9697E5F12883}"/>
                </a:ext>
              </a:extLst>
            </xdr:cNvPr>
            <xdr:cNvSpPr txBox="1"/>
          </xdr:nvSpPr>
          <xdr:spPr>
            <a:xfrm>
              <a:off x="9210675" y="50368200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histeris</a:t>
              </a:r>
            </a:p>
            <a:p>
              <a:r>
                <a:rPr lang="es-CO" sz="1000" baseline="0"/>
                <a:t>                </a:t>
              </a:r>
              <a:r>
                <a:rPr lang="es-CO" sz="1000" b="0" i="0" baseline="0">
                  <a:latin typeface="Cambria Math" panose="02040503050406030204" pitchFamily="18" charset="0"/>
                </a:rPr>
                <a:t>ℎ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8</xdr:col>
      <xdr:colOff>28575</xdr:colOff>
      <xdr:row>252</xdr:row>
      <xdr:rowOff>0</xdr:rowOff>
    </xdr:from>
    <xdr:ext cx="1285929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9" name="CuadroTexto 198">
              <a:extLst>
                <a:ext uri="{FF2B5EF4-FFF2-40B4-BE49-F238E27FC236}">
                  <a16:creationId xmlns:a16="http://schemas.microsoft.com/office/drawing/2014/main" id="{00000000-0008-0000-0200-0000C7000000}"/>
                </a:ext>
              </a:extLst>
            </xdr:cNvPr>
            <xdr:cNvSpPr txBox="1"/>
          </xdr:nvSpPr>
          <xdr:spPr>
            <a:xfrm>
              <a:off x="9067800" y="49768125"/>
              <a:ext cx="128592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h𝑖𝑠𝑡𝑒𝑟𝑖𝑠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h</m:t>
                                    </m:r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99" name="CuadroTexto 198">
              <a:extLst>
                <a:ext uri="{FF2B5EF4-FFF2-40B4-BE49-F238E27FC236}">
                  <a16:creationId xmlns:a16="http://schemas.microsoft.com/office/drawing/2014/main" id="{A871DFB2-E7E6-4369-8DAA-44E92061379B}"/>
                </a:ext>
              </a:extLst>
            </xdr:cNvPr>
            <xdr:cNvSpPr txBox="1"/>
          </xdr:nvSpPr>
          <xdr:spPr>
            <a:xfrm>
              <a:off x="9067800" y="49768125"/>
              <a:ext cx="128592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𝑃_ℎ𝑖𝑠𝑡𝑒𝑟𝑖𝑠=√(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(ℎ/2)〗^2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200" name="CuadroTexto 199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 txBox="1"/>
      </xdr:nvSpPr>
      <xdr:spPr>
        <a:xfrm>
          <a:off x="5065681" y="517148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</xdr:col>
      <xdr:colOff>100012</xdr:colOff>
      <xdr:row>265</xdr:row>
      <xdr:rowOff>52387</xdr:rowOff>
    </xdr:from>
    <xdr:ext cx="1386983" cy="6585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1" name="CuadroTexto 200">
              <a:extLst>
                <a:ext uri="{FF2B5EF4-FFF2-40B4-BE49-F238E27FC236}">
                  <a16:creationId xmlns:a16="http://schemas.microsoft.com/office/drawing/2014/main" id="{00000000-0008-0000-0200-0000C9000000}"/>
                </a:ext>
              </a:extLst>
            </xdr:cNvPr>
            <xdr:cNvSpPr txBox="1"/>
          </xdr:nvSpPr>
          <xdr:spPr>
            <a:xfrm>
              <a:off x="1966912" y="53392387"/>
              <a:ext cx="138698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nary>
                          <m:naryPr>
                            <m:chr m:val="∑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sup>
                          <m:e>
                            <m:sSup>
                              <m:sSup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𝑐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∗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𝜇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(</m:t>
                                    </m:r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01" name="CuadroTexto 200">
              <a:extLst>
                <a:ext uri="{FF2B5EF4-FFF2-40B4-BE49-F238E27FC236}">
                  <a16:creationId xmlns:a16="http://schemas.microsoft.com/office/drawing/2014/main" id="{A1535A30-C555-43B2-B2D0-07000B51D30C}"/>
                </a:ext>
              </a:extLst>
            </xdr:cNvPr>
            <xdr:cNvSpPr txBox="1"/>
          </xdr:nvSpPr>
          <xdr:spPr>
            <a:xfrm>
              <a:off x="1966912" y="53392387"/>
              <a:ext cx="138698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𝑐=√(∑_(𝑖=1)^𝑁▒〖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(𝑐_𝑖∗𝜇(𝑥_𝑖 ))〗^</a:t>
              </a:r>
              <a:r>
                <a:rPr lang="es-CO" sz="1100" b="0" i="0">
                  <a:latin typeface="Cambria Math" panose="02040503050406030204" pitchFamily="18" charset="0"/>
                </a:rPr>
                <a:t>2 )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214312</xdr:colOff>
      <xdr:row>252</xdr:row>
      <xdr:rowOff>166687</xdr:rowOff>
    </xdr:from>
    <xdr:ext cx="90601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2" name="CuadroTexto 201">
              <a:extLst>
                <a:ext uri="{FF2B5EF4-FFF2-40B4-BE49-F238E27FC236}">
                  <a16:creationId xmlns:a16="http://schemas.microsoft.com/office/drawing/2014/main" id="{00000000-0008-0000-0200-0000CA000000}"/>
                </a:ext>
              </a:extLst>
            </xdr:cNvPr>
            <xdr:cNvSpPr txBox="1"/>
          </xdr:nvSpPr>
          <xdr:spPr>
            <a:xfrm>
              <a:off x="3605212" y="49934812"/>
              <a:ext cx="9060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𝑃𝑎𝑡𝑟𝑜𝑛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/2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02" name="CuadroTexto 201">
              <a:extLst>
                <a:ext uri="{FF2B5EF4-FFF2-40B4-BE49-F238E27FC236}">
                  <a16:creationId xmlns:a16="http://schemas.microsoft.com/office/drawing/2014/main" id="{F6323C46-AAEF-4451-A07A-75DD3798D3C5}"/>
                </a:ext>
              </a:extLst>
            </xdr:cNvPr>
            <xdr:cNvSpPr txBox="1"/>
          </xdr:nvSpPr>
          <xdr:spPr>
            <a:xfrm>
              <a:off x="3605212" y="49934812"/>
              <a:ext cx="9060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𝑃𝑎𝑡𝑟𝑜𝑛=𝑈/2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71436</xdr:colOff>
      <xdr:row>269</xdr:row>
      <xdr:rowOff>157162</xdr:rowOff>
    </xdr:from>
    <xdr:ext cx="1395413" cy="51834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3" name="CuadroTexto 202">
              <a:extLst>
                <a:ext uri="{FF2B5EF4-FFF2-40B4-BE49-F238E27FC236}">
                  <a16:creationId xmlns:a16="http://schemas.microsoft.com/office/drawing/2014/main" id="{00000000-0008-0000-0200-0000CB000000}"/>
                </a:ext>
              </a:extLst>
            </xdr:cNvPr>
            <xdr:cNvSpPr txBox="1"/>
          </xdr:nvSpPr>
          <xdr:spPr>
            <a:xfrm>
              <a:off x="1938336" y="54259162"/>
              <a:ext cx="1395413" cy="518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𝑒𝑓𝑓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e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num>
                      <m:den>
                        <m:nary>
                          <m:naryPr>
                            <m:chr m:val="∑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f>
                              <m:f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es-CO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𝜇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4</m:t>
                                    </m:r>
                                  </m:sup>
                                </m:sSup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𝑣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den>
                            </m:f>
                          </m:e>
                        </m:nary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03" name="CuadroTexto 202">
              <a:extLst>
                <a:ext uri="{FF2B5EF4-FFF2-40B4-BE49-F238E27FC236}">
                  <a16:creationId xmlns:a16="http://schemas.microsoft.com/office/drawing/2014/main" id="{F013B46F-53F4-44D0-B470-51C5071E3EBE}"/>
                </a:ext>
              </a:extLst>
            </xdr:cNvPr>
            <xdr:cNvSpPr txBox="1"/>
          </xdr:nvSpPr>
          <xdr:spPr>
            <a:xfrm>
              <a:off x="1938336" y="54259162"/>
              <a:ext cx="1395413" cy="518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𝑣_𝑒𝑓𝑓=〖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𝑐〗^4/(∑_(𝑖=1)^𝑛▒(〖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𝑖〗^4 (𝑥_𝑖))/𝑣_𝑖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690562</xdr:colOff>
      <xdr:row>262</xdr:row>
      <xdr:rowOff>80962</xdr:rowOff>
    </xdr:from>
    <xdr:ext cx="1527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4" name="CuadroTexto 203">
              <a:extLst>
                <a:ext uri="{FF2B5EF4-FFF2-40B4-BE49-F238E27FC236}">
                  <a16:creationId xmlns:a16="http://schemas.microsoft.com/office/drawing/2014/main" id="{00000000-0008-0000-0200-0000CC000000}"/>
                </a:ext>
              </a:extLst>
            </xdr:cNvPr>
            <xdr:cNvSpPr txBox="1"/>
          </xdr:nvSpPr>
          <xdr:spPr>
            <a:xfrm>
              <a:off x="2557462" y="52087462"/>
              <a:ext cx="152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04" name="CuadroTexto 203">
              <a:extLst>
                <a:ext uri="{FF2B5EF4-FFF2-40B4-BE49-F238E27FC236}">
                  <a16:creationId xmlns:a16="http://schemas.microsoft.com/office/drawing/2014/main" id="{2B146FD0-9037-47DD-B139-C38A7B26342B}"/>
                </a:ext>
              </a:extLst>
            </xdr:cNvPr>
            <xdr:cNvSpPr txBox="1"/>
          </xdr:nvSpPr>
          <xdr:spPr>
            <a:xfrm>
              <a:off x="2557462" y="52087462"/>
              <a:ext cx="152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𝑣_𝑖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338137</xdr:colOff>
      <xdr:row>264</xdr:row>
      <xdr:rowOff>519112</xdr:rowOff>
    </xdr:from>
    <xdr:ext cx="2236831" cy="2027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5" name="CuadroTexto 204">
              <a:extLst>
                <a:ext uri="{FF2B5EF4-FFF2-40B4-BE49-F238E27FC236}">
                  <a16:creationId xmlns:a16="http://schemas.microsoft.com/office/drawing/2014/main" id="{00000000-0008-0000-0200-0000CD000000}"/>
                </a:ext>
              </a:extLst>
            </xdr:cNvPr>
            <xdr:cNvSpPr txBox="1"/>
          </xdr:nvSpPr>
          <xdr:spPr>
            <a:xfrm>
              <a:off x="15149512" y="53287612"/>
              <a:ext cx="2236831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𝑎𝑠𝑐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3,0)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1,0)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05" name="CuadroTexto 204">
              <a:extLst>
                <a:ext uri="{FF2B5EF4-FFF2-40B4-BE49-F238E27FC236}">
                  <a16:creationId xmlns:a16="http://schemas.microsoft.com/office/drawing/2014/main" id="{D8F8080E-DC0D-4878-885B-6A48D723A7E8}"/>
                </a:ext>
              </a:extLst>
            </xdr:cNvPr>
            <xdr:cNvSpPr txBox="1"/>
          </xdr:nvSpPr>
          <xdr:spPr>
            <a:xfrm>
              <a:off x="15149512" y="53287612"/>
              <a:ext cx="2236831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𝑏^′〗_(</a:t>
              </a:r>
              <a:r>
                <a:rPr lang="es-CO" sz="1100" b="0" i="0">
                  <a:latin typeface="Cambria Math" panose="02040503050406030204" pitchFamily="18" charset="0"/>
                </a:rPr>
                <a:t>𝑎𝑠𝑐,𝑗)=|(𝑥_(3,𝑗)−𝑥_(3,0))−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(𝑥_(1,𝑗)−𝑥_(1,0)) |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342900</xdr:colOff>
      <xdr:row>266</xdr:row>
      <xdr:rowOff>66675</xdr:rowOff>
    </xdr:from>
    <xdr:ext cx="2218749" cy="2027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6" name="CuadroTexto 205">
              <a:extLst>
                <a:ext uri="{FF2B5EF4-FFF2-40B4-BE49-F238E27FC236}">
                  <a16:creationId xmlns:a16="http://schemas.microsoft.com/office/drawing/2014/main" id="{00000000-0008-0000-0200-0000CE000000}"/>
                </a:ext>
              </a:extLst>
            </xdr:cNvPr>
            <xdr:cNvSpPr txBox="1"/>
          </xdr:nvSpPr>
          <xdr:spPr>
            <a:xfrm>
              <a:off x="15154275" y="53597175"/>
              <a:ext cx="2218749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𝑑𝑒𝑠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4,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3,0)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1,0)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06" name="CuadroTexto 205">
              <a:extLst>
                <a:ext uri="{FF2B5EF4-FFF2-40B4-BE49-F238E27FC236}">
                  <a16:creationId xmlns:a16="http://schemas.microsoft.com/office/drawing/2014/main" id="{A91C1242-ADE9-4E8C-ACD1-32C6EB229AD1}"/>
                </a:ext>
              </a:extLst>
            </xdr:cNvPr>
            <xdr:cNvSpPr txBox="1"/>
          </xdr:nvSpPr>
          <xdr:spPr>
            <a:xfrm>
              <a:off x="15154275" y="53597175"/>
              <a:ext cx="2218749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𝑏^′〗_(</a:t>
              </a:r>
              <a:r>
                <a:rPr lang="es-CO" sz="1100" b="0" i="0">
                  <a:latin typeface="Cambria Math" panose="02040503050406030204" pitchFamily="18" charset="0"/>
                </a:rPr>
                <a:t>𝑑𝑒𝑠,𝑗)=|(𝑥_(4,𝑗)−𝑥_(3,0))−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(𝑥_(2,𝑗)−𝑥_(1,0)) |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314325</xdr:colOff>
      <xdr:row>267</xdr:row>
      <xdr:rowOff>180975</xdr:rowOff>
    </xdr:from>
    <xdr:ext cx="1793055" cy="2024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7" name="CuadroTexto 206">
              <a:extLst>
                <a:ext uri="{FF2B5EF4-FFF2-40B4-BE49-F238E27FC236}">
                  <a16:creationId xmlns:a16="http://schemas.microsoft.com/office/drawing/2014/main" id="{00000000-0008-0000-0200-0000CF000000}"/>
                </a:ext>
              </a:extLst>
            </xdr:cNvPr>
            <xdr:cNvSpPr txBox="1"/>
          </xdr:nvSpPr>
          <xdr:spPr>
            <a:xfrm>
              <a:off x="15125700" y="53901975"/>
              <a:ext cx="1793055" cy="2024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𝑚𝑒𝑑𝑖𝑜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CO" sz="1100" b="0" i="0">
                        <a:latin typeface="Cambria Math" panose="02040503050406030204" pitchFamily="18" charset="0"/>
                      </a:rPr>
                      <m:t>max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𝑎𝑠𝑐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; </m:t>
                        </m:r>
                        <m:sSub>
                          <m:sSub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𝑑𝑒𝑠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07" name="CuadroTexto 206">
              <a:extLst>
                <a:ext uri="{FF2B5EF4-FFF2-40B4-BE49-F238E27FC236}">
                  <a16:creationId xmlns:a16="http://schemas.microsoft.com/office/drawing/2014/main" id="{12BD97E3-8D28-414B-87D1-E3769251DF69}"/>
                </a:ext>
              </a:extLst>
            </xdr:cNvPr>
            <xdr:cNvSpPr txBox="1"/>
          </xdr:nvSpPr>
          <xdr:spPr>
            <a:xfrm>
              <a:off x="15125700" y="53901975"/>
              <a:ext cx="1793055" cy="2024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</a:t>
              </a:r>
              <a:r>
                <a:rPr lang="es-CO" sz="1100" b="0" i="0">
                  <a:latin typeface="Cambria Math" panose="02040503050406030204" pitchFamily="18" charset="0"/>
                </a:rPr>
                <a:t>𝑚𝑒𝑑𝑖𝑜=max{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〖𝑏^′〗_(𝑎𝑠𝑐,𝑗); 〖𝑏^′〗_(𝑑𝑒𝑠,𝑗) 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57150</xdr:colOff>
      <xdr:row>272</xdr:row>
      <xdr:rowOff>19050</xdr:rowOff>
    </xdr:from>
    <xdr:ext cx="4006546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8" name="CuadroTexto 207">
              <a:extLst>
                <a:ext uri="{FF2B5EF4-FFF2-40B4-BE49-F238E27FC236}">
                  <a16:creationId xmlns:a16="http://schemas.microsoft.com/office/drawing/2014/main" id="{00000000-0008-0000-0200-0000D0000000}"/>
                </a:ext>
              </a:extLst>
            </xdr:cNvPr>
            <xdr:cNvSpPr txBox="1"/>
          </xdr:nvSpPr>
          <xdr:spPr>
            <a:xfrm>
              <a:off x="14868525" y="54692550"/>
              <a:ext cx="400654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2,</m:t>
                                </m:r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d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d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08" name="CuadroTexto 207">
              <a:extLst>
                <a:ext uri="{FF2B5EF4-FFF2-40B4-BE49-F238E27FC236}">
                  <a16:creationId xmlns:a16="http://schemas.microsoft.com/office/drawing/2014/main" id="{E4ED8EB0-6787-4278-AD2C-6B8EC8069AFD}"/>
                </a:ext>
              </a:extLst>
            </xdr:cNvPr>
            <xdr:cNvSpPr txBox="1"/>
          </xdr:nvSpPr>
          <xdr:spPr>
            <a:xfrm>
              <a:off x="14868525" y="54692550"/>
              <a:ext cx="400654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ℎ=1/𝑛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×{|〖(𝑋〗_(2,𝑗)−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𝑋_1,0)−〖(𝑋〗_(1,𝑗)−𝑋_1,0)|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|〖(𝑋〗_(4,𝑗)−𝑋_3,0)−〖(𝑋〗_(3,𝑗)−𝑋_3,0)|}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452437</xdr:colOff>
      <xdr:row>274</xdr:row>
      <xdr:rowOff>166687</xdr:rowOff>
    </xdr:from>
    <xdr:ext cx="66678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9" name="CuadroTexto 208">
              <a:extLst>
                <a:ext uri="{FF2B5EF4-FFF2-40B4-BE49-F238E27FC236}">
                  <a16:creationId xmlns:a16="http://schemas.microsoft.com/office/drawing/2014/main" id="{00000000-0008-0000-0200-0000D1000000}"/>
                </a:ext>
              </a:extLst>
            </xdr:cNvPr>
            <xdr:cNvSpPr txBox="1"/>
          </xdr:nvSpPr>
          <xdr:spPr>
            <a:xfrm>
              <a:off x="2319337" y="55221187"/>
              <a:ext cx="6667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𝑘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09" name="CuadroTexto 208">
              <a:extLst>
                <a:ext uri="{FF2B5EF4-FFF2-40B4-BE49-F238E27FC236}">
                  <a16:creationId xmlns:a16="http://schemas.microsoft.com/office/drawing/2014/main" id="{9F3A2A3F-4633-4209-AED2-FC3BAC3573AC}"/>
                </a:ext>
              </a:extLst>
            </xdr:cNvPr>
            <xdr:cNvSpPr txBox="1"/>
          </xdr:nvSpPr>
          <xdr:spPr>
            <a:xfrm>
              <a:off x="2319337" y="55221187"/>
              <a:ext cx="6667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𝑈=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𝑐∗𝑘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728662</xdr:colOff>
      <xdr:row>273</xdr:row>
      <xdr:rowOff>23812</xdr:rowOff>
    </xdr:from>
    <xdr:ext cx="11381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0" name="CuadroTexto 209">
              <a:extLst>
                <a:ext uri="{FF2B5EF4-FFF2-40B4-BE49-F238E27FC236}">
                  <a16:creationId xmlns:a16="http://schemas.microsoft.com/office/drawing/2014/main" id="{00000000-0008-0000-0200-0000D2000000}"/>
                </a:ext>
              </a:extLst>
            </xdr:cNvPr>
            <xdr:cNvSpPr txBox="1"/>
          </xdr:nvSpPr>
          <xdr:spPr>
            <a:xfrm>
              <a:off x="2595562" y="54887812"/>
              <a:ext cx="1138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𝑘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10" name="CuadroTexto 209">
              <a:extLst>
                <a:ext uri="{FF2B5EF4-FFF2-40B4-BE49-F238E27FC236}">
                  <a16:creationId xmlns:a16="http://schemas.microsoft.com/office/drawing/2014/main" id="{DADFBBBC-12A8-42A0-86DB-833DDC9B01F0}"/>
                </a:ext>
              </a:extLst>
            </xdr:cNvPr>
            <xdr:cNvSpPr txBox="1"/>
          </xdr:nvSpPr>
          <xdr:spPr>
            <a:xfrm>
              <a:off x="2595562" y="54887812"/>
              <a:ext cx="1138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𝑘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10</xdr:col>
      <xdr:colOff>57150</xdr:colOff>
      <xdr:row>97</xdr:row>
      <xdr:rowOff>152400</xdr:rowOff>
    </xdr:from>
    <xdr:ext cx="1158330" cy="3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1" name="CuadroTexto 210">
              <a:extLst>
                <a:ext uri="{FF2B5EF4-FFF2-40B4-BE49-F238E27FC236}">
                  <a16:creationId xmlns:a16="http://schemas.microsoft.com/office/drawing/2014/main" id="{00000000-0008-0000-0200-0000D3000000}"/>
                </a:ext>
              </a:extLst>
            </xdr:cNvPr>
            <xdr:cNvSpPr txBox="1"/>
          </xdr:nvSpPr>
          <xdr:spPr>
            <a:xfrm>
              <a:off x="11791950" y="21917025"/>
              <a:ext cx="1158330" cy="3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𝐷𝑒𝑟𝑖𝑣𝑎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𝐷𝑒𝑟𝑖𝑣𝑎</m:t>
                        </m:r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2∗</m:t>
                        </m:r>
                        <m:rad>
                          <m:radPr>
                            <m:degHide m:val="on"/>
                            <m:ctrlP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11" name="CuadroTexto 210">
              <a:extLst>
                <a:ext uri="{FF2B5EF4-FFF2-40B4-BE49-F238E27FC236}">
                  <a16:creationId xmlns:a16="http://schemas.microsoft.com/office/drawing/2014/main" id="{BDBB56FB-F50B-420D-BE1C-0DE6A42DEFDC}"/>
                </a:ext>
              </a:extLst>
            </xdr:cNvPr>
            <xdr:cNvSpPr txBox="1"/>
          </xdr:nvSpPr>
          <xdr:spPr>
            <a:xfrm>
              <a:off x="11791950" y="21917025"/>
              <a:ext cx="1158330" cy="3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𝑃_𝐷𝑒𝑟𝑖𝑣𝑎=𝐷𝑒𝑟𝑖𝑣𝑎/(2∗√3)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10</xdr:col>
      <xdr:colOff>57150</xdr:colOff>
      <xdr:row>66</xdr:row>
      <xdr:rowOff>152400</xdr:rowOff>
    </xdr:from>
    <xdr:ext cx="1158330" cy="3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2" name="CuadroTexto 211">
              <a:extLst>
                <a:ext uri="{FF2B5EF4-FFF2-40B4-BE49-F238E27FC236}">
                  <a16:creationId xmlns:a16="http://schemas.microsoft.com/office/drawing/2014/main" id="{00000000-0008-0000-0200-0000D4000000}"/>
                </a:ext>
              </a:extLst>
            </xdr:cNvPr>
            <xdr:cNvSpPr txBox="1"/>
          </xdr:nvSpPr>
          <xdr:spPr>
            <a:xfrm>
              <a:off x="11791950" y="21917025"/>
              <a:ext cx="1158330" cy="3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𝐷𝑒𝑟𝑖𝑣𝑎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𝐷𝑒𝑟𝑖𝑣𝑎</m:t>
                        </m:r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2∗</m:t>
                        </m:r>
                        <m:rad>
                          <m:radPr>
                            <m:degHide m:val="on"/>
                            <m:ctrlP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12" name="CuadroTexto 211">
              <a:extLst>
                <a:ext uri="{FF2B5EF4-FFF2-40B4-BE49-F238E27FC236}">
                  <a16:creationId xmlns:a16="http://schemas.microsoft.com/office/drawing/2014/main" id="{585A276D-369D-4CDA-A590-610AB09A0BA7}"/>
                </a:ext>
              </a:extLst>
            </xdr:cNvPr>
            <xdr:cNvSpPr txBox="1"/>
          </xdr:nvSpPr>
          <xdr:spPr>
            <a:xfrm>
              <a:off x="11791950" y="21917025"/>
              <a:ext cx="1158330" cy="3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𝑃_𝐷𝑒𝑟𝑖𝑣𝑎=𝐷𝑒𝑟𝑖𝑣𝑎/(2∗√3)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10</xdr:col>
      <xdr:colOff>57150</xdr:colOff>
      <xdr:row>35</xdr:row>
      <xdr:rowOff>152400</xdr:rowOff>
    </xdr:from>
    <xdr:ext cx="1158330" cy="3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3" name="CuadroTexto 212">
              <a:extLst>
                <a:ext uri="{FF2B5EF4-FFF2-40B4-BE49-F238E27FC236}">
                  <a16:creationId xmlns:a16="http://schemas.microsoft.com/office/drawing/2014/main" id="{00000000-0008-0000-0200-0000D5000000}"/>
                </a:ext>
              </a:extLst>
            </xdr:cNvPr>
            <xdr:cNvSpPr txBox="1"/>
          </xdr:nvSpPr>
          <xdr:spPr>
            <a:xfrm>
              <a:off x="11791950" y="21917025"/>
              <a:ext cx="1158330" cy="3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𝐷𝑒𝑟𝑖𝑣𝑎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𝐷𝑒𝑟𝑖𝑣𝑎</m:t>
                        </m:r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2∗</m:t>
                        </m:r>
                        <m:rad>
                          <m:radPr>
                            <m:degHide m:val="on"/>
                            <m:ctrlP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13" name="CuadroTexto 212">
              <a:extLst>
                <a:ext uri="{FF2B5EF4-FFF2-40B4-BE49-F238E27FC236}">
                  <a16:creationId xmlns:a16="http://schemas.microsoft.com/office/drawing/2014/main" id="{497C493B-93D2-496B-85F1-508A448B443A}"/>
                </a:ext>
              </a:extLst>
            </xdr:cNvPr>
            <xdr:cNvSpPr txBox="1"/>
          </xdr:nvSpPr>
          <xdr:spPr>
            <a:xfrm>
              <a:off x="11791950" y="21917025"/>
              <a:ext cx="1158330" cy="3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𝑃_𝐷𝑒𝑟𝑖𝑣𝑎=𝐷𝑒𝑟𝑖𝑣𝑎/(2∗√3)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10</xdr:col>
      <xdr:colOff>57150</xdr:colOff>
      <xdr:row>4</xdr:row>
      <xdr:rowOff>152400</xdr:rowOff>
    </xdr:from>
    <xdr:ext cx="1158330" cy="3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4" name="CuadroTexto 213">
              <a:extLst>
                <a:ext uri="{FF2B5EF4-FFF2-40B4-BE49-F238E27FC236}">
                  <a16:creationId xmlns:a16="http://schemas.microsoft.com/office/drawing/2014/main" id="{00000000-0008-0000-0200-0000D6000000}"/>
                </a:ext>
              </a:extLst>
            </xdr:cNvPr>
            <xdr:cNvSpPr txBox="1"/>
          </xdr:nvSpPr>
          <xdr:spPr>
            <a:xfrm>
              <a:off x="11791950" y="21917025"/>
              <a:ext cx="1158330" cy="3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𝐷𝑒𝑟𝑖𝑣𝑎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𝐷𝑒𝑟𝑖𝑣𝑎</m:t>
                        </m:r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2∗</m:t>
                        </m:r>
                        <m:rad>
                          <m:radPr>
                            <m:degHide m:val="on"/>
                            <m:ctrlP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14" name="CuadroTexto 213">
              <a:extLst>
                <a:ext uri="{FF2B5EF4-FFF2-40B4-BE49-F238E27FC236}">
                  <a16:creationId xmlns:a16="http://schemas.microsoft.com/office/drawing/2014/main" id="{B4291C18-2FB9-49ED-95F2-B5F5A0CF5B4F}"/>
                </a:ext>
              </a:extLst>
            </xdr:cNvPr>
            <xdr:cNvSpPr txBox="1"/>
          </xdr:nvSpPr>
          <xdr:spPr>
            <a:xfrm>
              <a:off x="11791950" y="21917025"/>
              <a:ext cx="1158330" cy="3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𝑃_𝐷𝑒𝑟𝑖𝑣𝑎=𝐷𝑒𝑟𝑖𝑣𝑎/(2∗√3)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10</xdr:col>
      <xdr:colOff>57150</xdr:colOff>
      <xdr:row>128</xdr:row>
      <xdr:rowOff>152400</xdr:rowOff>
    </xdr:from>
    <xdr:ext cx="1158330" cy="3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5" name="CuadroTexto 214">
              <a:extLst>
                <a:ext uri="{FF2B5EF4-FFF2-40B4-BE49-F238E27FC236}">
                  <a16:creationId xmlns:a16="http://schemas.microsoft.com/office/drawing/2014/main" id="{00000000-0008-0000-0200-0000D7000000}"/>
                </a:ext>
              </a:extLst>
            </xdr:cNvPr>
            <xdr:cNvSpPr txBox="1"/>
          </xdr:nvSpPr>
          <xdr:spPr>
            <a:xfrm>
              <a:off x="11791950" y="21917025"/>
              <a:ext cx="1158330" cy="3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𝐷𝑒𝑟𝑖𝑣𝑎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𝐷𝑒𝑟𝑖𝑣𝑎</m:t>
                        </m:r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2∗</m:t>
                        </m:r>
                        <m:rad>
                          <m:radPr>
                            <m:degHide m:val="on"/>
                            <m:ctrlP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15" name="CuadroTexto 214">
              <a:extLst>
                <a:ext uri="{FF2B5EF4-FFF2-40B4-BE49-F238E27FC236}">
                  <a16:creationId xmlns:a16="http://schemas.microsoft.com/office/drawing/2014/main" id="{B2FC0FDD-AD64-4561-BCC0-6A41284C53DF}"/>
                </a:ext>
              </a:extLst>
            </xdr:cNvPr>
            <xdr:cNvSpPr txBox="1"/>
          </xdr:nvSpPr>
          <xdr:spPr>
            <a:xfrm>
              <a:off x="11791950" y="21917025"/>
              <a:ext cx="1158330" cy="3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𝑃_𝐷𝑒𝑟𝑖𝑣𝑎=𝐷𝑒𝑟𝑖𝑣𝑎/(2∗√3)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10</xdr:col>
      <xdr:colOff>57150</xdr:colOff>
      <xdr:row>159</xdr:row>
      <xdr:rowOff>152400</xdr:rowOff>
    </xdr:from>
    <xdr:ext cx="1158330" cy="3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6" name="CuadroTexto 215">
              <a:extLst>
                <a:ext uri="{FF2B5EF4-FFF2-40B4-BE49-F238E27FC236}">
                  <a16:creationId xmlns:a16="http://schemas.microsoft.com/office/drawing/2014/main" id="{00000000-0008-0000-0200-0000D8000000}"/>
                </a:ext>
              </a:extLst>
            </xdr:cNvPr>
            <xdr:cNvSpPr txBox="1"/>
          </xdr:nvSpPr>
          <xdr:spPr>
            <a:xfrm>
              <a:off x="11791950" y="21917025"/>
              <a:ext cx="1158330" cy="3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𝐷𝑒𝑟𝑖𝑣𝑎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𝐷𝑒𝑟𝑖𝑣𝑎</m:t>
                        </m:r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2∗</m:t>
                        </m:r>
                        <m:rad>
                          <m:radPr>
                            <m:degHide m:val="on"/>
                            <m:ctrlP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16" name="CuadroTexto 215">
              <a:extLst>
                <a:ext uri="{FF2B5EF4-FFF2-40B4-BE49-F238E27FC236}">
                  <a16:creationId xmlns:a16="http://schemas.microsoft.com/office/drawing/2014/main" id="{42F8F999-4342-4B1F-B95A-08C2F3B49EBB}"/>
                </a:ext>
              </a:extLst>
            </xdr:cNvPr>
            <xdr:cNvSpPr txBox="1"/>
          </xdr:nvSpPr>
          <xdr:spPr>
            <a:xfrm>
              <a:off x="11791950" y="21917025"/>
              <a:ext cx="1158330" cy="3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𝑃_𝐷𝑒𝑟𝑖𝑣𝑎=𝐷𝑒𝑟𝑖𝑣𝑎/(2∗√3)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10</xdr:col>
      <xdr:colOff>57150</xdr:colOff>
      <xdr:row>190</xdr:row>
      <xdr:rowOff>152400</xdr:rowOff>
    </xdr:from>
    <xdr:ext cx="1158330" cy="3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7" name="CuadroTexto 216">
              <a:extLst>
                <a:ext uri="{FF2B5EF4-FFF2-40B4-BE49-F238E27FC236}">
                  <a16:creationId xmlns:a16="http://schemas.microsoft.com/office/drawing/2014/main" id="{00000000-0008-0000-0200-0000D9000000}"/>
                </a:ext>
              </a:extLst>
            </xdr:cNvPr>
            <xdr:cNvSpPr txBox="1"/>
          </xdr:nvSpPr>
          <xdr:spPr>
            <a:xfrm>
              <a:off x="11791950" y="21917025"/>
              <a:ext cx="1158330" cy="3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𝐷𝑒𝑟𝑖𝑣𝑎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𝐷𝑒𝑟𝑖𝑣𝑎</m:t>
                        </m:r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2∗</m:t>
                        </m:r>
                        <m:rad>
                          <m:radPr>
                            <m:degHide m:val="on"/>
                            <m:ctrlP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17" name="CuadroTexto 216">
              <a:extLst>
                <a:ext uri="{FF2B5EF4-FFF2-40B4-BE49-F238E27FC236}">
                  <a16:creationId xmlns:a16="http://schemas.microsoft.com/office/drawing/2014/main" id="{04D9F8CC-6EC2-4E5F-9188-5D2CF187C935}"/>
                </a:ext>
              </a:extLst>
            </xdr:cNvPr>
            <xdr:cNvSpPr txBox="1"/>
          </xdr:nvSpPr>
          <xdr:spPr>
            <a:xfrm>
              <a:off x="11791950" y="21917025"/>
              <a:ext cx="1158330" cy="3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𝑃_𝐷𝑒𝑟𝑖𝑣𝑎=𝐷𝑒𝑟𝑖𝑣𝑎/(2∗√3)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10</xdr:col>
      <xdr:colOff>57150</xdr:colOff>
      <xdr:row>221</xdr:row>
      <xdr:rowOff>152400</xdr:rowOff>
    </xdr:from>
    <xdr:ext cx="1158330" cy="3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8" name="CuadroTexto 217">
              <a:extLst>
                <a:ext uri="{FF2B5EF4-FFF2-40B4-BE49-F238E27FC236}">
                  <a16:creationId xmlns:a16="http://schemas.microsoft.com/office/drawing/2014/main" id="{00000000-0008-0000-0200-0000DA000000}"/>
                </a:ext>
              </a:extLst>
            </xdr:cNvPr>
            <xdr:cNvSpPr txBox="1"/>
          </xdr:nvSpPr>
          <xdr:spPr>
            <a:xfrm>
              <a:off x="11791950" y="21917025"/>
              <a:ext cx="1158330" cy="3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𝐷𝑒𝑟𝑖𝑣𝑎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𝐷𝑒𝑟𝑖𝑣𝑎</m:t>
                        </m:r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2∗</m:t>
                        </m:r>
                        <m:rad>
                          <m:radPr>
                            <m:degHide m:val="on"/>
                            <m:ctrlP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18" name="CuadroTexto 217">
              <a:extLst>
                <a:ext uri="{FF2B5EF4-FFF2-40B4-BE49-F238E27FC236}">
                  <a16:creationId xmlns:a16="http://schemas.microsoft.com/office/drawing/2014/main" id="{737DDF75-4ABA-47E9-A40A-208C390DDBA2}"/>
                </a:ext>
              </a:extLst>
            </xdr:cNvPr>
            <xdr:cNvSpPr txBox="1"/>
          </xdr:nvSpPr>
          <xdr:spPr>
            <a:xfrm>
              <a:off x="11791950" y="21917025"/>
              <a:ext cx="1158330" cy="3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𝑃_𝐷𝑒𝑟𝑖𝑣𝑎=𝐷𝑒𝑟𝑖𝑣𝑎/(2∗√3)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10</xdr:col>
      <xdr:colOff>57150</xdr:colOff>
      <xdr:row>252</xdr:row>
      <xdr:rowOff>152400</xdr:rowOff>
    </xdr:from>
    <xdr:ext cx="1158330" cy="3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9" name="CuadroTexto 218">
              <a:extLst>
                <a:ext uri="{FF2B5EF4-FFF2-40B4-BE49-F238E27FC236}">
                  <a16:creationId xmlns:a16="http://schemas.microsoft.com/office/drawing/2014/main" id="{00000000-0008-0000-0200-0000DB000000}"/>
                </a:ext>
              </a:extLst>
            </xdr:cNvPr>
            <xdr:cNvSpPr txBox="1"/>
          </xdr:nvSpPr>
          <xdr:spPr>
            <a:xfrm>
              <a:off x="11791950" y="21917025"/>
              <a:ext cx="1158330" cy="3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𝐷𝑒𝑟𝑖𝑣𝑎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𝐷𝑒𝑟𝑖𝑣𝑎</m:t>
                        </m:r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2∗</m:t>
                        </m:r>
                        <m:rad>
                          <m:radPr>
                            <m:degHide m:val="on"/>
                            <m:ctrlP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19" name="CuadroTexto 218">
              <a:extLst>
                <a:ext uri="{FF2B5EF4-FFF2-40B4-BE49-F238E27FC236}">
                  <a16:creationId xmlns:a16="http://schemas.microsoft.com/office/drawing/2014/main" id="{68D19F81-736E-49DC-BE20-CBE1F33D7854}"/>
                </a:ext>
              </a:extLst>
            </xdr:cNvPr>
            <xdr:cNvSpPr txBox="1"/>
          </xdr:nvSpPr>
          <xdr:spPr>
            <a:xfrm>
              <a:off x="11791950" y="21917025"/>
              <a:ext cx="1158330" cy="3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𝑃_𝐷𝑒𝑟𝑖𝑣𝑎=𝐷𝑒𝑟𝑖𝑣𝑎/(2∗√3)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6</xdr:col>
      <xdr:colOff>131732</xdr:colOff>
      <xdr:row>286</xdr:row>
      <xdr:rowOff>3651</xdr:rowOff>
    </xdr:from>
    <xdr:ext cx="1249394" cy="469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0" name="CuadroTexto 219">
              <a:extLst>
                <a:ext uri="{FF2B5EF4-FFF2-40B4-BE49-F238E27FC236}">
                  <a16:creationId xmlns:a16="http://schemas.microsoft.com/office/drawing/2014/main" id="{00000000-0008-0000-0200-0000DC000000}"/>
                </a:ext>
              </a:extLst>
            </xdr:cNvPr>
            <xdr:cNvSpPr txBox="1"/>
          </xdr:nvSpPr>
          <xdr:spPr>
            <a:xfrm>
              <a:off x="6180107" y="57363201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porDesviacion</a:t>
              </a:r>
              <a:r>
                <a:rPr lang="es-CO" sz="1000" baseline="0"/>
                <a:t> del cero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100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CO" sz="1000" b="0" i="1" baseline="0"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s-CO" sz="10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220" name="CuadroTexto 219">
              <a:extLst>
                <a:ext uri="{FF2B5EF4-FFF2-40B4-BE49-F238E27FC236}">
                  <a16:creationId xmlns:a16="http://schemas.microsoft.com/office/drawing/2014/main" id="{CAED4691-3551-4C2F-B60D-90C7F32CF513}"/>
                </a:ext>
              </a:extLst>
            </xdr:cNvPr>
            <xdr:cNvSpPr txBox="1"/>
          </xdr:nvSpPr>
          <xdr:spPr>
            <a:xfrm>
              <a:off x="6180107" y="57363201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porDesviacion</a:t>
              </a:r>
              <a:r>
                <a:rPr lang="es-CO" sz="1000" baseline="0"/>
                <a:t> del cero</a:t>
              </a:r>
            </a:p>
            <a:p>
              <a:r>
                <a:rPr lang="es-CO" sz="1000" baseline="0"/>
                <a:t>                </a:t>
              </a:r>
              <a:r>
                <a:rPr lang="es-CO" sz="1000" b="0" i="0" baseline="0">
                  <a:latin typeface="Cambria Math" panose="02040503050406030204" pitchFamily="18" charset="0"/>
                </a:rPr>
                <a:t>𝑓_0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5</xdr:col>
      <xdr:colOff>42862</xdr:colOff>
      <xdr:row>283</xdr:row>
      <xdr:rowOff>42862</xdr:rowOff>
    </xdr:from>
    <xdr:ext cx="12474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1" name="CuadroTexto 220">
              <a:extLst>
                <a:ext uri="{FF2B5EF4-FFF2-40B4-BE49-F238E27FC236}">
                  <a16:creationId xmlns:a16="http://schemas.microsoft.com/office/drawing/2014/main" id="{00000000-0008-0000-0200-0000DD000000}"/>
                </a:ext>
              </a:extLst>
            </xdr:cNvPr>
            <xdr:cNvSpPr txBox="1"/>
          </xdr:nvSpPr>
          <xdr:spPr>
            <a:xfrm>
              <a:off x="4710112" y="56811862"/>
              <a:ext cx="12474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𝑖𝑛𝑑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𝑟</m:t>
                                    </m:r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21" name="CuadroTexto 220">
              <a:extLst>
                <a:ext uri="{FF2B5EF4-FFF2-40B4-BE49-F238E27FC236}">
                  <a16:creationId xmlns:a16="http://schemas.microsoft.com/office/drawing/2014/main" id="{AE3EE97E-34B2-4E24-BDDA-F95B8A908294}"/>
                </a:ext>
              </a:extLst>
            </xdr:cNvPr>
            <xdr:cNvSpPr txBox="1"/>
          </xdr:nvSpPr>
          <xdr:spPr>
            <a:xfrm>
              <a:off x="4710112" y="56811862"/>
              <a:ext cx="12474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𝑃_(𝑖𝑛𝑑 𝑟)=√(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(2𝑟/2)〗^2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283</xdr:row>
      <xdr:rowOff>0</xdr:rowOff>
    </xdr:from>
    <xdr:ext cx="1412823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2" name="CuadroTexto 221">
              <a:extLst>
                <a:ext uri="{FF2B5EF4-FFF2-40B4-BE49-F238E27FC236}">
                  <a16:creationId xmlns:a16="http://schemas.microsoft.com/office/drawing/2014/main" id="{00000000-0008-0000-0200-0000DE000000}"/>
                </a:ext>
              </a:extLst>
            </xdr:cNvPr>
            <xdr:cNvSpPr txBox="1"/>
          </xdr:nvSpPr>
          <xdr:spPr>
            <a:xfrm>
              <a:off x="6048375" y="56769000"/>
              <a:ext cx="141282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𝑑𝑒𝑠𝑣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𝑐𝑒𝑟𝑜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𝑓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0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22" name="CuadroTexto 221">
              <a:extLst>
                <a:ext uri="{FF2B5EF4-FFF2-40B4-BE49-F238E27FC236}">
                  <a16:creationId xmlns:a16="http://schemas.microsoft.com/office/drawing/2014/main" id="{81590B58-1043-4745-B297-A8767068DE60}"/>
                </a:ext>
              </a:extLst>
            </xdr:cNvPr>
            <xdr:cNvSpPr txBox="1"/>
          </xdr:nvSpPr>
          <xdr:spPr>
            <a:xfrm>
              <a:off x="6048375" y="56769000"/>
              <a:ext cx="141282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𝑃_(𝑑𝑒𝑠𝑣 𝑐𝑒𝑟𝑜)=√(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(𝑓_0/2)〗^2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152400</xdr:colOff>
      <xdr:row>286</xdr:row>
      <xdr:rowOff>9525</xdr:rowOff>
    </xdr:from>
    <xdr:ext cx="1110240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3" name="CuadroTexto 222">
              <a:extLst>
                <a:ext uri="{FF2B5EF4-FFF2-40B4-BE49-F238E27FC236}">
                  <a16:creationId xmlns:a16="http://schemas.microsoft.com/office/drawing/2014/main" id="{00000000-0008-0000-0200-0000DF000000}"/>
                </a:ext>
              </a:extLst>
            </xdr:cNvPr>
            <xdr:cNvSpPr txBox="1"/>
          </xdr:nvSpPr>
          <xdr:spPr>
            <a:xfrm>
              <a:off x="16221075" y="57369075"/>
              <a:ext cx="111024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/>
                <a:t>Desviacion</a:t>
              </a:r>
              <a:r>
                <a:rPr lang="es-CO" sz="1100" baseline="0"/>
                <a:t> del cero</a:t>
              </a:r>
            </a:p>
            <a:p>
              <a:r>
                <a:rPr lang="es-CO" sz="1100" baseline="0"/>
                <a:t>               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110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CO" sz="1100" b="0" i="1" baseline="0"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s-CO" sz="11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endParaRPr lang="es-CO" sz="1100"/>
            </a:p>
          </xdr:txBody>
        </xdr:sp>
      </mc:Choice>
      <mc:Fallback xmlns="">
        <xdr:sp macro="" textlink="">
          <xdr:nvSpPr>
            <xdr:cNvPr id="223" name="CuadroTexto 222">
              <a:extLst>
                <a:ext uri="{FF2B5EF4-FFF2-40B4-BE49-F238E27FC236}">
                  <a16:creationId xmlns:a16="http://schemas.microsoft.com/office/drawing/2014/main" id="{C793BB27-A4EC-4837-8405-002E099B7642}"/>
                </a:ext>
              </a:extLst>
            </xdr:cNvPr>
            <xdr:cNvSpPr txBox="1"/>
          </xdr:nvSpPr>
          <xdr:spPr>
            <a:xfrm>
              <a:off x="16221075" y="57369075"/>
              <a:ext cx="111024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/>
                <a:t>Desviacion</a:t>
              </a:r>
              <a:r>
                <a:rPr lang="es-CO" sz="1100" baseline="0"/>
                <a:t> del cero</a:t>
              </a:r>
            </a:p>
            <a:p>
              <a:r>
                <a:rPr lang="es-CO" sz="1100" baseline="0"/>
                <a:t>                </a:t>
              </a:r>
              <a:r>
                <a:rPr lang="es-CO" sz="1100" b="0" i="0" baseline="0">
                  <a:latin typeface="Cambria Math" panose="02040503050406030204" pitchFamily="18" charset="0"/>
                </a:rPr>
                <a:t>𝑓_0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23812</xdr:colOff>
      <xdr:row>287</xdr:row>
      <xdr:rowOff>14287</xdr:rowOff>
    </xdr:from>
    <xdr:ext cx="658385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4" name="CuadroTexto 223">
              <a:extLst>
                <a:ext uri="{FF2B5EF4-FFF2-40B4-BE49-F238E27FC236}">
                  <a16:creationId xmlns:a16="http://schemas.microsoft.com/office/drawing/2014/main" id="{00000000-0008-0000-0200-0000E0000000}"/>
                </a:ext>
              </a:extLst>
            </xdr:cNvPr>
            <xdr:cNvSpPr txBox="1"/>
          </xdr:nvSpPr>
          <xdr:spPr>
            <a:xfrm>
              <a:off x="16092487" y="57869137"/>
              <a:ext cx="65838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2,0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1,0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24" name="CuadroTexto 223">
              <a:extLst>
                <a:ext uri="{FF2B5EF4-FFF2-40B4-BE49-F238E27FC236}">
                  <a16:creationId xmlns:a16="http://schemas.microsoft.com/office/drawing/2014/main" id="{59B2F846-572B-4563-A5C5-5824A345ADEE}"/>
                </a:ext>
              </a:extLst>
            </xdr:cNvPr>
            <xdr:cNvSpPr txBox="1"/>
          </xdr:nvSpPr>
          <xdr:spPr>
            <a:xfrm>
              <a:off x="16092487" y="57869137"/>
              <a:ext cx="65838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𝑋_2,0−𝑋_1,0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28575</xdr:colOff>
      <xdr:row>288</xdr:row>
      <xdr:rowOff>28575</xdr:rowOff>
    </xdr:from>
    <xdr:ext cx="661656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5" name="CuadroTexto 224">
              <a:extLst>
                <a:ext uri="{FF2B5EF4-FFF2-40B4-BE49-F238E27FC236}">
                  <a16:creationId xmlns:a16="http://schemas.microsoft.com/office/drawing/2014/main" id="{00000000-0008-0000-0200-0000E1000000}"/>
                </a:ext>
              </a:extLst>
            </xdr:cNvPr>
            <xdr:cNvSpPr txBox="1"/>
          </xdr:nvSpPr>
          <xdr:spPr>
            <a:xfrm>
              <a:off x="16097250" y="58073925"/>
              <a:ext cx="66165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4,0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3,0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25" name="CuadroTexto 224">
              <a:extLst>
                <a:ext uri="{FF2B5EF4-FFF2-40B4-BE49-F238E27FC236}">
                  <a16:creationId xmlns:a16="http://schemas.microsoft.com/office/drawing/2014/main" id="{3A1CC301-A8AF-4850-812B-A43BCBE0C874}"/>
                </a:ext>
              </a:extLst>
            </xdr:cNvPr>
            <xdr:cNvSpPr txBox="1"/>
          </xdr:nvSpPr>
          <xdr:spPr>
            <a:xfrm>
              <a:off x="16097250" y="58073925"/>
              <a:ext cx="66165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𝑋_4,0−𝑋_3,0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7</xdr:col>
      <xdr:colOff>180975</xdr:colOff>
      <xdr:row>285</xdr:row>
      <xdr:rowOff>190500</xdr:rowOff>
    </xdr:from>
    <xdr:ext cx="1249394" cy="5021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6" name="CuadroTexto 225">
              <a:extLst>
                <a:ext uri="{FF2B5EF4-FFF2-40B4-BE49-F238E27FC236}">
                  <a16:creationId xmlns:a16="http://schemas.microsoft.com/office/drawing/2014/main" id="{00000000-0008-0000-0200-0000E2000000}"/>
                </a:ext>
              </a:extLst>
            </xdr:cNvPr>
            <xdr:cNvSpPr txBox="1"/>
          </xdr:nvSpPr>
          <xdr:spPr>
            <a:xfrm>
              <a:off x="7715250" y="57350025"/>
              <a:ext cx="1249394" cy="502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repetibilidad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sSup>
                    <m:sSupPr>
                      <m:ctrlPr>
                        <a:rPr lang="es-CO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s-CO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𝑏</m:t>
                      </m:r>
                    </m:e>
                    <m:sup>
                      <m:r>
                        <a:rPr lang="es-CO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′</m:t>
                      </m:r>
                    </m:sup>
                  </m:sSup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226" name="CuadroTexto 225">
              <a:extLst>
                <a:ext uri="{FF2B5EF4-FFF2-40B4-BE49-F238E27FC236}">
                  <a16:creationId xmlns:a16="http://schemas.microsoft.com/office/drawing/2014/main" id="{55B5CB19-98B2-47BD-A639-0DDCD8C1B258}"/>
                </a:ext>
              </a:extLst>
            </xdr:cNvPr>
            <xdr:cNvSpPr txBox="1"/>
          </xdr:nvSpPr>
          <xdr:spPr>
            <a:xfrm>
              <a:off x="7715250" y="57350025"/>
              <a:ext cx="1249394" cy="502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repetibilidad</a:t>
              </a:r>
            </a:p>
            <a:p>
              <a:r>
                <a:rPr lang="es-CO" sz="1000" baseline="0"/>
                <a:t>               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7</xdr:col>
      <xdr:colOff>76200</xdr:colOff>
      <xdr:row>283</xdr:row>
      <xdr:rowOff>9525</xdr:rowOff>
    </xdr:from>
    <xdr:ext cx="1250599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7" name="CuadroTexto 226">
              <a:extLst>
                <a:ext uri="{FF2B5EF4-FFF2-40B4-BE49-F238E27FC236}">
                  <a16:creationId xmlns:a16="http://schemas.microsoft.com/office/drawing/2014/main" id="{00000000-0008-0000-0200-0000E3000000}"/>
                </a:ext>
              </a:extLst>
            </xdr:cNvPr>
            <xdr:cNvSpPr txBox="1"/>
          </xdr:nvSpPr>
          <xdr:spPr>
            <a:xfrm>
              <a:off x="7610475" y="56778525"/>
              <a:ext cx="125059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𝑟𝑒𝑝𝑒𝑡𝑖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p>
                                      <m:sSup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𝑏</m:t>
                                        </m:r>
                                      </m:e>
                                      <m:sup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′</m:t>
                                        </m:r>
                                      </m:sup>
                                    </m:sSup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27" name="CuadroTexto 226">
              <a:extLst>
                <a:ext uri="{FF2B5EF4-FFF2-40B4-BE49-F238E27FC236}">
                  <a16:creationId xmlns:a16="http://schemas.microsoft.com/office/drawing/2014/main" id="{71632D94-9121-4356-B105-D3B3472C09AF}"/>
                </a:ext>
              </a:extLst>
            </xdr:cNvPr>
            <xdr:cNvSpPr txBox="1"/>
          </xdr:nvSpPr>
          <xdr:spPr>
            <a:xfrm>
              <a:off x="7610475" y="56778525"/>
              <a:ext cx="125059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𝑃_𝑟𝑒𝑝𝑒𝑡𝑖=√(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(𝑏^′/2)〗^2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274606</xdr:colOff>
      <xdr:row>288</xdr:row>
      <xdr:rowOff>184626</xdr:rowOff>
    </xdr:from>
    <xdr:ext cx="15279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8" name="CuadroTexto 227">
              <a:extLst>
                <a:ext uri="{FF2B5EF4-FFF2-40B4-BE49-F238E27FC236}">
                  <a16:creationId xmlns:a16="http://schemas.microsoft.com/office/drawing/2014/main" id="{00000000-0008-0000-0200-0000E4000000}"/>
                </a:ext>
              </a:extLst>
            </xdr:cNvPr>
            <xdr:cNvSpPr txBox="1"/>
          </xdr:nvSpPr>
          <xdr:spPr>
            <a:xfrm>
              <a:off x="16343281" y="58229976"/>
              <a:ext cx="1527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28" name="CuadroTexto 227">
              <a:extLst>
                <a:ext uri="{FF2B5EF4-FFF2-40B4-BE49-F238E27FC236}">
                  <a16:creationId xmlns:a16="http://schemas.microsoft.com/office/drawing/2014/main" id="{32B22E5D-2F4B-4A98-AAD1-B6DC2E771F8F}"/>
                </a:ext>
              </a:extLst>
            </xdr:cNvPr>
            <xdr:cNvSpPr txBox="1"/>
          </xdr:nvSpPr>
          <xdr:spPr>
            <a:xfrm>
              <a:off x="16343281" y="58229976"/>
              <a:ext cx="1527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𝑓_0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404812</xdr:colOff>
      <xdr:row>284</xdr:row>
      <xdr:rowOff>42862</xdr:rowOff>
    </xdr:from>
    <xdr:ext cx="2207336" cy="1910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9" name="CuadroTexto 228">
              <a:extLst>
                <a:ext uri="{FF2B5EF4-FFF2-40B4-BE49-F238E27FC236}">
                  <a16:creationId xmlns:a16="http://schemas.microsoft.com/office/drawing/2014/main" id="{00000000-0008-0000-0200-0000E5000000}"/>
                </a:ext>
              </a:extLst>
            </xdr:cNvPr>
            <xdr:cNvSpPr txBox="1"/>
          </xdr:nvSpPr>
          <xdr:spPr>
            <a:xfrm>
              <a:off x="15711487" y="57011887"/>
              <a:ext cx="2207336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𝑚𝑎𝑥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2,0</m:t>
                                </m:r>
                              </m:sub>
                            </m:s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1,0</m:t>
                                </m:r>
                              </m:sub>
                            </m:sSub>
                          </m:e>
                        </m:d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;</m:t>
                        </m:r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</m:e>
                        </m:d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29" name="CuadroTexto 228">
              <a:extLst>
                <a:ext uri="{FF2B5EF4-FFF2-40B4-BE49-F238E27FC236}">
                  <a16:creationId xmlns:a16="http://schemas.microsoft.com/office/drawing/2014/main" id="{8E69E4C3-55DA-421F-9083-57B3598B80CE}"/>
                </a:ext>
              </a:extLst>
            </xdr:cNvPr>
            <xdr:cNvSpPr txBox="1"/>
          </xdr:nvSpPr>
          <xdr:spPr>
            <a:xfrm>
              <a:off x="15711487" y="57011887"/>
              <a:ext cx="2207336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𝑓_0=𝑚𝑎𝑥{|𝑋_2,0−𝑋_1,0 |;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|𝑋_4,0−𝑋_3,0 |}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8</xdr:col>
      <xdr:colOff>171450</xdr:colOff>
      <xdr:row>286</xdr:row>
      <xdr:rowOff>9525</xdr:rowOff>
    </xdr:from>
    <xdr:ext cx="1249394" cy="469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0" name="CuadroTexto 229">
              <a:extLst>
                <a:ext uri="{FF2B5EF4-FFF2-40B4-BE49-F238E27FC236}">
                  <a16:creationId xmlns:a16="http://schemas.microsoft.com/office/drawing/2014/main" id="{00000000-0008-0000-0200-0000E6000000}"/>
                </a:ext>
              </a:extLst>
            </xdr:cNvPr>
            <xdr:cNvSpPr txBox="1"/>
          </xdr:nvSpPr>
          <xdr:spPr>
            <a:xfrm>
              <a:off x="9210675" y="57369075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histeris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r>
                    <a:rPr lang="es-CO" sz="1000" b="0" i="1" baseline="0">
                      <a:latin typeface="Cambria Math" panose="02040503050406030204" pitchFamily="18" charset="0"/>
                    </a:rPr>
                    <m:t>h</m:t>
                  </m:r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230" name="CuadroTexto 229">
              <a:extLst>
                <a:ext uri="{FF2B5EF4-FFF2-40B4-BE49-F238E27FC236}">
                  <a16:creationId xmlns:a16="http://schemas.microsoft.com/office/drawing/2014/main" id="{B9107F5E-FE32-40F5-BF24-E4B80367284B}"/>
                </a:ext>
              </a:extLst>
            </xdr:cNvPr>
            <xdr:cNvSpPr txBox="1"/>
          </xdr:nvSpPr>
          <xdr:spPr>
            <a:xfrm>
              <a:off x="9210675" y="57369075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histeris</a:t>
              </a:r>
            </a:p>
            <a:p>
              <a:r>
                <a:rPr lang="es-CO" sz="1000" baseline="0"/>
                <a:t>                </a:t>
              </a:r>
              <a:r>
                <a:rPr lang="es-CO" sz="1000" b="0" i="0" baseline="0">
                  <a:latin typeface="Cambria Math" panose="02040503050406030204" pitchFamily="18" charset="0"/>
                </a:rPr>
                <a:t>ℎ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8</xdr:col>
      <xdr:colOff>28575</xdr:colOff>
      <xdr:row>283</xdr:row>
      <xdr:rowOff>0</xdr:rowOff>
    </xdr:from>
    <xdr:ext cx="1285929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1" name="CuadroTexto 230">
              <a:extLst>
                <a:ext uri="{FF2B5EF4-FFF2-40B4-BE49-F238E27FC236}">
                  <a16:creationId xmlns:a16="http://schemas.microsoft.com/office/drawing/2014/main" id="{00000000-0008-0000-0200-0000E7000000}"/>
                </a:ext>
              </a:extLst>
            </xdr:cNvPr>
            <xdr:cNvSpPr txBox="1"/>
          </xdr:nvSpPr>
          <xdr:spPr>
            <a:xfrm>
              <a:off x="9067800" y="56769000"/>
              <a:ext cx="128592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h𝑖𝑠𝑡𝑒𝑟𝑖𝑠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h</m:t>
                                    </m:r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31" name="CuadroTexto 230">
              <a:extLst>
                <a:ext uri="{FF2B5EF4-FFF2-40B4-BE49-F238E27FC236}">
                  <a16:creationId xmlns:a16="http://schemas.microsoft.com/office/drawing/2014/main" id="{71D97C45-E2CB-4601-B769-098E6A72AFF9}"/>
                </a:ext>
              </a:extLst>
            </xdr:cNvPr>
            <xdr:cNvSpPr txBox="1"/>
          </xdr:nvSpPr>
          <xdr:spPr>
            <a:xfrm>
              <a:off x="9067800" y="56769000"/>
              <a:ext cx="128592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𝑃_ℎ𝑖𝑠𝑡𝑒𝑟𝑖𝑠=√(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(ℎ/2)〗^2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232" name="CuadroTexto 231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 txBox="1"/>
      </xdr:nvSpPr>
      <xdr:spPr>
        <a:xfrm>
          <a:off x="5065681" y="5871575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</xdr:col>
      <xdr:colOff>100012</xdr:colOff>
      <xdr:row>296</xdr:row>
      <xdr:rowOff>52387</xdr:rowOff>
    </xdr:from>
    <xdr:ext cx="1386983" cy="6585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3" name="CuadroTexto 232">
              <a:extLst>
                <a:ext uri="{FF2B5EF4-FFF2-40B4-BE49-F238E27FC236}">
                  <a16:creationId xmlns:a16="http://schemas.microsoft.com/office/drawing/2014/main" id="{00000000-0008-0000-0200-0000E9000000}"/>
                </a:ext>
              </a:extLst>
            </xdr:cNvPr>
            <xdr:cNvSpPr txBox="1"/>
          </xdr:nvSpPr>
          <xdr:spPr>
            <a:xfrm>
              <a:off x="1966912" y="60393262"/>
              <a:ext cx="138698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nary>
                          <m:naryPr>
                            <m:chr m:val="∑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sup>
                          <m:e>
                            <m:sSup>
                              <m:sSup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𝑐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∗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𝜇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(</m:t>
                                    </m:r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33" name="CuadroTexto 232">
              <a:extLst>
                <a:ext uri="{FF2B5EF4-FFF2-40B4-BE49-F238E27FC236}">
                  <a16:creationId xmlns:a16="http://schemas.microsoft.com/office/drawing/2014/main" id="{7F61A2A8-442C-4429-A88C-C092D16FF929}"/>
                </a:ext>
              </a:extLst>
            </xdr:cNvPr>
            <xdr:cNvSpPr txBox="1"/>
          </xdr:nvSpPr>
          <xdr:spPr>
            <a:xfrm>
              <a:off x="1966912" y="60393262"/>
              <a:ext cx="138698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𝑐=√(∑_(𝑖=1)^𝑁▒〖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(𝑐_𝑖∗𝜇(𝑥_𝑖 ))〗^</a:t>
              </a:r>
              <a:r>
                <a:rPr lang="es-CO" sz="1100" b="0" i="0">
                  <a:latin typeface="Cambria Math" panose="02040503050406030204" pitchFamily="18" charset="0"/>
                </a:rPr>
                <a:t>2 )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214312</xdr:colOff>
      <xdr:row>283</xdr:row>
      <xdr:rowOff>166687</xdr:rowOff>
    </xdr:from>
    <xdr:ext cx="90601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4" name="CuadroTexto 233">
              <a:extLst>
                <a:ext uri="{FF2B5EF4-FFF2-40B4-BE49-F238E27FC236}">
                  <a16:creationId xmlns:a16="http://schemas.microsoft.com/office/drawing/2014/main" id="{00000000-0008-0000-0200-0000EA000000}"/>
                </a:ext>
              </a:extLst>
            </xdr:cNvPr>
            <xdr:cNvSpPr txBox="1"/>
          </xdr:nvSpPr>
          <xdr:spPr>
            <a:xfrm>
              <a:off x="3605212" y="56935687"/>
              <a:ext cx="9060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𝑃𝑎𝑡𝑟𝑜𝑛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/2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34" name="CuadroTexto 233">
              <a:extLst>
                <a:ext uri="{FF2B5EF4-FFF2-40B4-BE49-F238E27FC236}">
                  <a16:creationId xmlns:a16="http://schemas.microsoft.com/office/drawing/2014/main" id="{37F393FD-A34C-4AC1-B2BA-BC6CDBF06788}"/>
                </a:ext>
              </a:extLst>
            </xdr:cNvPr>
            <xdr:cNvSpPr txBox="1"/>
          </xdr:nvSpPr>
          <xdr:spPr>
            <a:xfrm>
              <a:off x="3605212" y="56935687"/>
              <a:ext cx="9060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𝑃𝑎𝑡𝑟𝑜𝑛=𝑈/2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71436</xdr:colOff>
      <xdr:row>300</xdr:row>
      <xdr:rowOff>157162</xdr:rowOff>
    </xdr:from>
    <xdr:ext cx="1395413" cy="51834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5" name="CuadroTexto 234">
              <a:extLst>
                <a:ext uri="{FF2B5EF4-FFF2-40B4-BE49-F238E27FC236}">
                  <a16:creationId xmlns:a16="http://schemas.microsoft.com/office/drawing/2014/main" id="{00000000-0008-0000-0200-0000EB000000}"/>
                </a:ext>
              </a:extLst>
            </xdr:cNvPr>
            <xdr:cNvSpPr txBox="1"/>
          </xdr:nvSpPr>
          <xdr:spPr>
            <a:xfrm>
              <a:off x="1938336" y="61260037"/>
              <a:ext cx="1395413" cy="518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𝑒𝑓𝑓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e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num>
                      <m:den>
                        <m:nary>
                          <m:naryPr>
                            <m:chr m:val="∑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f>
                              <m:f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es-CO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𝜇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4</m:t>
                                    </m:r>
                                  </m:sup>
                                </m:sSup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𝑣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den>
                            </m:f>
                          </m:e>
                        </m:nary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35" name="CuadroTexto 234">
              <a:extLst>
                <a:ext uri="{FF2B5EF4-FFF2-40B4-BE49-F238E27FC236}">
                  <a16:creationId xmlns:a16="http://schemas.microsoft.com/office/drawing/2014/main" id="{7A9279CB-0696-4806-98D0-8D5B738F1DC9}"/>
                </a:ext>
              </a:extLst>
            </xdr:cNvPr>
            <xdr:cNvSpPr txBox="1"/>
          </xdr:nvSpPr>
          <xdr:spPr>
            <a:xfrm>
              <a:off x="1938336" y="61260037"/>
              <a:ext cx="1395413" cy="518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𝑣_𝑒𝑓𝑓=〖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𝑐〗^4/(∑_(𝑖=1)^𝑛▒(〖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𝑖〗^4 (𝑥_𝑖))/𝑣_𝑖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690562</xdr:colOff>
      <xdr:row>293</xdr:row>
      <xdr:rowOff>80962</xdr:rowOff>
    </xdr:from>
    <xdr:ext cx="1527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6" name="CuadroTexto 235">
              <a:extLst>
                <a:ext uri="{FF2B5EF4-FFF2-40B4-BE49-F238E27FC236}">
                  <a16:creationId xmlns:a16="http://schemas.microsoft.com/office/drawing/2014/main" id="{00000000-0008-0000-0200-0000EC000000}"/>
                </a:ext>
              </a:extLst>
            </xdr:cNvPr>
            <xdr:cNvSpPr txBox="1"/>
          </xdr:nvSpPr>
          <xdr:spPr>
            <a:xfrm>
              <a:off x="2557462" y="59088337"/>
              <a:ext cx="152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36" name="CuadroTexto 235">
              <a:extLst>
                <a:ext uri="{FF2B5EF4-FFF2-40B4-BE49-F238E27FC236}">
                  <a16:creationId xmlns:a16="http://schemas.microsoft.com/office/drawing/2014/main" id="{32FC3AF8-A301-4628-B188-4247F40C62A2}"/>
                </a:ext>
              </a:extLst>
            </xdr:cNvPr>
            <xdr:cNvSpPr txBox="1"/>
          </xdr:nvSpPr>
          <xdr:spPr>
            <a:xfrm>
              <a:off x="2557462" y="59088337"/>
              <a:ext cx="152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𝑣_𝑖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338137</xdr:colOff>
      <xdr:row>295</xdr:row>
      <xdr:rowOff>519112</xdr:rowOff>
    </xdr:from>
    <xdr:ext cx="2236831" cy="2027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7" name="CuadroTexto 236">
              <a:extLst>
                <a:ext uri="{FF2B5EF4-FFF2-40B4-BE49-F238E27FC236}">
                  <a16:creationId xmlns:a16="http://schemas.microsoft.com/office/drawing/2014/main" id="{00000000-0008-0000-0200-0000ED000000}"/>
                </a:ext>
              </a:extLst>
            </xdr:cNvPr>
            <xdr:cNvSpPr txBox="1"/>
          </xdr:nvSpPr>
          <xdr:spPr>
            <a:xfrm>
              <a:off x="15644812" y="60288487"/>
              <a:ext cx="2236831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𝑎𝑠𝑐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3,0)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1,0)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37" name="CuadroTexto 236">
              <a:extLst>
                <a:ext uri="{FF2B5EF4-FFF2-40B4-BE49-F238E27FC236}">
                  <a16:creationId xmlns:a16="http://schemas.microsoft.com/office/drawing/2014/main" id="{F7F16BD7-825E-4DCA-BE9D-6BEDB3BD8DBD}"/>
                </a:ext>
              </a:extLst>
            </xdr:cNvPr>
            <xdr:cNvSpPr txBox="1"/>
          </xdr:nvSpPr>
          <xdr:spPr>
            <a:xfrm>
              <a:off x="15644812" y="60288487"/>
              <a:ext cx="2236831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𝑏^′〗_(</a:t>
              </a:r>
              <a:r>
                <a:rPr lang="es-CO" sz="1100" b="0" i="0">
                  <a:latin typeface="Cambria Math" panose="02040503050406030204" pitchFamily="18" charset="0"/>
                </a:rPr>
                <a:t>𝑎𝑠𝑐,𝑗)=|(𝑥_(3,𝑗)−𝑥_(3,0))−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(𝑥_(1,𝑗)−𝑥_(1,0)) |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342900</xdr:colOff>
      <xdr:row>297</xdr:row>
      <xdr:rowOff>66675</xdr:rowOff>
    </xdr:from>
    <xdr:ext cx="2218749" cy="2027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8" name="CuadroTexto 237">
              <a:extLst>
                <a:ext uri="{FF2B5EF4-FFF2-40B4-BE49-F238E27FC236}">
                  <a16:creationId xmlns:a16="http://schemas.microsoft.com/office/drawing/2014/main" id="{00000000-0008-0000-0200-0000EE000000}"/>
                </a:ext>
              </a:extLst>
            </xdr:cNvPr>
            <xdr:cNvSpPr txBox="1"/>
          </xdr:nvSpPr>
          <xdr:spPr>
            <a:xfrm>
              <a:off x="15649575" y="60598050"/>
              <a:ext cx="2218749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𝑑𝑒𝑠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4,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3,0)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1,0)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38" name="CuadroTexto 237">
              <a:extLst>
                <a:ext uri="{FF2B5EF4-FFF2-40B4-BE49-F238E27FC236}">
                  <a16:creationId xmlns:a16="http://schemas.microsoft.com/office/drawing/2014/main" id="{6FF093D0-6872-451B-B22D-46AA0719B467}"/>
                </a:ext>
              </a:extLst>
            </xdr:cNvPr>
            <xdr:cNvSpPr txBox="1"/>
          </xdr:nvSpPr>
          <xdr:spPr>
            <a:xfrm>
              <a:off x="15649575" y="60598050"/>
              <a:ext cx="2218749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𝑏^′〗_(</a:t>
              </a:r>
              <a:r>
                <a:rPr lang="es-CO" sz="1100" b="0" i="0">
                  <a:latin typeface="Cambria Math" panose="02040503050406030204" pitchFamily="18" charset="0"/>
                </a:rPr>
                <a:t>𝑑𝑒𝑠,𝑗)=|(𝑥_(4,𝑗)−𝑥_(3,0))−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(𝑥_(2,𝑗)−𝑥_(1,0)) |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314325</xdr:colOff>
      <xdr:row>298</xdr:row>
      <xdr:rowOff>180975</xdr:rowOff>
    </xdr:from>
    <xdr:ext cx="1793055" cy="2024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9" name="CuadroTexto 238">
              <a:extLst>
                <a:ext uri="{FF2B5EF4-FFF2-40B4-BE49-F238E27FC236}">
                  <a16:creationId xmlns:a16="http://schemas.microsoft.com/office/drawing/2014/main" id="{00000000-0008-0000-0200-0000EF000000}"/>
                </a:ext>
              </a:extLst>
            </xdr:cNvPr>
            <xdr:cNvSpPr txBox="1"/>
          </xdr:nvSpPr>
          <xdr:spPr>
            <a:xfrm>
              <a:off x="15621000" y="60902850"/>
              <a:ext cx="1793055" cy="2024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𝑚𝑒𝑑𝑖𝑜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CO" sz="1100" b="0" i="0">
                        <a:latin typeface="Cambria Math" panose="02040503050406030204" pitchFamily="18" charset="0"/>
                      </a:rPr>
                      <m:t>max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𝑎𝑠𝑐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; </m:t>
                        </m:r>
                        <m:sSub>
                          <m:sSub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𝑑𝑒𝑠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39" name="CuadroTexto 238">
              <a:extLst>
                <a:ext uri="{FF2B5EF4-FFF2-40B4-BE49-F238E27FC236}">
                  <a16:creationId xmlns:a16="http://schemas.microsoft.com/office/drawing/2014/main" id="{40F397D7-614B-4F4E-9956-501396963B33}"/>
                </a:ext>
              </a:extLst>
            </xdr:cNvPr>
            <xdr:cNvSpPr txBox="1"/>
          </xdr:nvSpPr>
          <xdr:spPr>
            <a:xfrm>
              <a:off x="15621000" y="60902850"/>
              <a:ext cx="1793055" cy="2024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</a:t>
              </a:r>
              <a:r>
                <a:rPr lang="es-CO" sz="1100" b="0" i="0">
                  <a:latin typeface="Cambria Math" panose="02040503050406030204" pitchFamily="18" charset="0"/>
                </a:rPr>
                <a:t>𝑚𝑒𝑑𝑖𝑜=max{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〖𝑏^′〗_(𝑎𝑠𝑐,𝑗); 〖𝑏^′〗_(𝑑𝑒𝑠,𝑗) 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57150</xdr:colOff>
      <xdr:row>303</xdr:row>
      <xdr:rowOff>19050</xdr:rowOff>
    </xdr:from>
    <xdr:ext cx="4006546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0" name="CuadroTexto 239">
              <a:extLst>
                <a:ext uri="{FF2B5EF4-FFF2-40B4-BE49-F238E27FC236}">
                  <a16:creationId xmlns:a16="http://schemas.microsoft.com/office/drawing/2014/main" id="{00000000-0008-0000-0200-0000F0000000}"/>
                </a:ext>
              </a:extLst>
            </xdr:cNvPr>
            <xdr:cNvSpPr txBox="1"/>
          </xdr:nvSpPr>
          <xdr:spPr>
            <a:xfrm>
              <a:off x="15363825" y="61693425"/>
              <a:ext cx="400654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2,</m:t>
                                </m:r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d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d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40" name="CuadroTexto 239">
              <a:extLst>
                <a:ext uri="{FF2B5EF4-FFF2-40B4-BE49-F238E27FC236}">
                  <a16:creationId xmlns:a16="http://schemas.microsoft.com/office/drawing/2014/main" id="{257839A4-B4C3-4504-B16B-19D40F3FCAF2}"/>
                </a:ext>
              </a:extLst>
            </xdr:cNvPr>
            <xdr:cNvSpPr txBox="1"/>
          </xdr:nvSpPr>
          <xdr:spPr>
            <a:xfrm>
              <a:off x="15363825" y="61693425"/>
              <a:ext cx="400654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ℎ=1/𝑛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×{|〖(𝑋〗_(2,𝑗)−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𝑋_1,0)−〖(𝑋〗_(1,𝑗)−𝑋_1,0)|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|〖(𝑋〗_(4,𝑗)−𝑋_3,0)−〖(𝑋〗_(3,𝑗)−𝑋_3,0)|}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452437</xdr:colOff>
      <xdr:row>305</xdr:row>
      <xdr:rowOff>166687</xdr:rowOff>
    </xdr:from>
    <xdr:ext cx="66678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1" name="CuadroTexto 240">
              <a:extLst>
                <a:ext uri="{FF2B5EF4-FFF2-40B4-BE49-F238E27FC236}">
                  <a16:creationId xmlns:a16="http://schemas.microsoft.com/office/drawing/2014/main" id="{00000000-0008-0000-0200-0000F1000000}"/>
                </a:ext>
              </a:extLst>
            </xdr:cNvPr>
            <xdr:cNvSpPr txBox="1"/>
          </xdr:nvSpPr>
          <xdr:spPr>
            <a:xfrm>
              <a:off x="2319337" y="62222062"/>
              <a:ext cx="6667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𝑘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41" name="CuadroTexto 240">
              <a:extLst>
                <a:ext uri="{FF2B5EF4-FFF2-40B4-BE49-F238E27FC236}">
                  <a16:creationId xmlns:a16="http://schemas.microsoft.com/office/drawing/2014/main" id="{715F988B-7454-4232-B7A6-B3E9A217904C}"/>
                </a:ext>
              </a:extLst>
            </xdr:cNvPr>
            <xdr:cNvSpPr txBox="1"/>
          </xdr:nvSpPr>
          <xdr:spPr>
            <a:xfrm>
              <a:off x="2319337" y="62222062"/>
              <a:ext cx="6667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𝑈=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𝑐∗𝑘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728662</xdr:colOff>
      <xdr:row>304</xdr:row>
      <xdr:rowOff>23812</xdr:rowOff>
    </xdr:from>
    <xdr:ext cx="11381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2" name="CuadroTexto 241">
              <a:extLst>
                <a:ext uri="{FF2B5EF4-FFF2-40B4-BE49-F238E27FC236}">
                  <a16:creationId xmlns:a16="http://schemas.microsoft.com/office/drawing/2014/main" id="{00000000-0008-0000-0200-0000F2000000}"/>
                </a:ext>
              </a:extLst>
            </xdr:cNvPr>
            <xdr:cNvSpPr txBox="1"/>
          </xdr:nvSpPr>
          <xdr:spPr>
            <a:xfrm>
              <a:off x="2595562" y="61888687"/>
              <a:ext cx="1138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𝑘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42" name="CuadroTexto 241">
              <a:extLst>
                <a:ext uri="{FF2B5EF4-FFF2-40B4-BE49-F238E27FC236}">
                  <a16:creationId xmlns:a16="http://schemas.microsoft.com/office/drawing/2014/main" id="{F2FCB429-A102-4098-B721-3B97A5EFC372}"/>
                </a:ext>
              </a:extLst>
            </xdr:cNvPr>
            <xdr:cNvSpPr txBox="1"/>
          </xdr:nvSpPr>
          <xdr:spPr>
            <a:xfrm>
              <a:off x="2595562" y="61888687"/>
              <a:ext cx="1138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𝑘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10</xdr:col>
      <xdr:colOff>57150</xdr:colOff>
      <xdr:row>283</xdr:row>
      <xdr:rowOff>152400</xdr:rowOff>
    </xdr:from>
    <xdr:ext cx="1158330" cy="3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3" name="CuadroTexto 242">
              <a:extLst>
                <a:ext uri="{FF2B5EF4-FFF2-40B4-BE49-F238E27FC236}">
                  <a16:creationId xmlns:a16="http://schemas.microsoft.com/office/drawing/2014/main" id="{00000000-0008-0000-0200-0000F3000000}"/>
                </a:ext>
              </a:extLst>
            </xdr:cNvPr>
            <xdr:cNvSpPr txBox="1"/>
          </xdr:nvSpPr>
          <xdr:spPr>
            <a:xfrm>
              <a:off x="11791950" y="56921400"/>
              <a:ext cx="1158330" cy="3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𝐷𝑒𝑟𝑖𝑣𝑎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𝐷𝑒𝑟𝑖𝑣𝑎</m:t>
                        </m:r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2∗</m:t>
                        </m:r>
                        <m:rad>
                          <m:radPr>
                            <m:degHide m:val="on"/>
                            <m:ctrlP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43" name="CuadroTexto 242">
              <a:extLst>
                <a:ext uri="{FF2B5EF4-FFF2-40B4-BE49-F238E27FC236}">
                  <a16:creationId xmlns:a16="http://schemas.microsoft.com/office/drawing/2014/main" id="{C543E120-D753-40CB-A95E-CACA112F1829}"/>
                </a:ext>
              </a:extLst>
            </xdr:cNvPr>
            <xdr:cNvSpPr txBox="1"/>
          </xdr:nvSpPr>
          <xdr:spPr>
            <a:xfrm>
              <a:off x="11791950" y="56921400"/>
              <a:ext cx="1158330" cy="3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𝑃_𝐷𝑒𝑟𝑖𝑣𝑎=𝐷𝑒𝑟𝑖𝑣𝑎/(2∗√3)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244" name="CuadroTexto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245" name="CuadroTexto 244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246" name="CuadroTexto 245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247" name="CuadroTexto 24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248" name="CuadroTexto 247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249" name="CuadroTexto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250" name="CuadroTexto 249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251" name="CuadroTexto 250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252" name="CuadroTexto 251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253" name="CuadroTexto 252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43</xdr:row>
      <xdr:rowOff>89376</xdr:rowOff>
    </xdr:from>
    <xdr:ext cx="65" cy="172227"/>
    <xdr:sp macro="" textlink="">
      <xdr:nvSpPr>
        <xdr:cNvPr id="255" name="CuadroTexto 254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SpPr txBox="1"/>
      </xdr:nvSpPr>
      <xdr:spPr>
        <a:xfrm>
          <a:off x="5553137" y="272275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74</xdr:row>
      <xdr:rowOff>89376</xdr:rowOff>
    </xdr:from>
    <xdr:ext cx="65" cy="172227"/>
    <xdr:sp macro="" textlink="">
      <xdr:nvSpPr>
        <xdr:cNvPr id="258" name="CuadroTexto 257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SpPr txBox="1"/>
      </xdr:nvSpPr>
      <xdr:spPr>
        <a:xfrm>
          <a:off x="5553137" y="97488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74</xdr:row>
      <xdr:rowOff>89376</xdr:rowOff>
    </xdr:from>
    <xdr:ext cx="65" cy="172227"/>
    <xdr:sp macro="" textlink="">
      <xdr:nvSpPr>
        <xdr:cNvPr id="259" name="CuadroTexto 258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SpPr txBox="1"/>
      </xdr:nvSpPr>
      <xdr:spPr>
        <a:xfrm>
          <a:off x="5553137" y="97488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105</xdr:row>
      <xdr:rowOff>89376</xdr:rowOff>
    </xdr:from>
    <xdr:ext cx="65" cy="172227"/>
    <xdr:sp macro="" textlink="">
      <xdr:nvSpPr>
        <xdr:cNvPr id="263" name="CuadroTexto 262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SpPr txBox="1"/>
      </xdr:nvSpPr>
      <xdr:spPr>
        <a:xfrm>
          <a:off x="5553137" y="167749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105</xdr:row>
      <xdr:rowOff>89376</xdr:rowOff>
    </xdr:from>
    <xdr:ext cx="65" cy="172227"/>
    <xdr:sp macro="" textlink="">
      <xdr:nvSpPr>
        <xdr:cNvPr id="264" name="CuadroTexto 263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SpPr txBox="1"/>
      </xdr:nvSpPr>
      <xdr:spPr>
        <a:xfrm>
          <a:off x="5553137" y="167749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105</xdr:row>
      <xdr:rowOff>89376</xdr:rowOff>
    </xdr:from>
    <xdr:ext cx="65" cy="172227"/>
    <xdr:sp macro="" textlink="">
      <xdr:nvSpPr>
        <xdr:cNvPr id="265" name="CuadroTexto 264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SpPr txBox="1"/>
      </xdr:nvSpPr>
      <xdr:spPr>
        <a:xfrm>
          <a:off x="5553137" y="167749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136</xdr:row>
      <xdr:rowOff>89376</xdr:rowOff>
    </xdr:from>
    <xdr:ext cx="65" cy="172227"/>
    <xdr:sp macro="" textlink="">
      <xdr:nvSpPr>
        <xdr:cNvPr id="266" name="CuadroTexto 265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SpPr txBox="1"/>
      </xdr:nvSpPr>
      <xdr:spPr>
        <a:xfrm>
          <a:off x="5553137" y="2380102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136</xdr:row>
      <xdr:rowOff>89376</xdr:rowOff>
    </xdr:from>
    <xdr:ext cx="65" cy="172227"/>
    <xdr:sp macro="" textlink="">
      <xdr:nvSpPr>
        <xdr:cNvPr id="267" name="CuadroTexto 266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SpPr txBox="1"/>
      </xdr:nvSpPr>
      <xdr:spPr>
        <a:xfrm>
          <a:off x="5553137" y="2380102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136</xdr:row>
      <xdr:rowOff>89376</xdr:rowOff>
    </xdr:from>
    <xdr:ext cx="65" cy="172227"/>
    <xdr:sp macro="" textlink="">
      <xdr:nvSpPr>
        <xdr:cNvPr id="268" name="CuadroTexto 267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SpPr txBox="1"/>
      </xdr:nvSpPr>
      <xdr:spPr>
        <a:xfrm>
          <a:off x="5553137" y="2380102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136</xdr:row>
      <xdr:rowOff>89376</xdr:rowOff>
    </xdr:from>
    <xdr:ext cx="65" cy="172227"/>
    <xdr:sp macro="" textlink="">
      <xdr:nvSpPr>
        <xdr:cNvPr id="269" name="CuadroTexto 268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SpPr txBox="1"/>
      </xdr:nvSpPr>
      <xdr:spPr>
        <a:xfrm>
          <a:off x="5553137" y="2380102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270" name="CuadroTexto 269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271" name="CuadroTexto 270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272" name="CuadroTexto 271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273" name="CuadroTexto 272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274" name="CuadroTexto 273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275" name="CuadroTexto 274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276" name="CuadroTexto 275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277" name="CuadroTexto 276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278" name="CuadroTexto 277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279" name="CuadroTexto 278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280" name="CuadroTexto 279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281" name="CuadroTexto 280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282" name="CuadroTexto 281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283" name="CuadroTexto 282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284" name="CuadroTexto 283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285" name="CuadroTexto 284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286" name="CuadroTexto 285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287" name="CuadroTexto 286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288" name="CuadroTexto 287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300" name="CuadroTexto 299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301" name="CuadroTexto 300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302" name="CuadroTexto 301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303" name="CuadroTexto 302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304" name="CuadroTexto 303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305" name="CuadroTexto 304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306" name="CuadroTexto 305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307" name="CuadroTexto 306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308" name="CuadroTexto 307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309" name="CuadroTexto 308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310" name="CuadroTexto 309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326" name="CuadroTexto 325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327" name="CuadroTexto 326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328" name="CuadroTexto 327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329" name="CuadroTexto 328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330" name="CuadroTexto 329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331" name="CuadroTexto 330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332" name="CuadroTexto 331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333" name="CuadroTexto 332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334" name="CuadroTexto 333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335" name="CuadroTexto 334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336" name="CuadroTexto 335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337" name="CuadroTexto 336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338" name="CuadroTexto 337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339" name="CuadroTexto 338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340" name="CuadroTexto 339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6</xdr:col>
      <xdr:colOff>131732</xdr:colOff>
      <xdr:row>317</xdr:row>
      <xdr:rowOff>3651</xdr:rowOff>
    </xdr:from>
    <xdr:ext cx="1249394" cy="469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8AB003B9-342C-4C89-B046-5FAF59BAFD34}"/>
                </a:ext>
              </a:extLst>
            </xdr:cNvPr>
            <xdr:cNvSpPr txBox="1"/>
          </xdr:nvSpPr>
          <xdr:spPr>
            <a:xfrm>
              <a:off x="6664761" y="64594357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porDesviacion</a:t>
              </a:r>
              <a:r>
                <a:rPr lang="es-CO" sz="1000" baseline="0"/>
                <a:t> del cero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100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CO" sz="1000" b="0" i="1" baseline="0"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s-CO" sz="10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8AB003B9-342C-4C89-B046-5FAF59BAFD34}"/>
                </a:ext>
              </a:extLst>
            </xdr:cNvPr>
            <xdr:cNvSpPr txBox="1"/>
          </xdr:nvSpPr>
          <xdr:spPr>
            <a:xfrm>
              <a:off x="6664761" y="64594357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porDesviacion</a:t>
              </a:r>
              <a:r>
                <a:rPr lang="es-CO" sz="1000" baseline="0"/>
                <a:t> del cero</a:t>
              </a:r>
            </a:p>
            <a:p>
              <a:r>
                <a:rPr lang="es-CO" sz="1000" baseline="0"/>
                <a:t>                </a:t>
              </a:r>
              <a:r>
                <a:rPr lang="es-CO" sz="1000" b="0" i="0" baseline="0">
                  <a:latin typeface="Cambria Math" panose="02040503050406030204" pitchFamily="18" charset="0"/>
                </a:rPr>
                <a:t>𝑓_0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5</xdr:col>
      <xdr:colOff>42862</xdr:colOff>
      <xdr:row>314</xdr:row>
      <xdr:rowOff>42862</xdr:rowOff>
    </xdr:from>
    <xdr:ext cx="1247457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9BEF33F5-F3B7-4BAD-8337-A00E87479FF3}"/>
                </a:ext>
              </a:extLst>
            </xdr:cNvPr>
            <xdr:cNvSpPr txBox="1"/>
          </xdr:nvSpPr>
          <xdr:spPr>
            <a:xfrm>
              <a:off x="5197568" y="64039656"/>
              <a:ext cx="12474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𝑖𝑛𝑑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𝑟</m:t>
                                    </m:r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9BEF33F5-F3B7-4BAD-8337-A00E87479FF3}"/>
                </a:ext>
              </a:extLst>
            </xdr:cNvPr>
            <xdr:cNvSpPr txBox="1"/>
          </xdr:nvSpPr>
          <xdr:spPr>
            <a:xfrm>
              <a:off x="5197568" y="64039656"/>
              <a:ext cx="1247457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𝑃_(𝑖𝑛𝑑 𝑟)=√(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(2𝑟/2)〗^2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314</xdr:row>
      <xdr:rowOff>0</xdr:rowOff>
    </xdr:from>
    <xdr:ext cx="1412823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4" name="CuadroTexto 253">
              <a:extLst>
                <a:ext uri="{FF2B5EF4-FFF2-40B4-BE49-F238E27FC236}">
                  <a16:creationId xmlns:a16="http://schemas.microsoft.com/office/drawing/2014/main" id="{FA2B389A-AD5D-4FFA-9E18-5621EB6061AC}"/>
                </a:ext>
              </a:extLst>
            </xdr:cNvPr>
            <xdr:cNvSpPr txBox="1"/>
          </xdr:nvSpPr>
          <xdr:spPr>
            <a:xfrm>
              <a:off x="6533029" y="63996794"/>
              <a:ext cx="141282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𝑑𝑒𝑠𝑣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𝑐𝑒𝑟𝑜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𝑓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0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54" name="CuadroTexto 253">
              <a:extLst>
                <a:ext uri="{FF2B5EF4-FFF2-40B4-BE49-F238E27FC236}">
                  <a16:creationId xmlns:a16="http://schemas.microsoft.com/office/drawing/2014/main" id="{FA2B389A-AD5D-4FFA-9E18-5621EB6061AC}"/>
                </a:ext>
              </a:extLst>
            </xdr:cNvPr>
            <xdr:cNvSpPr txBox="1"/>
          </xdr:nvSpPr>
          <xdr:spPr>
            <a:xfrm>
              <a:off x="6533029" y="63996794"/>
              <a:ext cx="1412823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𝑃_(𝑑𝑒𝑠𝑣 𝑐𝑒𝑟𝑜)=√(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(𝑓_0/2)〗^2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152400</xdr:colOff>
      <xdr:row>317</xdr:row>
      <xdr:rowOff>9525</xdr:rowOff>
    </xdr:from>
    <xdr:ext cx="1110240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6" name="CuadroTexto 255">
              <a:extLst>
                <a:ext uri="{FF2B5EF4-FFF2-40B4-BE49-F238E27FC236}">
                  <a16:creationId xmlns:a16="http://schemas.microsoft.com/office/drawing/2014/main" id="{45E214CD-E52C-457C-B224-E9FC5DB115AE}"/>
                </a:ext>
              </a:extLst>
            </xdr:cNvPr>
            <xdr:cNvSpPr txBox="1"/>
          </xdr:nvSpPr>
          <xdr:spPr>
            <a:xfrm>
              <a:off x="16714694" y="64600231"/>
              <a:ext cx="111024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/>
                <a:t>Desviacion</a:t>
              </a:r>
              <a:r>
                <a:rPr lang="es-CO" sz="1100" baseline="0"/>
                <a:t> del cero</a:t>
              </a:r>
            </a:p>
            <a:p>
              <a:r>
                <a:rPr lang="es-CO" sz="1100" baseline="0"/>
                <a:t>                </a:t>
              </a:r>
              <a14:m>
                <m:oMath xmlns:m="http://schemas.openxmlformats.org/officeDocument/2006/math">
                  <m:sSub>
                    <m:sSubPr>
                      <m:ctrlPr>
                        <a:rPr lang="es-CO" sz="110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CO" sz="1100" b="0" i="1" baseline="0">
                          <a:latin typeface="Cambria Math" panose="02040503050406030204" pitchFamily="18" charset="0"/>
                        </a:rPr>
                        <m:t>𝑓</m:t>
                      </m:r>
                    </m:e>
                    <m:sub>
                      <m:r>
                        <a:rPr lang="es-CO" sz="11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endParaRPr lang="es-CO" sz="1100"/>
            </a:p>
          </xdr:txBody>
        </xdr:sp>
      </mc:Choice>
      <mc:Fallback xmlns="">
        <xdr:sp macro="" textlink="">
          <xdr:nvSpPr>
            <xdr:cNvPr id="256" name="CuadroTexto 255">
              <a:extLst>
                <a:ext uri="{FF2B5EF4-FFF2-40B4-BE49-F238E27FC236}">
                  <a16:creationId xmlns:a16="http://schemas.microsoft.com/office/drawing/2014/main" id="{45E214CD-E52C-457C-B224-E9FC5DB115AE}"/>
                </a:ext>
              </a:extLst>
            </xdr:cNvPr>
            <xdr:cNvSpPr txBox="1"/>
          </xdr:nvSpPr>
          <xdr:spPr>
            <a:xfrm>
              <a:off x="16714694" y="64600231"/>
              <a:ext cx="111024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/>
                <a:t>Desviacion</a:t>
              </a:r>
              <a:r>
                <a:rPr lang="es-CO" sz="1100" baseline="0"/>
                <a:t> del cero</a:t>
              </a:r>
            </a:p>
            <a:p>
              <a:r>
                <a:rPr lang="es-CO" sz="1100" baseline="0"/>
                <a:t>                </a:t>
              </a:r>
              <a:r>
                <a:rPr lang="es-CO" sz="1100" b="0" i="0" baseline="0">
                  <a:latin typeface="Cambria Math" panose="02040503050406030204" pitchFamily="18" charset="0"/>
                </a:rPr>
                <a:t>𝑓_0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23812</xdr:colOff>
      <xdr:row>318</xdr:row>
      <xdr:rowOff>14287</xdr:rowOff>
    </xdr:from>
    <xdr:ext cx="658385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7" name="CuadroTexto 256">
              <a:extLst>
                <a:ext uri="{FF2B5EF4-FFF2-40B4-BE49-F238E27FC236}">
                  <a16:creationId xmlns:a16="http://schemas.microsoft.com/office/drawing/2014/main" id="{B76E4F99-7B44-4B8D-8DEA-B7BB22113877}"/>
                </a:ext>
              </a:extLst>
            </xdr:cNvPr>
            <xdr:cNvSpPr txBox="1"/>
          </xdr:nvSpPr>
          <xdr:spPr>
            <a:xfrm>
              <a:off x="16586106" y="65098052"/>
              <a:ext cx="65838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2,0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1,0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57" name="CuadroTexto 256">
              <a:extLst>
                <a:ext uri="{FF2B5EF4-FFF2-40B4-BE49-F238E27FC236}">
                  <a16:creationId xmlns:a16="http://schemas.microsoft.com/office/drawing/2014/main" id="{B76E4F99-7B44-4B8D-8DEA-B7BB22113877}"/>
                </a:ext>
              </a:extLst>
            </xdr:cNvPr>
            <xdr:cNvSpPr txBox="1"/>
          </xdr:nvSpPr>
          <xdr:spPr>
            <a:xfrm>
              <a:off x="16586106" y="65098052"/>
              <a:ext cx="658385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𝑋_2,0−𝑋_1,0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28575</xdr:colOff>
      <xdr:row>319</xdr:row>
      <xdr:rowOff>28575</xdr:rowOff>
    </xdr:from>
    <xdr:ext cx="661656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0" name="CuadroTexto 259">
              <a:extLst>
                <a:ext uri="{FF2B5EF4-FFF2-40B4-BE49-F238E27FC236}">
                  <a16:creationId xmlns:a16="http://schemas.microsoft.com/office/drawing/2014/main" id="{2D6B36DF-50A3-410D-B07A-4031B8A02E61}"/>
                </a:ext>
              </a:extLst>
            </xdr:cNvPr>
            <xdr:cNvSpPr txBox="1"/>
          </xdr:nvSpPr>
          <xdr:spPr>
            <a:xfrm>
              <a:off x="16590869" y="65302840"/>
              <a:ext cx="66165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4,0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3,0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60" name="CuadroTexto 259">
              <a:extLst>
                <a:ext uri="{FF2B5EF4-FFF2-40B4-BE49-F238E27FC236}">
                  <a16:creationId xmlns:a16="http://schemas.microsoft.com/office/drawing/2014/main" id="{2D6B36DF-50A3-410D-B07A-4031B8A02E61}"/>
                </a:ext>
              </a:extLst>
            </xdr:cNvPr>
            <xdr:cNvSpPr txBox="1"/>
          </xdr:nvSpPr>
          <xdr:spPr>
            <a:xfrm>
              <a:off x="16590869" y="65302840"/>
              <a:ext cx="661656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𝑋_4,0−𝑋_3,0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7</xdr:col>
      <xdr:colOff>180975</xdr:colOff>
      <xdr:row>316</xdr:row>
      <xdr:rowOff>190500</xdr:rowOff>
    </xdr:from>
    <xdr:ext cx="1249394" cy="5021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1" name="CuadroTexto 260">
              <a:extLst>
                <a:ext uri="{FF2B5EF4-FFF2-40B4-BE49-F238E27FC236}">
                  <a16:creationId xmlns:a16="http://schemas.microsoft.com/office/drawing/2014/main" id="{53E95EA3-3C14-4E70-93BB-6B3C12E25937}"/>
                </a:ext>
              </a:extLst>
            </xdr:cNvPr>
            <xdr:cNvSpPr txBox="1"/>
          </xdr:nvSpPr>
          <xdr:spPr>
            <a:xfrm>
              <a:off x="8204387" y="64579500"/>
              <a:ext cx="1249394" cy="502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repetibilidad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sSup>
                    <m:sSupPr>
                      <m:ctrlPr>
                        <a:rPr lang="es-CO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s-CO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𝑏</m:t>
                      </m:r>
                    </m:e>
                    <m:sup>
                      <m:r>
                        <a:rPr lang="es-CO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′</m:t>
                      </m:r>
                    </m:sup>
                  </m:sSup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261" name="CuadroTexto 260">
              <a:extLst>
                <a:ext uri="{FF2B5EF4-FFF2-40B4-BE49-F238E27FC236}">
                  <a16:creationId xmlns:a16="http://schemas.microsoft.com/office/drawing/2014/main" id="{53E95EA3-3C14-4E70-93BB-6B3C12E25937}"/>
                </a:ext>
              </a:extLst>
            </xdr:cNvPr>
            <xdr:cNvSpPr txBox="1"/>
          </xdr:nvSpPr>
          <xdr:spPr>
            <a:xfrm>
              <a:off x="8204387" y="64579500"/>
              <a:ext cx="1249394" cy="502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repetibilidad</a:t>
              </a:r>
            </a:p>
            <a:p>
              <a:r>
                <a:rPr lang="es-CO" sz="1000" baseline="0"/>
                <a:t>               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7</xdr:col>
      <xdr:colOff>76200</xdr:colOff>
      <xdr:row>314</xdr:row>
      <xdr:rowOff>9525</xdr:rowOff>
    </xdr:from>
    <xdr:ext cx="1250599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2" name="CuadroTexto 261">
              <a:extLst>
                <a:ext uri="{FF2B5EF4-FFF2-40B4-BE49-F238E27FC236}">
                  <a16:creationId xmlns:a16="http://schemas.microsoft.com/office/drawing/2014/main" id="{8CCD0FBD-4532-49A2-9B6D-DE19EAB6747F}"/>
                </a:ext>
              </a:extLst>
            </xdr:cNvPr>
            <xdr:cNvSpPr txBox="1"/>
          </xdr:nvSpPr>
          <xdr:spPr>
            <a:xfrm>
              <a:off x="8099612" y="64006319"/>
              <a:ext cx="125059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𝑟𝑒𝑝𝑒𝑡𝑖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sSup>
                                      <m:sSup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𝑏</m:t>
                                        </m:r>
                                      </m:e>
                                      <m:sup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′</m:t>
                                        </m:r>
                                      </m:sup>
                                    </m:sSup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62" name="CuadroTexto 261">
              <a:extLst>
                <a:ext uri="{FF2B5EF4-FFF2-40B4-BE49-F238E27FC236}">
                  <a16:creationId xmlns:a16="http://schemas.microsoft.com/office/drawing/2014/main" id="{8CCD0FBD-4532-49A2-9B6D-DE19EAB6747F}"/>
                </a:ext>
              </a:extLst>
            </xdr:cNvPr>
            <xdr:cNvSpPr txBox="1"/>
          </xdr:nvSpPr>
          <xdr:spPr>
            <a:xfrm>
              <a:off x="8099612" y="64006319"/>
              <a:ext cx="125059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𝑃_𝑟𝑒𝑝𝑒𝑡𝑖=√(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(𝑏^′/2)〗^2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15</xdr:col>
      <xdr:colOff>274606</xdr:colOff>
      <xdr:row>319</xdr:row>
      <xdr:rowOff>184626</xdr:rowOff>
    </xdr:from>
    <xdr:ext cx="15279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9" name="CuadroTexto 288">
              <a:extLst>
                <a:ext uri="{FF2B5EF4-FFF2-40B4-BE49-F238E27FC236}">
                  <a16:creationId xmlns:a16="http://schemas.microsoft.com/office/drawing/2014/main" id="{0D1FD6E4-9128-40B6-B1F3-C98087FDEBC6}"/>
                </a:ext>
              </a:extLst>
            </xdr:cNvPr>
            <xdr:cNvSpPr txBox="1"/>
          </xdr:nvSpPr>
          <xdr:spPr>
            <a:xfrm>
              <a:off x="16836900" y="65458891"/>
              <a:ext cx="1527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89" name="CuadroTexto 288">
              <a:extLst>
                <a:ext uri="{FF2B5EF4-FFF2-40B4-BE49-F238E27FC236}">
                  <a16:creationId xmlns:a16="http://schemas.microsoft.com/office/drawing/2014/main" id="{0D1FD6E4-9128-40B6-B1F3-C98087FDEBC6}"/>
                </a:ext>
              </a:extLst>
            </xdr:cNvPr>
            <xdr:cNvSpPr txBox="1"/>
          </xdr:nvSpPr>
          <xdr:spPr>
            <a:xfrm>
              <a:off x="16836900" y="65458891"/>
              <a:ext cx="1527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𝑓_0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404812</xdr:colOff>
      <xdr:row>315</xdr:row>
      <xdr:rowOff>42862</xdr:rowOff>
    </xdr:from>
    <xdr:ext cx="2207336" cy="1910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0" name="CuadroTexto 289">
              <a:extLst>
                <a:ext uri="{FF2B5EF4-FFF2-40B4-BE49-F238E27FC236}">
                  <a16:creationId xmlns:a16="http://schemas.microsoft.com/office/drawing/2014/main" id="{662FECD8-BEA1-473A-A14D-D44335F3543C}"/>
                </a:ext>
              </a:extLst>
            </xdr:cNvPr>
            <xdr:cNvSpPr txBox="1"/>
          </xdr:nvSpPr>
          <xdr:spPr>
            <a:xfrm>
              <a:off x="16205106" y="64241362"/>
              <a:ext cx="2207336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𝑚𝑎𝑥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2,0</m:t>
                                </m:r>
                              </m:sub>
                            </m:s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1,0</m:t>
                                </m:r>
                              </m:sub>
                            </m:sSub>
                          </m:e>
                        </m:d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;</m:t>
                        </m:r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</m:e>
                        </m:d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90" name="CuadroTexto 289">
              <a:extLst>
                <a:ext uri="{FF2B5EF4-FFF2-40B4-BE49-F238E27FC236}">
                  <a16:creationId xmlns:a16="http://schemas.microsoft.com/office/drawing/2014/main" id="{662FECD8-BEA1-473A-A14D-D44335F3543C}"/>
                </a:ext>
              </a:extLst>
            </xdr:cNvPr>
            <xdr:cNvSpPr txBox="1"/>
          </xdr:nvSpPr>
          <xdr:spPr>
            <a:xfrm>
              <a:off x="16205106" y="64241362"/>
              <a:ext cx="2207336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𝑓_0=𝑚𝑎𝑥{|𝑋_2,0−𝑋_1,0 |;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|𝑋_4,0−𝑋_3,0 |}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8</xdr:col>
      <xdr:colOff>171450</xdr:colOff>
      <xdr:row>317</xdr:row>
      <xdr:rowOff>9525</xdr:rowOff>
    </xdr:from>
    <xdr:ext cx="1249394" cy="4695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1" name="CuadroTexto 290">
              <a:extLst>
                <a:ext uri="{FF2B5EF4-FFF2-40B4-BE49-F238E27FC236}">
                  <a16:creationId xmlns:a16="http://schemas.microsoft.com/office/drawing/2014/main" id="{12CA1E07-0AB7-4FE5-96F0-C266B527701B}"/>
                </a:ext>
              </a:extLst>
            </xdr:cNvPr>
            <xdr:cNvSpPr txBox="1"/>
          </xdr:nvSpPr>
          <xdr:spPr>
            <a:xfrm>
              <a:off x="9696450" y="64600231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histeris</a:t>
              </a:r>
            </a:p>
            <a:p>
              <a:r>
                <a:rPr lang="es-CO" sz="1000" baseline="0"/>
                <a:t>                </a:t>
              </a:r>
              <a14:m>
                <m:oMath xmlns:m="http://schemas.openxmlformats.org/officeDocument/2006/math">
                  <m:r>
                    <a:rPr lang="es-CO" sz="1000" b="0" i="1" baseline="0">
                      <a:latin typeface="Cambria Math" panose="02040503050406030204" pitchFamily="18" charset="0"/>
                    </a:rPr>
                    <m:t>h</m:t>
                  </m:r>
                </m:oMath>
              </a14:m>
              <a:endParaRPr lang="es-CO" sz="1000"/>
            </a:p>
          </xdr:txBody>
        </xdr:sp>
      </mc:Choice>
      <mc:Fallback xmlns="">
        <xdr:sp macro="" textlink="">
          <xdr:nvSpPr>
            <xdr:cNvPr id="291" name="CuadroTexto 290">
              <a:extLst>
                <a:ext uri="{FF2B5EF4-FFF2-40B4-BE49-F238E27FC236}">
                  <a16:creationId xmlns:a16="http://schemas.microsoft.com/office/drawing/2014/main" id="{12CA1E07-0AB7-4FE5-96F0-C266B527701B}"/>
                </a:ext>
              </a:extLst>
            </xdr:cNvPr>
            <xdr:cNvSpPr txBox="1"/>
          </xdr:nvSpPr>
          <xdr:spPr>
            <a:xfrm>
              <a:off x="9696450" y="64600231"/>
              <a:ext cx="1249394" cy="469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CO" sz="1000"/>
                <a:t>Incertidumbre estandar por</a:t>
              </a:r>
              <a:r>
                <a:rPr lang="es-CO" sz="1000" baseline="0"/>
                <a:t> histeris</a:t>
              </a:r>
            </a:p>
            <a:p>
              <a:r>
                <a:rPr lang="es-CO" sz="1000" baseline="0"/>
                <a:t>                </a:t>
              </a:r>
              <a:r>
                <a:rPr lang="es-CO" sz="1000" b="0" i="0" baseline="0">
                  <a:latin typeface="Cambria Math" panose="02040503050406030204" pitchFamily="18" charset="0"/>
                </a:rPr>
                <a:t>ℎ</a:t>
              </a:r>
              <a:endParaRPr lang="es-CO" sz="1000"/>
            </a:p>
          </xdr:txBody>
        </xdr:sp>
      </mc:Fallback>
    </mc:AlternateContent>
    <xdr:clientData/>
  </xdr:oneCellAnchor>
  <xdr:oneCellAnchor>
    <xdr:from>
      <xdr:col>8</xdr:col>
      <xdr:colOff>28575</xdr:colOff>
      <xdr:row>314</xdr:row>
      <xdr:rowOff>0</xdr:rowOff>
    </xdr:from>
    <xdr:ext cx="1285929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2" name="CuadroTexto 291">
              <a:extLst>
                <a:ext uri="{FF2B5EF4-FFF2-40B4-BE49-F238E27FC236}">
                  <a16:creationId xmlns:a16="http://schemas.microsoft.com/office/drawing/2014/main" id="{D337C4EA-D256-411F-A33E-1BFF12965330}"/>
                </a:ext>
              </a:extLst>
            </xdr:cNvPr>
            <xdr:cNvSpPr txBox="1"/>
          </xdr:nvSpPr>
          <xdr:spPr>
            <a:xfrm>
              <a:off x="9553575" y="63996794"/>
              <a:ext cx="128592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h𝑖𝑠𝑡𝑒𝑟𝑖𝑠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h</m:t>
                                    </m:r>
                                  </m:num>
                                  <m:den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92" name="CuadroTexto 291">
              <a:extLst>
                <a:ext uri="{FF2B5EF4-FFF2-40B4-BE49-F238E27FC236}">
                  <a16:creationId xmlns:a16="http://schemas.microsoft.com/office/drawing/2014/main" id="{D337C4EA-D256-411F-A33E-1BFF12965330}"/>
                </a:ext>
              </a:extLst>
            </xdr:cNvPr>
            <xdr:cNvSpPr txBox="1"/>
          </xdr:nvSpPr>
          <xdr:spPr>
            <a:xfrm>
              <a:off x="9553575" y="63996794"/>
              <a:ext cx="128592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𝑃_ℎ𝑖𝑠𝑡𝑒𝑟𝑖𝑠=√(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〖1/3 (ℎ/2)〗^2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293" name="CuadroTexto 292">
          <a:extLst>
            <a:ext uri="{FF2B5EF4-FFF2-40B4-BE49-F238E27FC236}">
              <a16:creationId xmlns:a16="http://schemas.microsoft.com/office/drawing/2014/main" id="{C6908148-B0B1-421A-8E0B-500E8059DB76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2</xdr:col>
      <xdr:colOff>100012</xdr:colOff>
      <xdr:row>327</xdr:row>
      <xdr:rowOff>52387</xdr:rowOff>
    </xdr:from>
    <xdr:ext cx="1386983" cy="6585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4" name="CuadroTexto 293">
              <a:extLst>
                <a:ext uri="{FF2B5EF4-FFF2-40B4-BE49-F238E27FC236}">
                  <a16:creationId xmlns:a16="http://schemas.microsoft.com/office/drawing/2014/main" id="{AB97A6C3-75F3-49C0-83BA-50D64A272EDC}"/>
                </a:ext>
              </a:extLst>
            </xdr:cNvPr>
            <xdr:cNvSpPr txBox="1"/>
          </xdr:nvSpPr>
          <xdr:spPr>
            <a:xfrm>
              <a:off x="1971394" y="67646269"/>
              <a:ext cx="138698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nary>
                          <m:naryPr>
                            <m:chr m:val="∑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sup>
                          <m:e>
                            <m:sSup>
                              <m:sSup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𝑐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∗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𝜇</m:t>
                                    </m:r>
                                    <m:r>
                                      <a:rPr lang="es-CO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(</m:t>
                                    </m:r>
                                    <m:sSub>
                                      <m:sSubPr>
                                        <m:ctrlP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94" name="CuadroTexto 293">
              <a:extLst>
                <a:ext uri="{FF2B5EF4-FFF2-40B4-BE49-F238E27FC236}">
                  <a16:creationId xmlns:a16="http://schemas.microsoft.com/office/drawing/2014/main" id="{AB97A6C3-75F3-49C0-83BA-50D64A272EDC}"/>
                </a:ext>
              </a:extLst>
            </xdr:cNvPr>
            <xdr:cNvSpPr txBox="1"/>
          </xdr:nvSpPr>
          <xdr:spPr>
            <a:xfrm>
              <a:off x="1971394" y="67646269"/>
              <a:ext cx="1386983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𝑐=√(∑_(𝑖=1)^𝑁▒〖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(𝑐_𝑖∗𝜇(𝑥_𝑖 ))〗^</a:t>
              </a:r>
              <a:r>
                <a:rPr lang="es-CO" sz="1100" b="0" i="0">
                  <a:latin typeface="Cambria Math" panose="02040503050406030204" pitchFamily="18" charset="0"/>
                </a:rPr>
                <a:t>2 )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214312</xdr:colOff>
      <xdr:row>314</xdr:row>
      <xdr:rowOff>166687</xdr:rowOff>
    </xdr:from>
    <xdr:ext cx="90601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5" name="CuadroTexto 294">
              <a:extLst>
                <a:ext uri="{FF2B5EF4-FFF2-40B4-BE49-F238E27FC236}">
                  <a16:creationId xmlns:a16="http://schemas.microsoft.com/office/drawing/2014/main" id="{AB9A2C30-AAA7-4946-B39B-3D789D850E4A}"/>
                </a:ext>
              </a:extLst>
            </xdr:cNvPr>
            <xdr:cNvSpPr txBox="1"/>
          </xdr:nvSpPr>
          <xdr:spPr>
            <a:xfrm>
              <a:off x="3609694" y="64163481"/>
              <a:ext cx="9060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𝑃𝑎𝑡𝑟𝑜𝑛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/2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95" name="CuadroTexto 294">
              <a:extLst>
                <a:ext uri="{FF2B5EF4-FFF2-40B4-BE49-F238E27FC236}">
                  <a16:creationId xmlns:a16="http://schemas.microsoft.com/office/drawing/2014/main" id="{AB9A2C30-AAA7-4946-B39B-3D789D850E4A}"/>
                </a:ext>
              </a:extLst>
            </xdr:cNvPr>
            <xdr:cNvSpPr txBox="1"/>
          </xdr:nvSpPr>
          <xdr:spPr>
            <a:xfrm>
              <a:off x="3609694" y="64163481"/>
              <a:ext cx="9060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𝑃𝑎𝑡𝑟𝑜𝑛=𝑈/2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71436</xdr:colOff>
      <xdr:row>331</xdr:row>
      <xdr:rowOff>157162</xdr:rowOff>
    </xdr:from>
    <xdr:ext cx="1395413" cy="51834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6" name="CuadroTexto 295">
              <a:extLst>
                <a:ext uri="{FF2B5EF4-FFF2-40B4-BE49-F238E27FC236}">
                  <a16:creationId xmlns:a16="http://schemas.microsoft.com/office/drawing/2014/main" id="{6EFF9BF6-6FC7-4003-94CA-C33CFF96457D}"/>
                </a:ext>
              </a:extLst>
            </xdr:cNvPr>
            <xdr:cNvSpPr txBox="1"/>
          </xdr:nvSpPr>
          <xdr:spPr>
            <a:xfrm>
              <a:off x="1942818" y="68513044"/>
              <a:ext cx="1395413" cy="518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𝑒𝑓𝑓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b>
                            </m:sSub>
                          </m:e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num>
                      <m:den>
                        <m:nary>
                          <m:naryPr>
                            <m:chr m:val="∑"/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CO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f>
                              <m:f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es-CO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CO" sz="11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𝜇</m:t>
                                        </m:r>
                                      </m:e>
                                      <m:sub>
                                        <m:r>
                                          <a:rPr lang="es-CO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4</m:t>
                                    </m:r>
                                  </m:sup>
                                </m:sSup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𝑣</m:t>
                                    </m:r>
                                  </m:e>
                                  <m:sub>
                                    <m:r>
                                      <a:rPr lang="es-CO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den>
                            </m:f>
                          </m:e>
                        </m:nary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96" name="CuadroTexto 295">
              <a:extLst>
                <a:ext uri="{FF2B5EF4-FFF2-40B4-BE49-F238E27FC236}">
                  <a16:creationId xmlns:a16="http://schemas.microsoft.com/office/drawing/2014/main" id="{6EFF9BF6-6FC7-4003-94CA-C33CFF96457D}"/>
                </a:ext>
              </a:extLst>
            </xdr:cNvPr>
            <xdr:cNvSpPr txBox="1"/>
          </xdr:nvSpPr>
          <xdr:spPr>
            <a:xfrm>
              <a:off x="1942818" y="68513044"/>
              <a:ext cx="1395413" cy="518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𝑣_𝑒𝑓𝑓=〖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𝑐〗^4/(∑_(𝑖=1)^𝑛▒(〖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𝑖〗^4 (𝑥_𝑖))/𝑣_𝑖 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690562</xdr:colOff>
      <xdr:row>324</xdr:row>
      <xdr:rowOff>80962</xdr:rowOff>
    </xdr:from>
    <xdr:ext cx="1527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7" name="CuadroTexto 296">
              <a:extLst>
                <a:ext uri="{FF2B5EF4-FFF2-40B4-BE49-F238E27FC236}">
                  <a16:creationId xmlns:a16="http://schemas.microsoft.com/office/drawing/2014/main" id="{64C5108C-439D-4698-8447-F5D809BECEA3}"/>
                </a:ext>
              </a:extLst>
            </xdr:cNvPr>
            <xdr:cNvSpPr txBox="1"/>
          </xdr:nvSpPr>
          <xdr:spPr>
            <a:xfrm>
              <a:off x="2561944" y="66341344"/>
              <a:ext cx="152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97" name="CuadroTexto 296">
              <a:extLst>
                <a:ext uri="{FF2B5EF4-FFF2-40B4-BE49-F238E27FC236}">
                  <a16:creationId xmlns:a16="http://schemas.microsoft.com/office/drawing/2014/main" id="{64C5108C-439D-4698-8447-F5D809BECEA3}"/>
                </a:ext>
              </a:extLst>
            </xdr:cNvPr>
            <xdr:cNvSpPr txBox="1"/>
          </xdr:nvSpPr>
          <xdr:spPr>
            <a:xfrm>
              <a:off x="2561944" y="66341344"/>
              <a:ext cx="1527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𝑣_𝑖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338137</xdr:colOff>
      <xdr:row>326</xdr:row>
      <xdr:rowOff>519112</xdr:rowOff>
    </xdr:from>
    <xdr:ext cx="2236831" cy="2027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8" name="CuadroTexto 297">
              <a:extLst>
                <a:ext uri="{FF2B5EF4-FFF2-40B4-BE49-F238E27FC236}">
                  <a16:creationId xmlns:a16="http://schemas.microsoft.com/office/drawing/2014/main" id="{B5792FB1-9493-4D80-852A-F21F57F55198}"/>
                </a:ext>
              </a:extLst>
            </xdr:cNvPr>
            <xdr:cNvSpPr txBox="1"/>
          </xdr:nvSpPr>
          <xdr:spPr>
            <a:xfrm>
              <a:off x="16138431" y="67541494"/>
              <a:ext cx="2236831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𝑎𝑠𝑐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3,0)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1,0)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98" name="CuadroTexto 297">
              <a:extLst>
                <a:ext uri="{FF2B5EF4-FFF2-40B4-BE49-F238E27FC236}">
                  <a16:creationId xmlns:a16="http://schemas.microsoft.com/office/drawing/2014/main" id="{B5792FB1-9493-4D80-852A-F21F57F55198}"/>
                </a:ext>
              </a:extLst>
            </xdr:cNvPr>
            <xdr:cNvSpPr txBox="1"/>
          </xdr:nvSpPr>
          <xdr:spPr>
            <a:xfrm>
              <a:off x="16138431" y="67541494"/>
              <a:ext cx="2236831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𝑏^′〗_(</a:t>
              </a:r>
              <a:r>
                <a:rPr lang="es-CO" sz="1100" b="0" i="0">
                  <a:latin typeface="Cambria Math" panose="02040503050406030204" pitchFamily="18" charset="0"/>
                </a:rPr>
                <a:t>𝑎𝑠𝑐,𝑗)=|(𝑥_(3,𝑗)−𝑥_(3,0))−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(𝑥_(1,𝑗)−𝑥_(1,0)) |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342900</xdr:colOff>
      <xdr:row>328</xdr:row>
      <xdr:rowOff>66675</xdr:rowOff>
    </xdr:from>
    <xdr:ext cx="2218749" cy="20274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9" name="CuadroTexto 298">
              <a:extLst>
                <a:ext uri="{FF2B5EF4-FFF2-40B4-BE49-F238E27FC236}">
                  <a16:creationId xmlns:a16="http://schemas.microsoft.com/office/drawing/2014/main" id="{25E8B6AC-891F-4D0A-B958-82915456C05F}"/>
                </a:ext>
              </a:extLst>
            </xdr:cNvPr>
            <xdr:cNvSpPr txBox="1"/>
          </xdr:nvSpPr>
          <xdr:spPr>
            <a:xfrm>
              <a:off x="16143194" y="67851057"/>
              <a:ext cx="2218749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𝑑𝑒𝑠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|"/>
                        <m:endChr m:val="|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4,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3,0)</m:t>
                            </m:r>
                          </m:sub>
                        </m:s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1,0)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99" name="CuadroTexto 298">
              <a:extLst>
                <a:ext uri="{FF2B5EF4-FFF2-40B4-BE49-F238E27FC236}">
                  <a16:creationId xmlns:a16="http://schemas.microsoft.com/office/drawing/2014/main" id="{25E8B6AC-891F-4D0A-B958-82915456C05F}"/>
                </a:ext>
              </a:extLst>
            </xdr:cNvPr>
            <xdr:cNvSpPr txBox="1"/>
          </xdr:nvSpPr>
          <xdr:spPr>
            <a:xfrm>
              <a:off x="16143194" y="67851057"/>
              <a:ext cx="2218749" cy="20274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𝑏^′〗_(</a:t>
              </a:r>
              <a:r>
                <a:rPr lang="es-CO" sz="1100" b="0" i="0">
                  <a:latin typeface="Cambria Math" panose="02040503050406030204" pitchFamily="18" charset="0"/>
                </a:rPr>
                <a:t>𝑑𝑒𝑠,𝑗)=|(𝑥_(4,𝑗)−𝑥_(3,0))−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(𝑥_(2,𝑗)−𝑥_(1,0)) |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314325</xdr:colOff>
      <xdr:row>329</xdr:row>
      <xdr:rowOff>180975</xdr:rowOff>
    </xdr:from>
    <xdr:ext cx="1793055" cy="2024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1" name="CuadroTexto 310">
              <a:extLst>
                <a:ext uri="{FF2B5EF4-FFF2-40B4-BE49-F238E27FC236}">
                  <a16:creationId xmlns:a16="http://schemas.microsoft.com/office/drawing/2014/main" id="{BD352ED2-616B-408C-8F4A-BF492B31769B}"/>
                </a:ext>
              </a:extLst>
            </xdr:cNvPr>
            <xdr:cNvSpPr txBox="1"/>
          </xdr:nvSpPr>
          <xdr:spPr>
            <a:xfrm>
              <a:off x="16114619" y="68155857"/>
              <a:ext cx="1793055" cy="2024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</m:t>
                            </m:r>
                          </m:e>
                          <m:sup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𝑚𝑒𝑑𝑖𝑜</m:t>
                        </m:r>
                      </m:sub>
                    </m:sSub>
                    <m:r>
                      <a:rPr lang="es-CO" sz="1100" b="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CO" sz="1100" b="0" i="0">
                        <a:latin typeface="Cambria Math" panose="02040503050406030204" pitchFamily="18" charset="0"/>
                      </a:rPr>
                      <m:t>max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𝑎𝑠𝑐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; </m:t>
                        </m:r>
                        <m:sSub>
                          <m:sSubPr>
                            <m:ctrlPr>
                              <a:rPr lang="es-CO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s-CO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𝑏</m:t>
                                </m:r>
                              </m:e>
                              <m:sup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</m:e>
                          <m: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𝑑𝑒𝑠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11" name="CuadroTexto 310">
              <a:extLst>
                <a:ext uri="{FF2B5EF4-FFF2-40B4-BE49-F238E27FC236}">
                  <a16:creationId xmlns:a16="http://schemas.microsoft.com/office/drawing/2014/main" id="{BD352ED2-616B-408C-8F4A-BF492B31769B}"/>
                </a:ext>
              </a:extLst>
            </xdr:cNvPr>
            <xdr:cNvSpPr txBox="1"/>
          </xdr:nvSpPr>
          <xdr:spPr>
            <a:xfrm>
              <a:off x="16114619" y="68155857"/>
              <a:ext cx="1793055" cy="2024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𝑏^′〗_</a:t>
              </a:r>
              <a:r>
                <a:rPr lang="es-CO" sz="1100" b="0" i="0">
                  <a:latin typeface="Cambria Math" panose="02040503050406030204" pitchFamily="18" charset="0"/>
                </a:rPr>
                <a:t>𝑚𝑒𝑑𝑖𝑜=max{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〖𝑏^′〗_(𝑎𝑠𝑐,𝑗); 〖𝑏^′〗_(𝑑𝑒𝑠,𝑗) 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14</xdr:col>
      <xdr:colOff>57150</xdr:colOff>
      <xdr:row>334</xdr:row>
      <xdr:rowOff>19050</xdr:rowOff>
    </xdr:from>
    <xdr:ext cx="4006546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2" name="CuadroTexto 311">
              <a:extLst>
                <a:ext uri="{FF2B5EF4-FFF2-40B4-BE49-F238E27FC236}">
                  <a16:creationId xmlns:a16="http://schemas.microsoft.com/office/drawing/2014/main" id="{83E56520-6B21-4B86-AAB1-C0B8AF843ACB}"/>
                </a:ext>
              </a:extLst>
            </xdr:cNvPr>
            <xdr:cNvSpPr txBox="1"/>
          </xdr:nvSpPr>
          <xdr:spPr>
            <a:xfrm>
              <a:off x="15857444" y="68946432"/>
              <a:ext cx="400654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begChr m:val="{"/>
                        <m:endChr m:val="}"/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2,</m:t>
                                </m:r>
                                <m:r>
                                  <a:rPr lang="es-CO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d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begChr m:val="|"/>
                            <m:endChr m:val="|"/>
                            <m:ctrlP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</m:t>
                                </m:r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s-CO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3,0</m:t>
                                </m:r>
                              </m:sub>
                            </m:sSub>
                            <m:r>
                              <a:rPr lang="es-CO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d>
                      </m:e>
                    </m: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12" name="CuadroTexto 311">
              <a:extLst>
                <a:ext uri="{FF2B5EF4-FFF2-40B4-BE49-F238E27FC236}">
                  <a16:creationId xmlns:a16="http://schemas.microsoft.com/office/drawing/2014/main" id="{83E56520-6B21-4B86-AAB1-C0B8AF843ACB}"/>
                </a:ext>
              </a:extLst>
            </xdr:cNvPr>
            <xdr:cNvSpPr txBox="1"/>
          </xdr:nvSpPr>
          <xdr:spPr>
            <a:xfrm>
              <a:off x="15857444" y="68946432"/>
              <a:ext cx="4006546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ℎ=1/𝑛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×{|〖(𝑋〗_(2,𝑗)−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𝑋_1,0)−〖(𝑋〗_(1,𝑗)−𝑋_1,0)|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|〖(𝑋〗_(4,𝑗)−𝑋_3,0)−〖(𝑋〗_(3,𝑗)−𝑋_3,0)|}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452437</xdr:colOff>
      <xdr:row>336</xdr:row>
      <xdr:rowOff>166687</xdr:rowOff>
    </xdr:from>
    <xdr:ext cx="66678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3" name="CuadroTexto 312">
              <a:extLst>
                <a:ext uri="{FF2B5EF4-FFF2-40B4-BE49-F238E27FC236}">
                  <a16:creationId xmlns:a16="http://schemas.microsoft.com/office/drawing/2014/main" id="{44F15D72-25FC-4F70-A2B5-23CDD73F4CDB}"/>
                </a:ext>
              </a:extLst>
            </xdr:cNvPr>
            <xdr:cNvSpPr txBox="1"/>
          </xdr:nvSpPr>
          <xdr:spPr>
            <a:xfrm>
              <a:off x="2323819" y="69475069"/>
              <a:ext cx="6667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𝑈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100" b="0" i="1">
                        <a:latin typeface="Cambria Math" panose="02040503050406030204" pitchFamily="18" charset="0"/>
                      </a:rPr>
                      <m:t>𝑘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13" name="CuadroTexto 312">
              <a:extLst>
                <a:ext uri="{FF2B5EF4-FFF2-40B4-BE49-F238E27FC236}">
                  <a16:creationId xmlns:a16="http://schemas.microsoft.com/office/drawing/2014/main" id="{44F15D72-25FC-4F70-A2B5-23CDD73F4CDB}"/>
                </a:ext>
              </a:extLst>
            </xdr:cNvPr>
            <xdr:cNvSpPr txBox="1"/>
          </xdr:nvSpPr>
          <xdr:spPr>
            <a:xfrm>
              <a:off x="2323819" y="69475069"/>
              <a:ext cx="66678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𝑈=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s-CO" sz="1100" b="0" i="0">
                  <a:latin typeface="Cambria Math" panose="02040503050406030204" pitchFamily="18" charset="0"/>
                </a:rPr>
                <a:t>𝑐∗𝑘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2</xdr:col>
      <xdr:colOff>728662</xdr:colOff>
      <xdr:row>335</xdr:row>
      <xdr:rowOff>23812</xdr:rowOff>
    </xdr:from>
    <xdr:ext cx="11381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4" name="CuadroTexto 313">
              <a:extLst>
                <a:ext uri="{FF2B5EF4-FFF2-40B4-BE49-F238E27FC236}">
                  <a16:creationId xmlns:a16="http://schemas.microsoft.com/office/drawing/2014/main" id="{238DF13D-2C1B-49A7-BA63-2C96B6483D08}"/>
                </a:ext>
              </a:extLst>
            </xdr:cNvPr>
            <xdr:cNvSpPr txBox="1"/>
          </xdr:nvSpPr>
          <xdr:spPr>
            <a:xfrm>
              <a:off x="2600044" y="69141694"/>
              <a:ext cx="1138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𝑘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14" name="CuadroTexto 313">
              <a:extLst>
                <a:ext uri="{FF2B5EF4-FFF2-40B4-BE49-F238E27FC236}">
                  <a16:creationId xmlns:a16="http://schemas.microsoft.com/office/drawing/2014/main" id="{238DF13D-2C1B-49A7-BA63-2C96B6483D08}"/>
                </a:ext>
              </a:extLst>
            </xdr:cNvPr>
            <xdr:cNvSpPr txBox="1"/>
          </xdr:nvSpPr>
          <xdr:spPr>
            <a:xfrm>
              <a:off x="2600044" y="69141694"/>
              <a:ext cx="1138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b="0" i="0">
                  <a:latin typeface="Cambria Math" panose="02040503050406030204" pitchFamily="18" charset="0"/>
                </a:rPr>
                <a:t>𝑘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10</xdr:col>
      <xdr:colOff>57150</xdr:colOff>
      <xdr:row>314</xdr:row>
      <xdr:rowOff>152400</xdr:rowOff>
    </xdr:from>
    <xdr:ext cx="1158330" cy="3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5" name="CuadroTexto 314">
              <a:extLst>
                <a:ext uri="{FF2B5EF4-FFF2-40B4-BE49-F238E27FC236}">
                  <a16:creationId xmlns:a16="http://schemas.microsoft.com/office/drawing/2014/main" id="{998A5954-4994-4918-BE23-7BCB44B91DD3}"/>
                </a:ext>
              </a:extLst>
            </xdr:cNvPr>
            <xdr:cNvSpPr txBox="1"/>
          </xdr:nvSpPr>
          <xdr:spPr>
            <a:xfrm>
              <a:off x="12282768" y="64149194"/>
              <a:ext cx="1158330" cy="3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sSub>
                      <m:sSub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𝐷𝑒𝑟𝑖𝑣𝑎</m:t>
                        </m:r>
                      </m:sub>
                    </m:sSub>
                    <m:r>
                      <a:rPr lang="es-CO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𝐷𝑒𝑟𝑖𝑣𝑎</m:t>
                        </m:r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2∗</m:t>
                        </m:r>
                        <m:rad>
                          <m:radPr>
                            <m:degHide m:val="on"/>
                            <m:ctrlP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315" name="CuadroTexto 314">
              <a:extLst>
                <a:ext uri="{FF2B5EF4-FFF2-40B4-BE49-F238E27FC236}">
                  <a16:creationId xmlns:a16="http://schemas.microsoft.com/office/drawing/2014/main" id="{998A5954-4994-4918-BE23-7BCB44B91DD3}"/>
                </a:ext>
              </a:extLst>
            </xdr:cNvPr>
            <xdr:cNvSpPr txBox="1"/>
          </xdr:nvSpPr>
          <xdr:spPr>
            <a:xfrm>
              <a:off x="12282768" y="64149194"/>
              <a:ext cx="1158330" cy="3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s-C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𝑃_𝐷𝑒𝑟𝑖𝑣𝑎=𝐷𝑒𝑟𝑖𝑣𝑎/(2∗√3)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316" name="CuadroTexto 315">
          <a:extLst>
            <a:ext uri="{FF2B5EF4-FFF2-40B4-BE49-F238E27FC236}">
              <a16:creationId xmlns:a16="http://schemas.microsoft.com/office/drawing/2014/main" id="{89B09BA3-C45B-4FAD-8BEF-CAC17892293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317" name="CuadroTexto 316">
          <a:extLst>
            <a:ext uri="{FF2B5EF4-FFF2-40B4-BE49-F238E27FC236}">
              <a16:creationId xmlns:a16="http://schemas.microsoft.com/office/drawing/2014/main" id="{9899BD7E-1D28-455C-8471-53C04AD7CBE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318" name="CuadroTexto 317">
          <a:extLst>
            <a:ext uri="{FF2B5EF4-FFF2-40B4-BE49-F238E27FC236}">
              <a16:creationId xmlns:a16="http://schemas.microsoft.com/office/drawing/2014/main" id="{1A096353-5F2F-43C3-923D-84412421CBA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319" name="CuadroTexto 318">
          <a:extLst>
            <a:ext uri="{FF2B5EF4-FFF2-40B4-BE49-F238E27FC236}">
              <a16:creationId xmlns:a16="http://schemas.microsoft.com/office/drawing/2014/main" id="{6DF26AD8-38AB-428C-8326-47A54CEE680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320" name="CuadroTexto 319">
          <a:extLst>
            <a:ext uri="{FF2B5EF4-FFF2-40B4-BE49-F238E27FC236}">
              <a16:creationId xmlns:a16="http://schemas.microsoft.com/office/drawing/2014/main" id="{CD877A55-4E76-468F-B538-A7CA43D1D12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321" name="CuadroTexto 320">
          <a:extLst>
            <a:ext uri="{FF2B5EF4-FFF2-40B4-BE49-F238E27FC236}">
              <a16:creationId xmlns:a16="http://schemas.microsoft.com/office/drawing/2014/main" id="{7C0E5899-B7C2-45D9-9852-A4A10A40CAA5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322" name="CuadroTexto 321">
          <a:extLst>
            <a:ext uri="{FF2B5EF4-FFF2-40B4-BE49-F238E27FC236}">
              <a16:creationId xmlns:a16="http://schemas.microsoft.com/office/drawing/2014/main" id="{A479D40B-3F15-4E17-A933-651E9A91D7B6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323" name="CuadroTexto 322">
          <a:extLst>
            <a:ext uri="{FF2B5EF4-FFF2-40B4-BE49-F238E27FC236}">
              <a16:creationId xmlns:a16="http://schemas.microsoft.com/office/drawing/2014/main" id="{D6218514-A77A-4656-A91F-42112A28E0E6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324" name="CuadroTexto 323">
          <a:extLst>
            <a:ext uri="{FF2B5EF4-FFF2-40B4-BE49-F238E27FC236}">
              <a16:creationId xmlns:a16="http://schemas.microsoft.com/office/drawing/2014/main" id="{2FCF543B-691A-4F0E-90EA-4CA0DAAC005A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325" name="CuadroTexto 324">
          <a:extLst>
            <a:ext uri="{FF2B5EF4-FFF2-40B4-BE49-F238E27FC236}">
              <a16:creationId xmlns:a16="http://schemas.microsoft.com/office/drawing/2014/main" id="{19046BA5-5A61-4F1B-8BE8-854152F1A72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341" name="CuadroTexto 340">
          <a:extLst>
            <a:ext uri="{FF2B5EF4-FFF2-40B4-BE49-F238E27FC236}">
              <a16:creationId xmlns:a16="http://schemas.microsoft.com/office/drawing/2014/main" id="{DEF6C8C5-7BD0-4C53-B3C2-4E627E95D0C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342" name="CuadroTexto 341">
          <a:extLst>
            <a:ext uri="{FF2B5EF4-FFF2-40B4-BE49-F238E27FC236}">
              <a16:creationId xmlns:a16="http://schemas.microsoft.com/office/drawing/2014/main" id="{45EC6E84-8DA6-4CDD-8704-E18941B92A3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343" name="CuadroTexto 342">
          <a:extLst>
            <a:ext uri="{FF2B5EF4-FFF2-40B4-BE49-F238E27FC236}">
              <a16:creationId xmlns:a16="http://schemas.microsoft.com/office/drawing/2014/main" id="{B960F9DF-157E-47AE-B285-528499AD4FA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344" name="CuadroTexto 343">
          <a:extLst>
            <a:ext uri="{FF2B5EF4-FFF2-40B4-BE49-F238E27FC236}">
              <a16:creationId xmlns:a16="http://schemas.microsoft.com/office/drawing/2014/main" id="{489791DC-6E2F-4B65-9F22-0198BBBDEFE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345" name="CuadroTexto 344">
          <a:extLst>
            <a:ext uri="{FF2B5EF4-FFF2-40B4-BE49-F238E27FC236}">
              <a16:creationId xmlns:a16="http://schemas.microsoft.com/office/drawing/2014/main" id="{A81C670F-9B71-42BB-BEB0-A43B21D3C07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346" name="CuadroTexto 345">
          <a:extLst>
            <a:ext uri="{FF2B5EF4-FFF2-40B4-BE49-F238E27FC236}">
              <a16:creationId xmlns:a16="http://schemas.microsoft.com/office/drawing/2014/main" id="{04425F3C-16A8-4C4A-A64E-AF7356D706C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347" name="CuadroTexto 346">
          <a:extLst>
            <a:ext uri="{FF2B5EF4-FFF2-40B4-BE49-F238E27FC236}">
              <a16:creationId xmlns:a16="http://schemas.microsoft.com/office/drawing/2014/main" id="{2A33D174-F824-4598-9FCE-EE257BB4555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348" name="CuadroTexto 347">
          <a:extLst>
            <a:ext uri="{FF2B5EF4-FFF2-40B4-BE49-F238E27FC236}">
              <a16:creationId xmlns:a16="http://schemas.microsoft.com/office/drawing/2014/main" id="{C96B3446-C059-4FBD-AD6D-5BA7AD231C3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349" name="CuadroTexto 348">
          <a:extLst>
            <a:ext uri="{FF2B5EF4-FFF2-40B4-BE49-F238E27FC236}">
              <a16:creationId xmlns:a16="http://schemas.microsoft.com/office/drawing/2014/main" id="{AE93A3C3-757B-49C9-AB39-E91F9566E2B5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43</xdr:row>
      <xdr:rowOff>89376</xdr:rowOff>
    </xdr:from>
    <xdr:ext cx="65" cy="172227"/>
    <xdr:sp macro="" textlink="">
      <xdr:nvSpPr>
        <xdr:cNvPr id="350" name="CuadroTexto 349">
          <a:extLst>
            <a:ext uri="{FF2B5EF4-FFF2-40B4-BE49-F238E27FC236}">
              <a16:creationId xmlns:a16="http://schemas.microsoft.com/office/drawing/2014/main" id="{91C08F98-0641-4770-B6F7-4A4C607922B3}"/>
            </a:ext>
          </a:extLst>
        </xdr:cNvPr>
        <xdr:cNvSpPr txBox="1"/>
      </xdr:nvSpPr>
      <xdr:spPr>
        <a:xfrm>
          <a:off x="5553137" y="272275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74</xdr:row>
      <xdr:rowOff>89376</xdr:rowOff>
    </xdr:from>
    <xdr:ext cx="65" cy="172227"/>
    <xdr:sp macro="" textlink="">
      <xdr:nvSpPr>
        <xdr:cNvPr id="351" name="CuadroTexto 350">
          <a:extLst>
            <a:ext uri="{FF2B5EF4-FFF2-40B4-BE49-F238E27FC236}">
              <a16:creationId xmlns:a16="http://schemas.microsoft.com/office/drawing/2014/main" id="{8D53B1C5-81EC-48C2-AD00-ECA6BAAB87E1}"/>
            </a:ext>
          </a:extLst>
        </xdr:cNvPr>
        <xdr:cNvSpPr txBox="1"/>
      </xdr:nvSpPr>
      <xdr:spPr>
        <a:xfrm>
          <a:off x="5553137" y="97488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74</xdr:row>
      <xdr:rowOff>89376</xdr:rowOff>
    </xdr:from>
    <xdr:ext cx="65" cy="172227"/>
    <xdr:sp macro="" textlink="">
      <xdr:nvSpPr>
        <xdr:cNvPr id="352" name="CuadroTexto 351">
          <a:extLst>
            <a:ext uri="{FF2B5EF4-FFF2-40B4-BE49-F238E27FC236}">
              <a16:creationId xmlns:a16="http://schemas.microsoft.com/office/drawing/2014/main" id="{D59D22AB-AD57-4DDC-AACB-42A968A3A8B3}"/>
            </a:ext>
          </a:extLst>
        </xdr:cNvPr>
        <xdr:cNvSpPr txBox="1"/>
      </xdr:nvSpPr>
      <xdr:spPr>
        <a:xfrm>
          <a:off x="5553137" y="97488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74</xdr:row>
      <xdr:rowOff>89376</xdr:rowOff>
    </xdr:from>
    <xdr:ext cx="65" cy="172227"/>
    <xdr:sp macro="" textlink="">
      <xdr:nvSpPr>
        <xdr:cNvPr id="353" name="CuadroTexto 352">
          <a:extLst>
            <a:ext uri="{FF2B5EF4-FFF2-40B4-BE49-F238E27FC236}">
              <a16:creationId xmlns:a16="http://schemas.microsoft.com/office/drawing/2014/main" id="{EE421832-AD6D-4245-AE61-E1B94683465C}"/>
            </a:ext>
          </a:extLst>
        </xdr:cNvPr>
        <xdr:cNvSpPr txBox="1"/>
      </xdr:nvSpPr>
      <xdr:spPr>
        <a:xfrm>
          <a:off x="5553137" y="97488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105</xdr:row>
      <xdr:rowOff>89376</xdr:rowOff>
    </xdr:from>
    <xdr:ext cx="65" cy="172227"/>
    <xdr:sp macro="" textlink="">
      <xdr:nvSpPr>
        <xdr:cNvPr id="354" name="CuadroTexto 353">
          <a:extLst>
            <a:ext uri="{FF2B5EF4-FFF2-40B4-BE49-F238E27FC236}">
              <a16:creationId xmlns:a16="http://schemas.microsoft.com/office/drawing/2014/main" id="{6694DF97-08BD-4CC9-9B24-B45C60A6E5F1}"/>
            </a:ext>
          </a:extLst>
        </xdr:cNvPr>
        <xdr:cNvSpPr txBox="1"/>
      </xdr:nvSpPr>
      <xdr:spPr>
        <a:xfrm>
          <a:off x="5553137" y="167749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105</xdr:row>
      <xdr:rowOff>89376</xdr:rowOff>
    </xdr:from>
    <xdr:ext cx="65" cy="172227"/>
    <xdr:sp macro="" textlink="">
      <xdr:nvSpPr>
        <xdr:cNvPr id="355" name="CuadroTexto 354">
          <a:extLst>
            <a:ext uri="{FF2B5EF4-FFF2-40B4-BE49-F238E27FC236}">
              <a16:creationId xmlns:a16="http://schemas.microsoft.com/office/drawing/2014/main" id="{5A594284-E28D-4118-85BF-081A6EC1D943}"/>
            </a:ext>
          </a:extLst>
        </xdr:cNvPr>
        <xdr:cNvSpPr txBox="1"/>
      </xdr:nvSpPr>
      <xdr:spPr>
        <a:xfrm>
          <a:off x="5553137" y="167749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105</xdr:row>
      <xdr:rowOff>89376</xdr:rowOff>
    </xdr:from>
    <xdr:ext cx="65" cy="172227"/>
    <xdr:sp macro="" textlink="">
      <xdr:nvSpPr>
        <xdr:cNvPr id="356" name="CuadroTexto 355">
          <a:extLst>
            <a:ext uri="{FF2B5EF4-FFF2-40B4-BE49-F238E27FC236}">
              <a16:creationId xmlns:a16="http://schemas.microsoft.com/office/drawing/2014/main" id="{6BDA6CBA-420B-472C-B850-0CD99627F7D8}"/>
            </a:ext>
          </a:extLst>
        </xdr:cNvPr>
        <xdr:cNvSpPr txBox="1"/>
      </xdr:nvSpPr>
      <xdr:spPr>
        <a:xfrm>
          <a:off x="5553137" y="167749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105</xdr:row>
      <xdr:rowOff>89376</xdr:rowOff>
    </xdr:from>
    <xdr:ext cx="65" cy="172227"/>
    <xdr:sp macro="" textlink="">
      <xdr:nvSpPr>
        <xdr:cNvPr id="357" name="CuadroTexto 356">
          <a:extLst>
            <a:ext uri="{FF2B5EF4-FFF2-40B4-BE49-F238E27FC236}">
              <a16:creationId xmlns:a16="http://schemas.microsoft.com/office/drawing/2014/main" id="{2A5EAB76-38AB-404F-80CF-FE50E620DE0C}"/>
            </a:ext>
          </a:extLst>
        </xdr:cNvPr>
        <xdr:cNvSpPr txBox="1"/>
      </xdr:nvSpPr>
      <xdr:spPr>
        <a:xfrm>
          <a:off x="5553137" y="167749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105</xdr:row>
      <xdr:rowOff>89376</xdr:rowOff>
    </xdr:from>
    <xdr:ext cx="65" cy="172227"/>
    <xdr:sp macro="" textlink="">
      <xdr:nvSpPr>
        <xdr:cNvPr id="358" name="CuadroTexto 357">
          <a:extLst>
            <a:ext uri="{FF2B5EF4-FFF2-40B4-BE49-F238E27FC236}">
              <a16:creationId xmlns:a16="http://schemas.microsoft.com/office/drawing/2014/main" id="{E8E57398-8559-49E6-B85F-FEE7E378EF76}"/>
            </a:ext>
          </a:extLst>
        </xdr:cNvPr>
        <xdr:cNvSpPr txBox="1"/>
      </xdr:nvSpPr>
      <xdr:spPr>
        <a:xfrm>
          <a:off x="5553137" y="167749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105</xdr:row>
      <xdr:rowOff>89376</xdr:rowOff>
    </xdr:from>
    <xdr:ext cx="65" cy="172227"/>
    <xdr:sp macro="" textlink="">
      <xdr:nvSpPr>
        <xdr:cNvPr id="359" name="CuadroTexto 358">
          <a:extLst>
            <a:ext uri="{FF2B5EF4-FFF2-40B4-BE49-F238E27FC236}">
              <a16:creationId xmlns:a16="http://schemas.microsoft.com/office/drawing/2014/main" id="{576BC74A-E4DA-4170-9F75-5EC2E108E33E}"/>
            </a:ext>
          </a:extLst>
        </xdr:cNvPr>
        <xdr:cNvSpPr txBox="1"/>
      </xdr:nvSpPr>
      <xdr:spPr>
        <a:xfrm>
          <a:off x="5553137" y="167749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105</xdr:row>
      <xdr:rowOff>89376</xdr:rowOff>
    </xdr:from>
    <xdr:ext cx="65" cy="172227"/>
    <xdr:sp macro="" textlink="">
      <xdr:nvSpPr>
        <xdr:cNvPr id="360" name="CuadroTexto 359">
          <a:extLst>
            <a:ext uri="{FF2B5EF4-FFF2-40B4-BE49-F238E27FC236}">
              <a16:creationId xmlns:a16="http://schemas.microsoft.com/office/drawing/2014/main" id="{BE8F1ED7-64FE-4AD7-9A9A-F7FF87CE6A2A}"/>
            </a:ext>
          </a:extLst>
        </xdr:cNvPr>
        <xdr:cNvSpPr txBox="1"/>
      </xdr:nvSpPr>
      <xdr:spPr>
        <a:xfrm>
          <a:off x="5553137" y="167749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105</xdr:row>
      <xdr:rowOff>89376</xdr:rowOff>
    </xdr:from>
    <xdr:ext cx="65" cy="172227"/>
    <xdr:sp macro="" textlink="">
      <xdr:nvSpPr>
        <xdr:cNvPr id="361" name="CuadroTexto 360">
          <a:extLst>
            <a:ext uri="{FF2B5EF4-FFF2-40B4-BE49-F238E27FC236}">
              <a16:creationId xmlns:a16="http://schemas.microsoft.com/office/drawing/2014/main" id="{149C33E4-D91C-4A42-89F8-D01D522CA05B}"/>
            </a:ext>
          </a:extLst>
        </xdr:cNvPr>
        <xdr:cNvSpPr txBox="1"/>
      </xdr:nvSpPr>
      <xdr:spPr>
        <a:xfrm>
          <a:off x="5553137" y="167749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105</xdr:row>
      <xdr:rowOff>89376</xdr:rowOff>
    </xdr:from>
    <xdr:ext cx="65" cy="172227"/>
    <xdr:sp macro="" textlink="">
      <xdr:nvSpPr>
        <xdr:cNvPr id="362" name="CuadroTexto 361">
          <a:extLst>
            <a:ext uri="{FF2B5EF4-FFF2-40B4-BE49-F238E27FC236}">
              <a16:creationId xmlns:a16="http://schemas.microsoft.com/office/drawing/2014/main" id="{9595258A-74BB-4258-BE98-33F127B4D304}"/>
            </a:ext>
          </a:extLst>
        </xdr:cNvPr>
        <xdr:cNvSpPr txBox="1"/>
      </xdr:nvSpPr>
      <xdr:spPr>
        <a:xfrm>
          <a:off x="5553137" y="167749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105</xdr:row>
      <xdr:rowOff>89376</xdr:rowOff>
    </xdr:from>
    <xdr:ext cx="65" cy="172227"/>
    <xdr:sp macro="" textlink="">
      <xdr:nvSpPr>
        <xdr:cNvPr id="363" name="CuadroTexto 362">
          <a:extLst>
            <a:ext uri="{FF2B5EF4-FFF2-40B4-BE49-F238E27FC236}">
              <a16:creationId xmlns:a16="http://schemas.microsoft.com/office/drawing/2014/main" id="{8D912385-7A06-4D37-911A-6208EC857E4A}"/>
            </a:ext>
          </a:extLst>
        </xdr:cNvPr>
        <xdr:cNvSpPr txBox="1"/>
      </xdr:nvSpPr>
      <xdr:spPr>
        <a:xfrm>
          <a:off x="5553137" y="167749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105</xdr:row>
      <xdr:rowOff>89376</xdr:rowOff>
    </xdr:from>
    <xdr:ext cx="65" cy="172227"/>
    <xdr:sp macro="" textlink="">
      <xdr:nvSpPr>
        <xdr:cNvPr id="364" name="CuadroTexto 363">
          <a:extLst>
            <a:ext uri="{FF2B5EF4-FFF2-40B4-BE49-F238E27FC236}">
              <a16:creationId xmlns:a16="http://schemas.microsoft.com/office/drawing/2014/main" id="{3F90C8F9-2219-4109-B526-32639954FE0E}"/>
            </a:ext>
          </a:extLst>
        </xdr:cNvPr>
        <xdr:cNvSpPr txBox="1"/>
      </xdr:nvSpPr>
      <xdr:spPr>
        <a:xfrm>
          <a:off x="5553137" y="167749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105</xdr:row>
      <xdr:rowOff>89376</xdr:rowOff>
    </xdr:from>
    <xdr:ext cx="65" cy="172227"/>
    <xdr:sp macro="" textlink="">
      <xdr:nvSpPr>
        <xdr:cNvPr id="365" name="CuadroTexto 364">
          <a:extLst>
            <a:ext uri="{FF2B5EF4-FFF2-40B4-BE49-F238E27FC236}">
              <a16:creationId xmlns:a16="http://schemas.microsoft.com/office/drawing/2014/main" id="{E0FD95F1-228C-42C6-A37A-235DC984DC86}"/>
            </a:ext>
          </a:extLst>
        </xdr:cNvPr>
        <xdr:cNvSpPr txBox="1"/>
      </xdr:nvSpPr>
      <xdr:spPr>
        <a:xfrm>
          <a:off x="5553137" y="167749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136</xdr:row>
      <xdr:rowOff>89376</xdr:rowOff>
    </xdr:from>
    <xdr:ext cx="65" cy="172227"/>
    <xdr:sp macro="" textlink="">
      <xdr:nvSpPr>
        <xdr:cNvPr id="366" name="CuadroTexto 365">
          <a:extLst>
            <a:ext uri="{FF2B5EF4-FFF2-40B4-BE49-F238E27FC236}">
              <a16:creationId xmlns:a16="http://schemas.microsoft.com/office/drawing/2014/main" id="{1A4F6A80-BFFE-4EDC-8F56-6D68B27C4198}"/>
            </a:ext>
          </a:extLst>
        </xdr:cNvPr>
        <xdr:cNvSpPr txBox="1"/>
      </xdr:nvSpPr>
      <xdr:spPr>
        <a:xfrm>
          <a:off x="5553137" y="2380102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136</xdr:row>
      <xdr:rowOff>89376</xdr:rowOff>
    </xdr:from>
    <xdr:ext cx="65" cy="172227"/>
    <xdr:sp macro="" textlink="">
      <xdr:nvSpPr>
        <xdr:cNvPr id="367" name="CuadroTexto 366">
          <a:extLst>
            <a:ext uri="{FF2B5EF4-FFF2-40B4-BE49-F238E27FC236}">
              <a16:creationId xmlns:a16="http://schemas.microsoft.com/office/drawing/2014/main" id="{700F4EBE-814D-4BE0-AFD9-8AC3F6CDD5B0}"/>
            </a:ext>
          </a:extLst>
        </xdr:cNvPr>
        <xdr:cNvSpPr txBox="1"/>
      </xdr:nvSpPr>
      <xdr:spPr>
        <a:xfrm>
          <a:off x="5553137" y="2380102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136</xdr:row>
      <xdr:rowOff>89376</xdr:rowOff>
    </xdr:from>
    <xdr:ext cx="65" cy="172227"/>
    <xdr:sp macro="" textlink="">
      <xdr:nvSpPr>
        <xdr:cNvPr id="368" name="CuadroTexto 367">
          <a:extLst>
            <a:ext uri="{FF2B5EF4-FFF2-40B4-BE49-F238E27FC236}">
              <a16:creationId xmlns:a16="http://schemas.microsoft.com/office/drawing/2014/main" id="{F2DC3C5B-CD60-43F5-B784-67715D49076B}"/>
            </a:ext>
          </a:extLst>
        </xdr:cNvPr>
        <xdr:cNvSpPr txBox="1"/>
      </xdr:nvSpPr>
      <xdr:spPr>
        <a:xfrm>
          <a:off x="5553137" y="2380102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136</xdr:row>
      <xdr:rowOff>89376</xdr:rowOff>
    </xdr:from>
    <xdr:ext cx="65" cy="172227"/>
    <xdr:sp macro="" textlink="">
      <xdr:nvSpPr>
        <xdr:cNvPr id="369" name="CuadroTexto 368">
          <a:extLst>
            <a:ext uri="{FF2B5EF4-FFF2-40B4-BE49-F238E27FC236}">
              <a16:creationId xmlns:a16="http://schemas.microsoft.com/office/drawing/2014/main" id="{F14E26E4-92D7-4100-921D-B5C8EF3005D4}"/>
            </a:ext>
          </a:extLst>
        </xdr:cNvPr>
        <xdr:cNvSpPr txBox="1"/>
      </xdr:nvSpPr>
      <xdr:spPr>
        <a:xfrm>
          <a:off x="5553137" y="2380102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136</xdr:row>
      <xdr:rowOff>89376</xdr:rowOff>
    </xdr:from>
    <xdr:ext cx="65" cy="172227"/>
    <xdr:sp macro="" textlink="">
      <xdr:nvSpPr>
        <xdr:cNvPr id="370" name="CuadroTexto 369">
          <a:extLst>
            <a:ext uri="{FF2B5EF4-FFF2-40B4-BE49-F238E27FC236}">
              <a16:creationId xmlns:a16="http://schemas.microsoft.com/office/drawing/2014/main" id="{A8550424-31F8-4CD8-85CA-9DC9A80B1C14}"/>
            </a:ext>
          </a:extLst>
        </xdr:cNvPr>
        <xdr:cNvSpPr txBox="1"/>
      </xdr:nvSpPr>
      <xdr:spPr>
        <a:xfrm>
          <a:off x="5553137" y="2380102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136</xdr:row>
      <xdr:rowOff>89376</xdr:rowOff>
    </xdr:from>
    <xdr:ext cx="65" cy="172227"/>
    <xdr:sp macro="" textlink="">
      <xdr:nvSpPr>
        <xdr:cNvPr id="371" name="CuadroTexto 370">
          <a:extLst>
            <a:ext uri="{FF2B5EF4-FFF2-40B4-BE49-F238E27FC236}">
              <a16:creationId xmlns:a16="http://schemas.microsoft.com/office/drawing/2014/main" id="{EB126200-BA4A-42A2-85B9-48C5F3F7B666}"/>
            </a:ext>
          </a:extLst>
        </xdr:cNvPr>
        <xdr:cNvSpPr txBox="1"/>
      </xdr:nvSpPr>
      <xdr:spPr>
        <a:xfrm>
          <a:off x="5553137" y="2380102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136</xdr:row>
      <xdr:rowOff>89376</xdr:rowOff>
    </xdr:from>
    <xdr:ext cx="65" cy="172227"/>
    <xdr:sp macro="" textlink="">
      <xdr:nvSpPr>
        <xdr:cNvPr id="372" name="CuadroTexto 371">
          <a:extLst>
            <a:ext uri="{FF2B5EF4-FFF2-40B4-BE49-F238E27FC236}">
              <a16:creationId xmlns:a16="http://schemas.microsoft.com/office/drawing/2014/main" id="{6E4FABF9-22AD-4CDE-AA78-863DC50DD3C3}"/>
            </a:ext>
          </a:extLst>
        </xdr:cNvPr>
        <xdr:cNvSpPr txBox="1"/>
      </xdr:nvSpPr>
      <xdr:spPr>
        <a:xfrm>
          <a:off x="5553137" y="2380102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136</xdr:row>
      <xdr:rowOff>89376</xdr:rowOff>
    </xdr:from>
    <xdr:ext cx="65" cy="172227"/>
    <xdr:sp macro="" textlink="">
      <xdr:nvSpPr>
        <xdr:cNvPr id="373" name="CuadroTexto 372">
          <a:extLst>
            <a:ext uri="{FF2B5EF4-FFF2-40B4-BE49-F238E27FC236}">
              <a16:creationId xmlns:a16="http://schemas.microsoft.com/office/drawing/2014/main" id="{28A0794C-E699-4D5E-8C9F-9B9EDB712ECB}"/>
            </a:ext>
          </a:extLst>
        </xdr:cNvPr>
        <xdr:cNvSpPr txBox="1"/>
      </xdr:nvSpPr>
      <xdr:spPr>
        <a:xfrm>
          <a:off x="5553137" y="2380102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136</xdr:row>
      <xdr:rowOff>89376</xdr:rowOff>
    </xdr:from>
    <xdr:ext cx="65" cy="172227"/>
    <xdr:sp macro="" textlink="">
      <xdr:nvSpPr>
        <xdr:cNvPr id="374" name="CuadroTexto 373">
          <a:extLst>
            <a:ext uri="{FF2B5EF4-FFF2-40B4-BE49-F238E27FC236}">
              <a16:creationId xmlns:a16="http://schemas.microsoft.com/office/drawing/2014/main" id="{8D257F12-3464-4989-94D2-B8C2F0DDBAAE}"/>
            </a:ext>
          </a:extLst>
        </xdr:cNvPr>
        <xdr:cNvSpPr txBox="1"/>
      </xdr:nvSpPr>
      <xdr:spPr>
        <a:xfrm>
          <a:off x="5553137" y="2380102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136</xdr:row>
      <xdr:rowOff>89376</xdr:rowOff>
    </xdr:from>
    <xdr:ext cx="65" cy="172227"/>
    <xdr:sp macro="" textlink="">
      <xdr:nvSpPr>
        <xdr:cNvPr id="375" name="CuadroTexto 374">
          <a:extLst>
            <a:ext uri="{FF2B5EF4-FFF2-40B4-BE49-F238E27FC236}">
              <a16:creationId xmlns:a16="http://schemas.microsoft.com/office/drawing/2014/main" id="{9468DB8F-BC33-4634-A8A6-875B262DBAE1}"/>
            </a:ext>
          </a:extLst>
        </xdr:cNvPr>
        <xdr:cNvSpPr txBox="1"/>
      </xdr:nvSpPr>
      <xdr:spPr>
        <a:xfrm>
          <a:off x="5553137" y="2380102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136</xdr:row>
      <xdr:rowOff>89376</xdr:rowOff>
    </xdr:from>
    <xdr:ext cx="65" cy="172227"/>
    <xdr:sp macro="" textlink="">
      <xdr:nvSpPr>
        <xdr:cNvPr id="376" name="CuadroTexto 375">
          <a:extLst>
            <a:ext uri="{FF2B5EF4-FFF2-40B4-BE49-F238E27FC236}">
              <a16:creationId xmlns:a16="http://schemas.microsoft.com/office/drawing/2014/main" id="{A5A09876-1DD1-4AEB-A3BD-A73D12217F03}"/>
            </a:ext>
          </a:extLst>
        </xdr:cNvPr>
        <xdr:cNvSpPr txBox="1"/>
      </xdr:nvSpPr>
      <xdr:spPr>
        <a:xfrm>
          <a:off x="5553137" y="2380102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136</xdr:row>
      <xdr:rowOff>89376</xdr:rowOff>
    </xdr:from>
    <xdr:ext cx="65" cy="172227"/>
    <xdr:sp macro="" textlink="">
      <xdr:nvSpPr>
        <xdr:cNvPr id="377" name="CuadroTexto 376">
          <a:extLst>
            <a:ext uri="{FF2B5EF4-FFF2-40B4-BE49-F238E27FC236}">
              <a16:creationId xmlns:a16="http://schemas.microsoft.com/office/drawing/2014/main" id="{8A971CD8-8F38-48C2-B530-E10B82BD6C23}"/>
            </a:ext>
          </a:extLst>
        </xdr:cNvPr>
        <xdr:cNvSpPr txBox="1"/>
      </xdr:nvSpPr>
      <xdr:spPr>
        <a:xfrm>
          <a:off x="5553137" y="2380102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136</xdr:row>
      <xdr:rowOff>89376</xdr:rowOff>
    </xdr:from>
    <xdr:ext cx="65" cy="172227"/>
    <xdr:sp macro="" textlink="">
      <xdr:nvSpPr>
        <xdr:cNvPr id="378" name="CuadroTexto 377">
          <a:extLst>
            <a:ext uri="{FF2B5EF4-FFF2-40B4-BE49-F238E27FC236}">
              <a16:creationId xmlns:a16="http://schemas.microsoft.com/office/drawing/2014/main" id="{9CE00563-76EA-424D-ADAA-4F6C7E145792}"/>
            </a:ext>
          </a:extLst>
        </xdr:cNvPr>
        <xdr:cNvSpPr txBox="1"/>
      </xdr:nvSpPr>
      <xdr:spPr>
        <a:xfrm>
          <a:off x="5553137" y="2380102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136</xdr:row>
      <xdr:rowOff>89376</xdr:rowOff>
    </xdr:from>
    <xdr:ext cx="65" cy="172227"/>
    <xdr:sp macro="" textlink="">
      <xdr:nvSpPr>
        <xdr:cNvPr id="379" name="CuadroTexto 378">
          <a:extLst>
            <a:ext uri="{FF2B5EF4-FFF2-40B4-BE49-F238E27FC236}">
              <a16:creationId xmlns:a16="http://schemas.microsoft.com/office/drawing/2014/main" id="{5CD1C7AA-3A4A-441F-B9B0-412C88562EEC}"/>
            </a:ext>
          </a:extLst>
        </xdr:cNvPr>
        <xdr:cNvSpPr txBox="1"/>
      </xdr:nvSpPr>
      <xdr:spPr>
        <a:xfrm>
          <a:off x="5553137" y="2380102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136</xdr:row>
      <xdr:rowOff>89376</xdr:rowOff>
    </xdr:from>
    <xdr:ext cx="65" cy="172227"/>
    <xdr:sp macro="" textlink="">
      <xdr:nvSpPr>
        <xdr:cNvPr id="380" name="CuadroTexto 379">
          <a:extLst>
            <a:ext uri="{FF2B5EF4-FFF2-40B4-BE49-F238E27FC236}">
              <a16:creationId xmlns:a16="http://schemas.microsoft.com/office/drawing/2014/main" id="{57802636-3787-4DF6-9E4C-6F4671314748}"/>
            </a:ext>
          </a:extLst>
        </xdr:cNvPr>
        <xdr:cNvSpPr txBox="1"/>
      </xdr:nvSpPr>
      <xdr:spPr>
        <a:xfrm>
          <a:off x="5553137" y="2380102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136</xdr:row>
      <xdr:rowOff>89376</xdr:rowOff>
    </xdr:from>
    <xdr:ext cx="65" cy="172227"/>
    <xdr:sp macro="" textlink="">
      <xdr:nvSpPr>
        <xdr:cNvPr id="381" name="CuadroTexto 380">
          <a:extLst>
            <a:ext uri="{FF2B5EF4-FFF2-40B4-BE49-F238E27FC236}">
              <a16:creationId xmlns:a16="http://schemas.microsoft.com/office/drawing/2014/main" id="{E5E894A5-DF94-4381-8B7D-E254B6C6D35F}"/>
            </a:ext>
          </a:extLst>
        </xdr:cNvPr>
        <xdr:cNvSpPr txBox="1"/>
      </xdr:nvSpPr>
      <xdr:spPr>
        <a:xfrm>
          <a:off x="5553137" y="2380102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382" name="CuadroTexto 381">
          <a:extLst>
            <a:ext uri="{FF2B5EF4-FFF2-40B4-BE49-F238E27FC236}">
              <a16:creationId xmlns:a16="http://schemas.microsoft.com/office/drawing/2014/main" id="{E32F91CD-11BB-462C-AC94-E11000F7FA20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383" name="CuadroTexto 382">
          <a:extLst>
            <a:ext uri="{FF2B5EF4-FFF2-40B4-BE49-F238E27FC236}">
              <a16:creationId xmlns:a16="http://schemas.microsoft.com/office/drawing/2014/main" id="{F72D731B-28C5-42F0-AF2A-3499C09FD9B8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384" name="CuadroTexto 383">
          <a:extLst>
            <a:ext uri="{FF2B5EF4-FFF2-40B4-BE49-F238E27FC236}">
              <a16:creationId xmlns:a16="http://schemas.microsoft.com/office/drawing/2014/main" id="{9B828931-FA86-4A8A-A920-FA0DD3AB364C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385" name="CuadroTexto 384">
          <a:extLst>
            <a:ext uri="{FF2B5EF4-FFF2-40B4-BE49-F238E27FC236}">
              <a16:creationId xmlns:a16="http://schemas.microsoft.com/office/drawing/2014/main" id="{1E5F58FC-2A68-42E1-90B1-7E7D04978EEB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386" name="CuadroTexto 385">
          <a:extLst>
            <a:ext uri="{FF2B5EF4-FFF2-40B4-BE49-F238E27FC236}">
              <a16:creationId xmlns:a16="http://schemas.microsoft.com/office/drawing/2014/main" id="{4F8006B8-D7AB-4F19-A391-3A643484FF9C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387" name="CuadroTexto 386">
          <a:extLst>
            <a:ext uri="{FF2B5EF4-FFF2-40B4-BE49-F238E27FC236}">
              <a16:creationId xmlns:a16="http://schemas.microsoft.com/office/drawing/2014/main" id="{ED59F843-279F-4398-9D0F-89DF92C485EB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388" name="CuadroTexto 387">
          <a:extLst>
            <a:ext uri="{FF2B5EF4-FFF2-40B4-BE49-F238E27FC236}">
              <a16:creationId xmlns:a16="http://schemas.microsoft.com/office/drawing/2014/main" id="{5B4267B0-8998-4E89-8A70-96D484377F7D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389" name="CuadroTexto 388">
          <a:extLst>
            <a:ext uri="{FF2B5EF4-FFF2-40B4-BE49-F238E27FC236}">
              <a16:creationId xmlns:a16="http://schemas.microsoft.com/office/drawing/2014/main" id="{BE73CD1F-9E72-4C1C-8B83-465B91111C38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390" name="CuadroTexto 389">
          <a:extLst>
            <a:ext uri="{FF2B5EF4-FFF2-40B4-BE49-F238E27FC236}">
              <a16:creationId xmlns:a16="http://schemas.microsoft.com/office/drawing/2014/main" id="{F12331F5-1D21-4F47-8287-D37330109F9F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391" name="CuadroTexto 390">
          <a:extLst>
            <a:ext uri="{FF2B5EF4-FFF2-40B4-BE49-F238E27FC236}">
              <a16:creationId xmlns:a16="http://schemas.microsoft.com/office/drawing/2014/main" id="{6265DCC3-9F75-4661-BF81-8E353BFCF1C3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392" name="CuadroTexto 391">
          <a:extLst>
            <a:ext uri="{FF2B5EF4-FFF2-40B4-BE49-F238E27FC236}">
              <a16:creationId xmlns:a16="http://schemas.microsoft.com/office/drawing/2014/main" id="{67C2FE14-4AB1-4AE9-94F3-5317A5D168A3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393" name="CuadroTexto 392">
          <a:extLst>
            <a:ext uri="{FF2B5EF4-FFF2-40B4-BE49-F238E27FC236}">
              <a16:creationId xmlns:a16="http://schemas.microsoft.com/office/drawing/2014/main" id="{9295C781-A99A-4C7E-A803-F72668CB779C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394" name="CuadroTexto 393">
          <a:extLst>
            <a:ext uri="{FF2B5EF4-FFF2-40B4-BE49-F238E27FC236}">
              <a16:creationId xmlns:a16="http://schemas.microsoft.com/office/drawing/2014/main" id="{CE1576EA-F799-4579-A746-1CB6F2414EEA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395" name="CuadroTexto 394">
          <a:extLst>
            <a:ext uri="{FF2B5EF4-FFF2-40B4-BE49-F238E27FC236}">
              <a16:creationId xmlns:a16="http://schemas.microsoft.com/office/drawing/2014/main" id="{D992F7F8-D516-40F9-A71D-1DFCB84BBF81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396" name="CuadroTexto 395">
          <a:extLst>
            <a:ext uri="{FF2B5EF4-FFF2-40B4-BE49-F238E27FC236}">
              <a16:creationId xmlns:a16="http://schemas.microsoft.com/office/drawing/2014/main" id="{2EAD2714-F641-4D1F-ABCB-4CCDC38E9794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397" name="CuadroTexto 396">
          <a:extLst>
            <a:ext uri="{FF2B5EF4-FFF2-40B4-BE49-F238E27FC236}">
              <a16:creationId xmlns:a16="http://schemas.microsoft.com/office/drawing/2014/main" id="{FEA33D79-E815-47FC-B541-2DE6A515045A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398" name="CuadroTexto 397">
          <a:extLst>
            <a:ext uri="{FF2B5EF4-FFF2-40B4-BE49-F238E27FC236}">
              <a16:creationId xmlns:a16="http://schemas.microsoft.com/office/drawing/2014/main" id="{EF6950BE-BFE6-45B9-9C0C-FE901B03450F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399" name="CuadroTexto 398">
          <a:extLst>
            <a:ext uri="{FF2B5EF4-FFF2-40B4-BE49-F238E27FC236}">
              <a16:creationId xmlns:a16="http://schemas.microsoft.com/office/drawing/2014/main" id="{35ECFB50-2E17-4A85-B307-A94FB2B1ECFB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400" name="CuadroTexto 399">
          <a:extLst>
            <a:ext uri="{FF2B5EF4-FFF2-40B4-BE49-F238E27FC236}">
              <a16:creationId xmlns:a16="http://schemas.microsoft.com/office/drawing/2014/main" id="{819C4B8A-33A3-4CD1-BEAB-6DDC12C54296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401" name="CuadroTexto 400">
          <a:extLst>
            <a:ext uri="{FF2B5EF4-FFF2-40B4-BE49-F238E27FC236}">
              <a16:creationId xmlns:a16="http://schemas.microsoft.com/office/drawing/2014/main" id="{34BF12A7-6A15-420A-9FD5-4D04B7FCEFAC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167</xdr:row>
      <xdr:rowOff>89376</xdr:rowOff>
    </xdr:from>
    <xdr:ext cx="65" cy="172227"/>
    <xdr:sp macro="" textlink="">
      <xdr:nvSpPr>
        <xdr:cNvPr id="402" name="CuadroTexto 401">
          <a:extLst>
            <a:ext uri="{FF2B5EF4-FFF2-40B4-BE49-F238E27FC236}">
              <a16:creationId xmlns:a16="http://schemas.microsoft.com/office/drawing/2014/main" id="{7723045D-C108-4688-A0F3-FD3DEAAAE7A7}"/>
            </a:ext>
          </a:extLst>
        </xdr:cNvPr>
        <xdr:cNvSpPr txBox="1"/>
      </xdr:nvSpPr>
      <xdr:spPr>
        <a:xfrm>
          <a:off x="5553137" y="308271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03" name="CuadroTexto 402">
          <a:extLst>
            <a:ext uri="{FF2B5EF4-FFF2-40B4-BE49-F238E27FC236}">
              <a16:creationId xmlns:a16="http://schemas.microsoft.com/office/drawing/2014/main" id="{BEF6D3EA-6974-4F9C-9F41-FAF7CB46E08A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04" name="CuadroTexto 403">
          <a:extLst>
            <a:ext uri="{FF2B5EF4-FFF2-40B4-BE49-F238E27FC236}">
              <a16:creationId xmlns:a16="http://schemas.microsoft.com/office/drawing/2014/main" id="{BECFBFA4-AF07-4D6D-827C-9B4DE0679059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05" name="CuadroTexto 404">
          <a:extLst>
            <a:ext uri="{FF2B5EF4-FFF2-40B4-BE49-F238E27FC236}">
              <a16:creationId xmlns:a16="http://schemas.microsoft.com/office/drawing/2014/main" id="{7FBF3D3C-9810-4CCD-B3B6-79925E4DF50D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06" name="CuadroTexto 405">
          <a:extLst>
            <a:ext uri="{FF2B5EF4-FFF2-40B4-BE49-F238E27FC236}">
              <a16:creationId xmlns:a16="http://schemas.microsoft.com/office/drawing/2014/main" id="{7B6A2553-D0F8-485D-B234-70070919567D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07" name="CuadroTexto 406">
          <a:extLst>
            <a:ext uri="{FF2B5EF4-FFF2-40B4-BE49-F238E27FC236}">
              <a16:creationId xmlns:a16="http://schemas.microsoft.com/office/drawing/2014/main" id="{BDAF0BE2-271A-47C0-91D8-2B4F33CB4F5D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08" name="CuadroTexto 407">
          <a:extLst>
            <a:ext uri="{FF2B5EF4-FFF2-40B4-BE49-F238E27FC236}">
              <a16:creationId xmlns:a16="http://schemas.microsoft.com/office/drawing/2014/main" id="{817CDF6D-8F3B-4FCB-8F92-649D60BD3EAF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09" name="CuadroTexto 408">
          <a:extLst>
            <a:ext uri="{FF2B5EF4-FFF2-40B4-BE49-F238E27FC236}">
              <a16:creationId xmlns:a16="http://schemas.microsoft.com/office/drawing/2014/main" id="{3ECC4FAC-D6B6-488C-9141-80C51D8AA901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10" name="CuadroTexto 409">
          <a:extLst>
            <a:ext uri="{FF2B5EF4-FFF2-40B4-BE49-F238E27FC236}">
              <a16:creationId xmlns:a16="http://schemas.microsoft.com/office/drawing/2014/main" id="{F7164ECF-3B79-4443-8E52-344B7004A717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11" name="CuadroTexto 410">
          <a:extLst>
            <a:ext uri="{FF2B5EF4-FFF2-40B4-BE49-F238E27FC236}">
              <a16:creationId xmlns:a16="http://schemas.microsoft.com/office/drawing/2014/main" id="{35FF545D-D028-4C9A-81C7-9A0ED9018D39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12" name="CuadroTexto 411">
          <a:extLst>
            <a:ext uri="{FF2B5EF4-FFF2-40B4-BE49-F238E27FC236}">
              <a16:creationId xmlns:a16="http://schemas.microsoft.com/office/drawing/2014/main" id="{8EA13722-8980-4AFF-835C-C769C8F1E3D6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13" name="CuadroTexto 412">
          <a:extLst>
            <a:ext uri="{FF2B5EF4-FFF2-40B4-BE49-F238E27FC236}">
              <a16:creationId xmlns:a16="http://schemas.microsoft.com/office/drawing/2014/main" id="{12383ADF-C009-477C-9DCE-AF36C4B93966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14" name="CuadroTexto 413">
          <a:extLst>
            <a:ext uri="{FF2B5EF4-FFF2-40B4-BE49-F238E27FC236}">
              <a16:creationId xmlns:a16="http://schemas.microsoft.com/office/drawing/2014/main" id="{411C4727-2E67-449A-A494-91973EFFDB2E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15" name="CuadroTexto 414">
          <a:extLst>
            <a:ext uri="{FF2B5EF4-FFF2-40B4-BE49-F238E27FC236}">
              <a16:creationId xmlns:a16="http://schemas.microsoft.com/office/drawing/2014/main" id="{1F1608A6-B74F-4315-8B63-DB688F3F99F7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16" name="CuadroTexto 415">
          <a:extLst>
            <a:ext uri="{FF2B5EF4-FFF2-40B4-BE49-F238E27FC236}">
              <a16:creationId xmlns:a16="http://schemas.microsoft.com/office/drawing/2014/main" id="{82E50603-CA39-47DF-9CE5-B7162C8C76DE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17" name="CuadroTexto 416">
          <a:extLst>
            <a:ext uri="{FF2B5EF4-FFF2-40B4-BE49-F238E27FC236}">
              <a16:creationId xmlns:a16="http://schemas.microsoft.com/office/drawing/2014/main" id="{92FEDE2A-DC26-4548-AC0A-8887C73DBD88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18" name="CuadroTexto 417">
          <a:extLst>
            <a:ext uri="{FF2B5EF4-FFF2-40B4-BE49-F238E27FC236}">
              <a16:creationId xmlns:a16="http://schemas.microsoft.com/office/drawing/2014/main" id="{9E16ABA9-84D1-47DB-BD40-BF4855F845E9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19" name="CuadroTexto 418">
          <a:extLst>
            <a:ext uri="{FF2B5EF4-FFF2-40B4-BE49-F238E27FC236}">
              <a16:creationId xmlns:a16="http://schemas.microsoft.com/office/drawing/2014/main" id="{72CBE23E-8DE7-4AC5-A05D-A5A578631ACA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20" name="CuadroTexto 419">
          <a:extLst>
            <a:ext uri="{FF2B5EF4-FFF2-40B4-BE49-F238E27FC236}">
              <a16:creationId xmlns:a16="http://schemas.microsoft.com/office/drawing/2014/main" id="{DC8E06B3-8997-4DEF-88BE-2A61F5D6E664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21" name="CuadroTexto 420">
          <a:extLst>
            <a:ext uri="{FF2B5EF4-FFF2-40B4-BE49-F238E27FC236}">
              <a16:creationId xmlns:a16="http://schemas.microsoft.com/office/drawing/2014/main" id="{B1F92151-94B0-46F4-A485-A15D63AB5614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22" name="CuadroTexto 421">
          <a:extLst>
            <a:ext uri="{FF2B5EF4-FFF2-40B4-BE49-F238E27FC236}">
              <a16:creationId xmlns:a16="http://schemas.microsoft.com/office/drawing/2014/main" id="{0DB543B5-B916-4E21-823B-4989D1F28A6F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23" name="CuadroTexto 422">
          <a:extLst>
            <a:ext uri="{FF2B5EF4-FFF2-40B4-BE49-F238E27FC236}">
              <a16:creationId xmlns:a16="http://schemas.microsoft.com/office/drawing/2014/main" id="{885117EE-B6B5-45DA-A62E-5CAB9DCC102E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24" name="CuadroTexto 423">
          <a:extLst>
            <a:ext uri="{FF2B5EF4-FFF2-40B4-BE49-F238E27FC236}">
              <a16:creationId xmlns:a16="http://schemas.microsoft.com/office/drawing/2014/main" id="{05F4EF72-6853-44C1-8449-319414378781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25" name="CuadroTexto 424">
          <a:extLst>
            <a:ext uri="{FF2B5EF4-FFF2-40B4-BE49-F238E27FC236}">
              <a16:creationId xmlns:a16="http://schemas.microsoft.com/office/drawing/2014/main" id="{91C3C223-1BCC-4492-BC31-F533B916480D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26" name="CuadroTexto 425">
          <a:extLst>
            <a:ext uri="{FF2B5EF4-FFF2-40B4-BE49-F238E27FC236}">
              <a16:creationId xmlns:a16="http://schemas.microsoft.com/office/drawing/2014/main" id="{425F3545-B0A8-4773-9E37-17D5580F5E0A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27" name="CuadroTexto 426">
          <a:extLst>
            <a:ext uri="{FF2B5EF4-FFF2-40B4-BE49-F238E27FC236}">
              <a16:creationId xmlns:a16="http://schemas.microsoft.com/office/drawing/2014/main" id="{63112EAC-0A3F-44FD-9790-D046ACCF4798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28" name="CuadroTexto 427">
          <a:extLst>
            <a:ext uri="{FF2B5EF4-FFF2-40B4-BE49-F238E27FC236}">
              <a16:creationId xmlns:a16="http://schemas.microsoft.com/office/drawing/2014/main" id="{9817C1CB-E61C-4506-AC63-C2B64809606B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29" name="CuadroTexto 428">
          <a:extLst>
            <a:ext uri="{FF2B5EF4-FFF2-40B4-BE49-F238E27FC236}">
              <a16:creationId xmlns:a16="http://schemas.microsoft.com/office/drawing/2014/main" id="{678FD1BD-3DD1-4251-B81C-4854B368C06A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30" name="CuadroTexto 429">
          <a:extLst>
            <a:ext uri="{FF2B5EF4-FFF2-40B4-BE49-F238E27FC236}">
              <a16:creationId xmlns:a16="http://schemas.microsoft.com/office/drawing/2014/main" id="{38CE2732-7197-4E1F-9C54-DF1C09AE3283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31" name="CuadroTexto 430">
          <a:extLst>
            <a:ext uri="{FF2B5EF4-FFF2-40B4-BE49-F238E27FC236}">
              <a16:creationId xmlns:a16="http://schemas.microsoft.com/office/drawing/2014/main" id="{EA913708-F9EF-4064-AF5A-8AB21FA25C04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32" name="CuadroTexto 431">
          <a:extLst>
            <a:ext uri="{FF2B5EF4-FFF2-40B4-BE49-F238E27FC236}">
              <a16:creationId xmlns:a16="http://schemas.microsoft.com/office/drawing/2014/main" id="{8AC4CE52-9D1F-4DB6-AE69-0CDEBE171FE3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33" name="CuadroTexto 432">
          <a:extLst>
            <a:ext uri="{FF2B5EF4-FFF2-40B4-BE49-F238E27FC236}">
              <a16:creationId xmlns:a16="http://schemas.microsoft.com/office/drawing/2014/main" id="{7A77B2E4-5A00-4017-A841-C3D1F1833DCE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34" name="CuadroTexto 433">
          <a:extLst>
            <a:ext uri="{FF2B5EF4-FFF2-40B4-BE49-F238E27FC236}">
              <a16:creationId xmlns:a16="http://schemas.microsoft.com/office/drawing/2014/main" id="{4A471CBB-C10E-4B90-9C6D-54009A59F93B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35" name="CuadroTexto 434">
          <a:extLst>
            <a:ext uri="{FF2B5EF4-FFF2-40B4-BE49-F238E27FC236}">
              <a16:creationId xmlns:a16="http://schemas.microsoft.com/office/drawing/2014/main" id="{03E0C4BA-665B-416E-85C6-2893C15190EA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36" name="CuadroTexto 435">
          <a:extLst>
            <a:ext uri="{FF2B5EF4-FFF2-40B4-BE49-F238E27FC236}">
              <a16:creationId xmlns:a16="http://schemas.microsoft.com/office/drawing/2014/main" id="{ABEDB89F-D5B1-4C75-ABF5-BB36D6B8B709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37" name="CuadroTexto 436">
          <a:extLst>
            <a:ext uri="{FF2B5EF4-FFF2-40B4-BE49-F238E27FC236}">
              <a16:creationId xmlns:a16="http://schemas.microsoft.com/office/drawing/2014/main" id="{4A1174B4-F504-41BF-8BEA-C9A277B56EE9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38" name="CuadroTexto 437">
          <a:extLst>
            <a:ext uri="{FF2B5EF4-FFF2-40B4-BE49-F238E27FC236}">
              <a16:creationId xmlns:a16="http://schemas.microsoft.com/office/drawing/2014/main" id="{CD80807C-3044-4BDE-AAE2-27607AEEF2D1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39" name="CuadroTexto 438">
          <a:extLst>
            <a:ext uri="{FF2B5EF4-FFF2-40B4-BE49-F238E27FC236}">
              <a16:creationId xmlns:a16="http://schemas.microsoft.com/office/drawing/2014/main" id="{8720AF0F-B50A-449C-9F2A-6B3F71860489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40" name="CuadroTexto 439">
          <a:extLst>
            <a:ext uri="{FF2B5EF4-FFF2-40B4-BE49-F238E27FC236}">
              <a16:creationId xmlns:a16="http://schemas.microsoft.com/office/drawing/2014/main" id="{AE8AB0EC-DB07-4639-89F2-2CE42415369A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41" name="CuadroTexto 440">
          <a:extLst>
            <a:ext uri="{FF2B5EF4-FFF2-40B4-BE49-F238E27FC236}">
              <a16:creationId xmlns:a16="http://schemas.microsoft.com/office/drawing/2014/main" id="{8E71194F-8638-475E-926C-494CD7661904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42" name="CuadroTexto 441">
          <a:extLst>
            <a:ext uri="{FF2B5EF4-FFF2-40B4-BE49-F238E27FC236}">
              <a16:creationId xmlns:a16="http://schemas.microsoft.com/office/drawing/2014/main" id="{268487DF-5BC6-48D8-945E-8BAE68AA32F9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43" name="CuadroTexto 442">
          <a:extLst>
            <a:ext uri="{FF2B5EF4-FFF2-40B4-BE49-F238E27FC236}">
              <a16:creationId xmlns:a16="http://schemas.microsoft.com/office/drawing/2014/main" id="{B4C391BE-B4AC-4C4F-B443-AAC06EA44BD8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44" name="CuadroTexto 443">
          <a:extLst>
            <a:ext uri="{FF2B5EF4-FFF2-40B4-BE49-F238E27FC236}">
              <a16:creationId xmlns:a16="http://schemas.microsoft.com/office/drawing/2014/main" id="{2583BFFD-1F99-4E27-B469-4726FF9253AB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45" name="CuadroTexto 444">
          <a:extLst>
            <a:ext uri="{FF2B5EF4-FFF2-40B4-BE49-F238E27FC236}">
              <a16:creationId xmlns:a16="http://schemas.microsoft.com/office/drawing/2014/main" id="{F49249DA-5E13-4141-8A33-07556E654A6B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46" name="CuadroTexto 445">
          <a:extLst>
            <a:ext uri="{FF2B5EF4-FFF2-40B4-BE49-F238E27FC236}">
              <a16:creationId xmlns:a16="http://schemas.microsoft.com/office/drawing/2014/main" id="{083879C3-07A5-4E1E-BDE4-B9C4643B8F4F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47" name="CuadroTexto 446">
          <a:extLst>
            <a:ext uri="{FF2B5EF4-FFF2-40B4-BE49-F238E27FC236}">
              <a16:creationId xmlns:a16="http://schemas.microsoft.com/office/drawing/2014/main" id="{D0DAE46E-CC13-4418-B705-1B4AF671180E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48" name="CuadroTexto 447">
          <a:extLst>
            <a:ext uri="{FF2B5EF4-FFF2-40B4-BE49-F238E27FC236}">
              <a16:creationId xmlns:a16="http://schemas.microsoft.com/office/drawing/2014/main" id="{5235A8E3-8A62-428F-AD0E-A83153DA0F67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49" name="CuadroTexto 448">
          <a:extLst>
            <a:ext uri="{FF2B5EF4-FFF2-40B4-BE49-F238E27FC236}">
              <a16:creationId xmlns:a16="http://schemas.microsoft.com/office/drawing/2014/main" id="{E76ECAB9-0D15-4C43-84A2-01D208F62C56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50" name="CuadroTexto 449">
          <a:extLst>
            <a:ext uri="{FF2B5EF4-FFF2-40B4-BE49-F238E27FC236}">
              <a16:creationId xmlns:a16="http://schemas.microsoft.com/office/drawing/2014/main" id="{547901B5-A993-4748-BC41-2611E4C5CEF1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51" name="CuadroTexto 450">
          <a:extLst>
            <a:ext uri="{FF2B5EF4-FFF2-40B4-BE49-F238E27FC236}">
              <a16:creationId xmlns:a16="http://schemas.microsoft.com/office/drawing/2014/main" id="{0A7BE35A-5CEB-4008-863F-3C958D33C2B6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52" name="CuadroTexto 451">
          <a:extLst>
            <a:ext uri="{FF2B5EF4-FFF2-40B4-BE49-F238E27FC236}">
              <a16:creationId xmlns:a16="http://schemas.microsoft.com/office/drawing/2014/main" id="{2E117F9C-FCA5-4259-AD48-F3A3AC2E01CA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53" name="CuadroTexto 452">
          <a:extLst>
            <a:ext uri="{FF2B5EF4-FFF2-40B4-BE49-F238E27FC236}">
              <a16:creationId xmlns:a16="http://schemas.microsoft.com/office/drawing/2014/main" id="{335EE3EE-D746-415E-A0B9-0EECEB07378C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54" name="CuadroTexto 453">
          <a:extLst>
            <a:ext uri="{FF2B5EF4-FFF2-40B4-BE49-F238E27FC236}">
              <a16:creationId xmlns:a16="http://schemas.microsoft.com/office/drawing/2014/main" id="{95798A0D-06B1-43D7-BCFA-FD7B08524884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55" name="CuadroTexto 454">
          <a:extLst>
            <a:ext uri="{FF2B5EF4-FFF2-40B4-BE49-F238E27FC236}">
              <a16:creationId xmlns:a16="http://schemas.microsoft.com/office/drawing/2014/main" id="{19CF248A-D3CC-4B5E-B105-D981EDC71B38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198</xdr:row>
      <xdr:rowOff>89376</xdr:rowOff>
    </xdr:from>
    <xdr:ext cx="65" cy="172227"/>
    <xdr:sp macro="" textlink="">
      <xdr:nvSpPr>
        <xdr:cNvPr id="456" name="CuadroTexto 455">
          <a:extLst>
            <a:ext uri="{FF2B5EF4-FFF2-40B4-BE49-F238E27FC236}">
              <a16:creationId xmlns:a16="http://schemas.microsoft.com/office/drawing/2014/main" id="{A97340B6-23F6-4E78-8D2F-4CE537EB4C55}"/>
            </a:ext>
          </a:extLst>
        </xdr:cNvPr>
        <xdr:cNvSpPr txBox="1"/>
      </xdr:nvSpPr>
      <xdr:spPr>
        <a:xfrm>
          <a:off x="5553137" y="37853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57" name="CuadroTexto 456">
          <a:extLst>
            <a:ext uri="{FF2B5EF4-FFF2-40B4-BE49-F238E27FC236}">
              <a16:creationId xmlns:a16="http://schemas.microsoft.com/office/drawing/2014/main" id="{364ED0AB-8B74-4E1C-A2C7-9DA5EECC945A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58" name="CuadroTexto 457">
          <a:extLst>
            <a:ext uri="{FF2B5EF4-FFF2-40B4-BE49-F238E27FC236}">
              <a16:creationId xmlns:a16="http://schemas.microsoft.com/office/drawing/2014/main" id="{2B7F1433-3199-4129-9772-B8410BB72A5A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59" name="CuadroTexto 458">
          <a:extLst>
            <a:ext uri="{FF2B5EF4-FFF2-40B4-BE49-F238E27FC236}">
              <a16:creationId xmlns:a16="http://schemas.microsoft.com/office/drawing/2014/main" id="{8726CED8-B283-43A0-966C-79A2C665D194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60" name="CuadroTexto 459">
          <a:extLst>
            <a:ext uri="{FF2B5EF4-FFF2-40B4-BE49-F238E27FC236}">
              <a16:creationId xmlns:a16="http://schemas.microsoft.com/office/drawing/2014/main" id="{23AFF7A5-EDCA-42E6-8D65-7FAD1D9FB126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61" name="CuadroTexto 460">
          <a:extLst>
            <a:ext uri="{FF2B5EF4-FFF2-40B4-BE49-F238E27FC236}">
              <a16:creationId xmlns:a16="http://schemas.microsoft.com/office/drawing/2014/main" id="{D3CF2523-E634-4C41-AB4A-7667F0FC6236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62" name="CuadroTexto 461">
          <a:extLst>
            <a:ext uri="{FF2B5EF4-FFF2-40B4-BE49-F238E27FC236}">
              <a16:creationId xmlns:a16="http://schemas.microsoft.com/office/drawing/2014/main" id="{075B647B-4696-441A-BC35-8DD36EBAF28C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63" name="CuadroTexto 462">
          <a:extLst>
            <a:ext uri="{FF2B5EF4-FFF2-40B4-BE49-F238E27FC236}">
              <a16:creationId xmlns:a16="http://schemas.microsoft.com/office/drawing/2014/main" id="{3559B73D-692A-4159-B4B3-CA8CF7E9E78E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64" name="CuadroTexto 463">
          <a:extLst>
            <a:ext uri="{FF2B5EF4-FFF2-40B4-BE49-F238E27FC236}">
              <a16:creationId xmlns:a16="http://schemas.microsoft.com/office/drawing/2014/main" id="{0AC9E066-BFCB-488F-B36B-D642484183EA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65" name="CuadroTexto 464">
          <a:extLst>
            <a:ext uri="{FF2B5EF4-FFF2-40B4-BE49-F238E27FC236}">
              <a16:creationId xmlns:a16="http://schemas.microsoft.com/office/drawing/2014/main" id="{638334EC-E138-4173-8CF4-869F06C1E703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66" name="CuadroTexto 465">
          <a:extLst>
            <a:ext uri="{FF2B5EF4-FFF2-40B4-BE49-F238E27FC236}">
              <a16:creationId xmlns:a16="http://schemas.microsoft.com/office/drawing/2014/main" id="{00239B74-B93A-4074-BDE7-B8D964AF4CA3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67" name="CuadroTexto 466">
          <a:extLst>
            <a:ext uri="{FF2B5EF4-FFF2-40B4-BE49-F238E27FC236}">
              <a16:creationId xmlns:a16="http://schemas.microsoft.com/office/drawing/2014/main" id="{FC5D1E83-9696-4839-9B1C-6A83B106CCA9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68" name="CuadroTexto 467">
          <a:extLst>
            <a:ext uri="{FF2B5EF4-FFF2-40B4-BE49-F238E27FC236}">
              <a16:creationId xmlns:a16="http://schemas.microsoft.com/office/drawing/2014/main" id="{B978691A-9EAB-45AB-8474-E3399336A18A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69" name="CuadroTexto 468">
          <a:extLst>
            <a:ext uri="{FF2B5EF4-FFF2-40B4-BE49-F238E27FC236}">
              <a16:creationId xmlns:a16="http://schemas.microsoft.com/office/drawing/2014/main" id="{498F0C2C-83D4-4AAD-866C-31931DC14A2B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70" name="CuadroTexto 469">
          <a:extLst>
            <a:ext uri="{FF2B5EF4-FFF2-40B4-BE49-F238E27FC236}">
              <a16:creationId xmlns:a16="http://schemas.microsoft.com/office/drawing/2014/main" id="{6B2C3443-B9C1-4DC3-BFA3-4D28049CB058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71" name="CuadroTexto 470">
          <a:extLst>
            <a:ext uri="{FF2B5EF4-FFF2-40B4-BE49-F238E27FC236}">
              <a16:creationId xmlns:a16="http://schemas.microsoft.com/office/drawing/2014/main" id="{6570769B-8677-4F13-8567-6BB4D66F842C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72" name="CuadroTexto 471">
          <a:extLst>
            <a:ext uri="{FF2B5EF4-FFF2-40B4-BE49-F238E27FC236}">
              <a16:creationId xmlns:a16="http://schemas.microsoft.com/office/drawing/2014/main" id="{B3F9F292-4BD1-49F4-94CB-80A0A6880D7F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73" name="CuadroTexto 472">
          <a:extLst>
            <a:ext uri="{FF2B5EF4-FFF2-40B4-BE49-F238E27FC236}">
              <a16:creationId xmlns:a16="http://schemas.microsoft.com/office/drawing/2014/main" id="{66F3042F-AE96-4A62-9502-57C2EFB94F40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74" name="CuadroTexto 473">
          <a:extLst>
            <a:ext uri="{FF2B5EF4-FFF2-40B4-BE49-F238E27FC236}">
              <a16:creationId xmlns:a16="http://schemas.microsoft.com/office/drawing/2014/main" id="{037982F0-D730-4E33-8201-7B60A1A921D1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75" name="CuadroTexto 474">
          <a:extLst>
            <a:ext uri="{FF2B5EF4-FFF2-40B4-BE49-F238E27FC236}">
              <a16:creationId xmlns:a16="http://schemas.microsoft.com/office/drawing/2014/main" id="{15555728-3D80-48E6-9954-2C6B66F4360D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76" name="CuadroTexto 475">
          <a:extLst>
            <a:ext uri="{FF2B5EF4-FFF2-40B4-BE49-F238E27FC236}">
              <a16:creationId xmlns:a16="http://schemas.microsoft.com/office/drawing/2014/main" id="{F02B66CA-0315-466E-8737-C11EF53EC52D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77" name="CuadroTexto 476">
          <a:extLst>
            <a:ext uri="{FF2B5EF4-FFF2-40B4-BE49-F238E27FC236}">
              <a16:creationId xmlns:a16="http://schemas.microsoft.com/office/drawing/2014/main" id="{5A837022-D1F4-452E-952B-522B5395DA96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78" name="CuadroTexto 477">
          <a:extLst>
            <a:ext uri="{FF2B5EF4-FFF2-40B4-BE49-F238E27FC236}">
              <a16:creationId xmlns:a16="http://schemas.microsoft.com/office/drawing/2014/main" id="{23562F82-0877-41BC-8CA7-F2E129DF0305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79" name="CuadroTexto 478">
          <a:extLst>
            <a:ext uri="{FF2B5EF4-FFF2-40B4-BE49-F238E27FC236}">
              <a16:creationId xmlns:a16="http://schemas.microsoft.com/office/drawing/2014/main" id="{ED032FD5-E7CE-4B65-872F-86BD227FA142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80" name="CuadroTexto 479">
          <a:extLst>
            <a:ext uri="{FF2B5EF4-FFF2-40B4-BE49-F238E27FC236}">
              <a16:creationId xmlns:a16="http://schemas.microsoft.com/office/drawing/2014/main" id="{6CC51EB8-B767-431B-8929-0C4C410F5416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81" name="CuadroTexto 480">
          <a:extLst>
            <a:ext uri="{FF2B5EF4-FFF2-40B4-BE49-F238E27FC236}">
              <a16:creationId xmlns:a16="http://schemas.microsoft.com/office/drawing/2014/main" id="{A32B4B68-8A72-401E-972A-C240212F63EB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82" name="CuadroTexto 481">
          <a:extLst>
            <a:ext uri="{FF2B5EF4-FFF2-40B4-BE49-F238E27FC236}">
              <a16:creationId xmlns:a16="http://schemas.microsoft.com/office/drawing/2014/main" id="{9DA1140E-3864-4391-A428-0E90A48D582C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83" name="CuadroTexto 482">
          <a:extLst>
            <a:ext uri="{FF2B5EF4-FFF2-40B4-BE49-F238E27FC236}">
              <a16:creationId xmlns:a16="http://schemas.microsoft.com/office/drawing/2014/main" id="{426414BB-5C6D-4B13-9EE8-542D9A1B92B7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84" name="CuadroTexto 483">
          <a:extLst>
            <a:ext uri="{FF2B5EF4-FFF2-40B4-BE49-F238E27FC236}">
              <a16:creationId xmlns:a16="http://schemas.microsoft.com/office/drawing/2014/main" id="{51413175-62DB-41C2-8629-525706866C13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85" name="CuadroTexto 484">
          <a:extLst>
            <a:ext uri="{FF2B5EF4-FFF2-40B4-BE49-F238E27FC236}">
              <a16:creationId xmlns:a16="http://schemas.microsoft.com/office/drawing/2014/main" id="{937C7146-3916-4D24-B4CB-A44FD1C5AC13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86" name="CuadroTexto 485">
          <a:extLst>
            <a:ext uri="{FF2B5EF4-FFF2-40B4-BE49-F238E27FC236}">
              <a16:creationId xmlns:a16="http://schemas.microsoft.com/office/drawing/2014/main" id="{C9F3CFE1-A163-41A6-8DB1-0B528B74002C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87" name="CuadroTexto 486">
          <a:extLst>
            <a:ext uri="{FF2B5EF4-FFF2-40B4-BE49-F238E27FC236}">
              <a16:creationId xmlns:a16="http://schemas.microsoft.com/office/drawing/2014/main" id="{213490B3-4034-454C-935B-44A47182A9E0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88" name="CuadroTexto 487">
          <a:extLst>
            <a:ext uri="{FF2B5EF4-FFF2-40B4-BE49-F238E27FC236}">
              <a16:creationId xmlns:a16="http://schemas.microsoft.com/office/drawing/2014/main" id="{EE9716FA-EDAA-4139-8E49-97EC304EAC97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89" name="CuadroTexto 488">
          <a:extLst>
            <a:ext uri="{FF2B5EF4-FFF2-40B4-BE49-F238E27FC236}">
              <a16:creationId xmlns:a16="http://schemas.microsoft.com/office/drawing/2014/main" id="{AEE6B294-770A-46CB-A27F-C88B6CE3CBFF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90" name="CuadroTexto 489">
          <a:extLst>
            <a:ext uri="{FF2B5EF4-FFF2-40B4-BE49-F238E27FC236}">
              <a16:creationId xmlns:a16="http://schemas.microsoft.com/office/drawing/2014/main" id="{BC131D25-274D-4E9D-B454-2223B408ECA8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91" name="CuadroTexto 490">
          <a:extLst>
            <a:ext uri="{FF2B5EF4-FFF2-40B4-BE49-F238E27FC236}">
              <a16:creationId xmlns:a16="http://schemas.microsoft.com/office/drawing/2014/main" id="{741D6C2D-C44B-4540-88AD-DC52D571083D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92" name="CuadroTexto 491">
          <a:extLst>
            <a:ext uri="{FF2B5EF4-FFF2-40B4-BE49-F238E27FC236}">
              <a16:creationId xmlns:a16="http://schemas.microsoft.com/office/drawing/2014/main" id="{1B3F2DA5-AE06-4447-85BA-6519E952ACE5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93" name="CuadroTexto 492">
          <a:extLst>
            <a:ext uri="{FF2B5EF4-FFF2-40B4-BE49-F238E27FC236}">
              <a16:creationId xmlns:a16="http://schemas.microsoft.com/office/drawing/2014/main" id="{ED022D37-88A3-4351-BE0C-1DE396A3CF98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94" name="CuadroTexto 493">
          <a:extLst>
            <a:ext uri="{FF2B5EF4-FFF2-40B4-BE49-F238E27FC236}">
              <a16:creationId xmlns:a16="http://schemas.microsoft.com/office/drawing/2014/main" id="{4FD87E9D-FF6E-4040-8F81-F1EEBF354F74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95" name="CuadroTexto 494">
          <a:extLst>
            <a:ext uri="{FF2B5EF4-FFF2-40B4-BE49-F238E27FC236}">
              <a16:creationId xmlns:a16="http://schemas.microsoft.com/office/drawing/2014/main" id="{E78651A8-3C70-4CD1-BD90-78AC95CA6402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96" name="CuadroTexto 495">
          <a:extLst>
            <a:ext uri="{FF2B5EF4-FFF2-40B4-BE49-F238E27FC236}">
              <a16:creationId xmlns:a16="http://schemas.microsoft.com/office/drawing/2014/main" id="{196B7312-5413-4D9A-964E-E687C92A5D04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97" name="CuadroTexto 496">
          <a:extLst>
            <a:ext uri="{FF2B5EF4-FFF2-40B4-BE49-F238E27FC236}">
              <a16:creationId xmlns:a16="http://schemas.microsoft.com/office/drawing/2014/main" id="{A416CD14-3108-4660-A296-8121749A56CE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98" name="CuadroTexto 497">
          <a:extLst>
            <a:ext uri="{FF2B5EF4-FFF2-40B4-BE49-F238E27FC236}">
              <a16:creationId xmlns:a16="http://schemas.microsoft.com/office/drawing/2014/main" id="{5B9F8375-CD12-40C5-89C2-5D337B8794C4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499" name="CuadroTexto 498">
          <a:extLst>
            <a:ext uri="{FF2B5EF4-FFF2-40B4-BE49-F238E27FC236}">
              <a16:creationId xmlns:a16="http://schemas.microsoft.com/office/drawing/2014/main" id="{A5FCDF99-83E4-4677-8936-EE58C5B91040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500" name="CuadroTexto 499">
          <a:extLst>
            <a:ext uri="{FF2B5EF4-FFF2-40B4-BE49-F238E27FC236}">
              <a16:creationId xmlns:a16="http://schemas.microsoft.com/office/drawing/2014/main" id="{CE948900-3945-4325-B65B-24F08CE42A1E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501" name="CuadroTexto 500">
          <a:extLst>
            <a:ext uri="{FF2B5EF4-FFF2-40B4-BE49-F238E27FC236}">
              <a16:creationId xmlns:a16="http://schemas.microsoft.com/office/drawing/2014/main" id="{6F744B6C-9E82-4319-B1CC-FB8A9A5D6780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502" name="CuadroTexto 501">
          <a:extLst>
            <a:ext uri="{FF2B5EF4-FFF2-40B4-BE49-F238E27FC236}">
              <a16:creationId xmlns:a16="http://schemas.microsoft.com/office/drawing/2014/main" id="{447BE44E-8BB7-444A-9117-F10C885EFC24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503" name="CuadroTexto 502">
          <a:extLst>
            <a:ext uri="{FF2B5EF4-FFF2-40B4-BE49-F238E27FC236}">
              <a16:creationId xmlns:a16="http://schemas.microsoft.com/office/drawing/2014/main" id="{1C1738F9-ED43-4E02-9649-9786319888C1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504" name="CuadroTexto 503">
          <a:extLst>
            <a:ext uri="{FF2B5EF4-FFF2-40B4-BE49-F238E27FC236}">
              <a16:creationId xmlns:a16="http://schemas.microsoft.com/office/drawing/2014/main" id="{14EE2132-5C32-46AE-B5EF-9CE20F3B81A2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505" name="CuadroTexto 504">
          <a:extLst>
            <a:ext uri="{FF2B5EF4-FFF2-40B4-BE49-F238E27FC236}">
              <a16:creationId xmlns:a16="http://schemas.microsoft.com/office/drawing/2014/main" id="{333FE82E-EC39-463C-A4A6-A172ABCBD275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506" name="CuadroTexto 505">
          <a:extLst>
            <a:ext uri="{FF2B5EF4-FFF2-40B4-BE49-F238E27FC236}">
              <a16:creationId xmlns:a16="http://schemas.microsoft.com/office/drawing/2014/main" id="{882C3944-B1A7-44B7-ACD1-803C404DBF90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507" name="CuadroTexto 506">
          <a:extLst>
            <a:ext uri="{FF2B5EF4-FFF2-40B4-BE49-F238E27FC236}">
              <a16:creationId xmlns:a16="http://schemas.microsoft.com/office/drawing/2014/main" id="{135AED32-1BE4-4B25-8B7D-B0964F8F2BFF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508" name="CuadroTexto 507">
          <a:extLst>
            <a:ext uri="{FF2B5EF4-FFF2-40B4-BE49-F238E27FC236}">
              <a16:creationId xmlns:a16="http://schemas.microsoft.com/office/drawing/2014/main" id="{BA40EB45-6CA4-4AFD-B845-C12E05678BE6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509" name="CuadroTexto 508">
          <a:extLst>
            <a:ext uri="{FF2B5EF4-FFF2-40B4-BE49-F238E27FC236}">
              <a16:creationId xmlns:a16="http://schemas.microsoft.com/office/drawing/2014/main" id="{22641BD2-2EBE-4810-91BE-AB744F6C8A24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510" name="CuadroTexto 509">
          <a:extLst>
            <a:ext uri="{FF2B5EF4-FFF2-40B4-BE49-F238E27FC236}">
              <a16:creationId xmlns:a16="http://schemas.microsoft.com/office/drawing/2014/main" id="{0B8EC29A-06F7-4D46-99D2-BF608B5B9AE5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511" name="CuadroTexto 510">
          <a:extLst>
            <a:ext uri="{FF2B5EF4-FFF2-40B4-BE49-F238E27FC236}">
              <a16:creationId xmlns:a16="http://schemas.microsoft.com/office/drawing/2014/main" id="{6DDB744F-DFA4-4BD6-A2E2-C6883E3F72F3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512" name="CuadroTexto 511">
          <a:extLst>
            <a:ext uri="{FF2B5EF4-FFF2-40B4-BE49-F238E27FC236}">
              <a16:creationId xmlns:a16="http://schemas.microsoft.com/office/drawing/2014/main" id="{11261720-2086-4EF1-BD4B-0F9A605117C7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513" name="CuadroTexto 512">
          <a:extLst>
            <a:ext uri="{FF2B5EF4-FFF2-40B4-BE49-F238E27FC236}">
              <a16:creationId xmlns:a16="http://schemas.microsoft.com/office/drawing/2014/main" id="{44C36D0F-FEEA-4B2A-9A61-5CAA95813BB4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514" name="CuadroTexto 513">
          <a:extLst>
            <a:ext uri="{FF2B5EF4-FFF2-40B4-BE49-F238E27FC236}">
              <a16:creationId xmlns:a16="http://schemas.microsoft.com/office/drawing/2014/main" id="{A699FC96-7071-43A3-8AEF-58B0E2EC2703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515" name="CuadroTexto 514">
          <a:extLst>
            <a:ext uri="{FF2B5EF4-FFF2-40B4-BE49-F238E27FC236}">
              <a16:creationId xmlns:a16="http://schemas.microsoft.com/office/drawing/2014/main" id="{4170AB40-20C9-4842-82BD-40DAA9D3FBF5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516" name="CuadroTexto 515">
          <a:extLst>
            <a:ext uri="{FF2B5EF4-FFF2-40B4-BE49-F238E27FC236}">
              <a16:creationId xmlns:a16="http://schemas.microsoft.com/office/drawing/2014/main" id="{4A476274-F726-4A18-A131-5614DC271811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517" name="CuadroTexto 516">
          <a:extLst>
            <a:ext uri="{FF2B5EF4-FFF2-40B4-BE49-F238E27FC236}">
              <a16:creationId xmlns:a16="http://schemas.microsoft.com/office/drawing/2014/main" id="{F1CB93C5-BBA2-4181-B82B-393C52397953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229</xdr:row>
      <xdr:rowOff>89376</xdr:rowOff>
    </xdr:from>
    <xdr:ext cx="65" cy="172227"/>
    <xdr:sp macro="" textlink="">
      <xdr:nvSpPr>
        <xdr:cNvPr id="518" name="CuadroTexto 517">
          <a:extLst>
            <a:ext uri="{FF2B5EF4-FFF2-40B4-BE49-F238E27FC236}">
              <a16:creationId xmlns:a16="http://schemas.microsoft.com/office/drawing/2014/main" id="{2F7BA290-7306-4FCC-8C84-181BC658CADA}"/>
            </a:ext>
          </a:extLst>
        </xdr:cNvPr>
        <xdr:cNvSpPr txBox="1"/>
      </xdr:nvSpPr>
      <xdr:spPr>
        <a:xfrm>
          <a:off x="5553137" y="448792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19" name="CuadroTexto 518">
          <a:extLst>
            <a:ext uri="{FF2B5EF4-FFF2-40B4-BE49-F238E27FC236}">
              <a16:creationId xmlns:a16="http://schemas.microsoft.com/office/drawing/2014/main" id="{B77BBD10-6F20-40BA-A86B-52200FE78FF1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20" name="CuadroTexto 519">
          <a:extLst>
            <a:ext uri="{FF2B5EF4-FFF2-40B4-BE49-F238E27FC236}">
              <a16:creationId xmlns:a16="http://schemas.microsoft.com/office/drawing/2014/main" id="{6177ADC0-8503-4DE9-978F-D92739FEFA51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21" name="CuadroTexto 520">
          <a:extLst>
            <a:ext uri="{FF2B5EF4-FFF2-40B4-BE49-F238E27FC236}">
              <a16:creationId xmlns:a16="http://schemas.microsoft.com/office/drawing/2014/main" id="{FCC9ABB0-BE7E-4138-9A78-6A81AC3D557B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22" name="CuadroTexto 521">
          <a:extLst>
            <a:ext uri="{FF2B5EF4-FFF2-40B4-BE49-F238E27FC236}">
              <a16:creationId xmlns:a16="http://schemas.microsoft.com/office/drawing/2014/main" id="{0E79EFF8-637A-47A8-A304-3B18EA239224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23" name="CuadroTexto 522">
          <a:extLst>
            <a:ext uri="{FF2B5EF4-FFF2-40B4-BE49-F238E27FC236}">
              <a16:creationId xmlns:a16="http://schemas.microsoft.com/office/drawing/2014/main" id="{7C9D951B-FF24-4587-A83C-0EB134EC8726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24" name="CuadroTexto 523">
          <a:extLst>
            <a:ext uri="{FF2B5EF4-FFF2-40B4-BE49-F238E27FC236}">
              <a16:creationId xmlns:a16="http://schemas.microsoft.com/office/drawing/2014/main" id="{8A5D783C-072B-48B5-96A1-B4815C81E04A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25" name="CuadroTexto 524">
          <a:extLst>
            <a:ext uri="{FF2B5EF4-FFF2-40B4-BE49-F238E27FC236}">
              <a16:creationId xmlns:a16="http://schemas.microsoft.com/office/drawing/2014/main" id="{D52F25B7-C081-46EB-B1D5-80C5106A8DBD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26" name="CuadroTexto 525">
          <a:extLst>
            <a:ext uri="{FF2B5EF4-FFF2-40B4-BE49-F238E27FC236}">
              <a16:creationId xmlns:a16="http://schemas.microsoft.com/office/drawing/2014/main" id="{5BECD983-75E3-408C-8349-876BA10C37EF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27" name="CuadroTexto 526">
          <a:extLst>
            <a:ext uri="{FF2B5EF4-FFF2-40B4-BE49-F238E27FC236}">
              <a16:creationId xmlns:a16="http://schemas.microsoft.com/office/drawing/2014/main" id="{E6AFB57F-E33C-436F-83ED-8BF47A1262D2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28" name="CuadroTexto 527">
          <a:extLst>
            <a:ext uri="{FF2B5EF4-FFF2-40B4-BE49-F238E27FC236}">
              <a16:creationId xmlns:a16="http://schemas.microsoft.com/office/drawing/2014/main" id="{D88B2B3D-A053-4B3F-9E33-33E17DDF4617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29" name="CuadroTexto 528">
          <a:extLst>
            <a:ext uri="{FF2B5EF4-FFF2-40B4-BE49-F238E27FC236}">
              <a16:creationId xmlns:a16="http://schemas.microsoft.com/office/drawing/2014/main" id="{8713DDA0-189A-44D1-8621-7D006C9A714C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30" name="CuadroTexto 529">
          <a:extLst>
            <a:ext uri="{FF2B5EF4-FFF2-40B4-BE49-F238E27FC236}">
              <a16:creationId xmlns:a16="http://schemas.microsoft.com/office/drawing/2014/main" id="{3EE756D3-AE53-434F-BEE0-846C39E815CC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31" name="CuadroTexto 530">
          <a:extLst>
            <a:ext uri="{FF2B5EF4-FFF2-40B4-BE49-F238E27FC236}">
              <a16:creationId xmlns:a16="http://schemas.microsoft.com/office/drawing/2014/main" id="{F83C4C39-6444-4C66-BFD4-7448C9810107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32" name="CuadroTexto 531">
          <a:extLst>
            <a:ext uri="{FF2B5EF4-FFF2-40B4-BE49-F238E27FC236}">
              <a16:creationId xmlns:a16="http://schemas.microsoft.com/office/drawing/2014/main" id="{43CB44CE-FEE5-4A36-B548-62C9F0C957F7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33" name="CuadroTexto 532">
          <a:extLst>
            <a:ext uri="{FF2B5EF4-FFF2-40B4-BE49-F238E27FC236}">
              <a16:creationId xmlns:a16="http://schemas.microsoft.com/office/drawing/2014/main" id="{9417C0E9-926C-4707-9DAD-29F61C25FDBA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34" name="CuadroTexto 533">
          <a:extLst>
            <a:ext uri="{FF2B5EF4-FFF2-40B4-BE49-F238E27FC236}">
              <a16:creationId xmlns:a16="http://schemas.microsoft.com/office/drawing/2014/main" id="{02095456-9810-4CCF-A4FA-88E23F4416DE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35" name="CuadroTexto 534">
          <a:extLst>
            <a:ext uri="{FF2B5EF4-FFF2-40B4-BE49-F238E27FC236}">
              <a16:creationId xmlns:a16="http://schemas.microsoft.com/office/drawing/2014/main" id="{99DA068E-E6F7-40BE-BA28-F50A837A7FF7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36" name="CuadroTexto 535">
          <a:extLst>
            <a:ext uri="{FF2B5EF4-FFF2-40B4-BE49-F238E27FC236}">
              <a16:creationId xmlns:a16="http://schemas.microsoft.com/office/drawing/2014/main" id="{E361B709-C779-407E-87F4-02277DB45277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37" name="CuadroTexto 536">
          <a:extLst>
            <a:ext uri="{FF2B5EF4-FFF2-40B4-BE49-F238E27FC236}">
              <a16:creationId xmlns:a16="http://schemas.microsoft.com/office/drawing/2014/main" id="{1F5E342F-7D4F-4ED5-AA01-BBF2C8E3CCAF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38" name="CuadroTexto 537">
          <a:extLst>
            <a:ext uri="{FF2B5EF4-FFF2-40B4-BE49-F238E27FC236}">
              <a16:creationId xmlns:a16="http://schemas.microsoft.com/office/drawing/2014/main" id="{A80D3A09-0E80-477A-A6D8-6A8464204821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39" name="CuadroTexto 538">
          <a:extLst>
            <a:ext uri="{FF2B5EF4-FFF2-40B4-BE49-F238E27FC236}">
              <a16:creationId xmlns:a16="http://schemas.microsoft.com/office/drawing/2014/main" id="{FD278B7F-B9B6-4114-8A41-075F57AC6BBC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40" name="CuadroTexto 539">
          <a:extLst>
            <a:ext uri="{FF2B5EF4-FFF2-40B4-BE49-F238E27FC236}">
              <a16:creationId xmlns:a16="http://schemas.microsoft.com/office/drawing/2014/main" id="{5D4DA728-176D-4067-B8F8-A831B0C2954F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41" name="CuadroTexto 540">
          <a:extLst>
            <a:ext uri="{FF2B5EF4-FFF2-40B4-BE49-F238E27FC236}">
              <a16:creationId xmlns:a16="http://schemas.microsoft.com/office/drawing/2014/main" id="{A11E647A-2F68-4E75-A0DA-0EC3560EA48C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42" name="CuadroTexto 541">
          <a:extLst>
            <a:ext uri="{FF2B5EF4-FFF2-40B4-BE49-F238E27FC236}">
              <a16:creationId xmlns:a16="http://schemas.microsoft.com/office/drawing/2014/main" id="{16971657-E5E4-4929-B2B8-63646CC22965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43" name="CuadroTexto 542">
          <a:extLst>
            <a:ext uri="{FF2B5EF4-FFF2-40B4-BE49-F238E27FC236}">
              <a16:creationId xmlns:a16="http://schemas.microsoft.com/office/drawing/2014/main" id="{7AC4746B-9798-4842-8D7C-85BC04EBDEB7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44" name="CuadroTexto 543">
          <a:extLst>
            <a:ext uri="{FF2B5EF4-FFF2-40B4-BE49-F238E27FC236}">
              <a16:creationId xmlns:a16="http://schemas.microsoft.com/office/drawing/2014/main" id="{34F2B27E-AD7B-4DDB-8245-6BFCAF38C5C5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45" name="CuadroTexto 544">
          <a:extLst>
            <a:ext uri="{FF2B5EF4-FFF2-40B4-BE49-F238E27FC236}">
              <a16:creationId xmlns:a16="http://schemas.microsoft.com/office/drawing/2014/main" id="{0BDEEA0E-7606-4F7B-ABC9-5D96B26C70FB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46" name="CuadroTexto 545">
          <a:extLst>
            <a:ext uri="{FF2B5EF4-FFF2-40B4-BE49-F238E27FC236}">
              <a16:creationId xmlns:a16="http://schemas.microsoft.com/office/drawing/2014/main" id="{6A79E0E0-C930-4BDE-BF5C-D5CDA827DFED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47" name="CuadroTexto 546">
          <a:extLst>
            <a:ext uri="{FF2B5EF4-FFF2-40B4-BE49-F238E27FC236}">
              <a16:creationId xmlns:a16="http://schemas.microsoft.com/office/drawing/2014/main" id="{204D0146-82D8-436D-BEB8-F0965C38EFC0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48" name="CuadroTexto 547">
          <a:extLst>
            <a:ext uri="{FF2B5EF4-FFF2-40B4-BE49-F238E27FC236}">
              <a16:creationId xmlns:a16="http://schemas.microsoft.com/office/drawing/2014/main" id="{BCB18747-8035-47C9-BC6F-759D8E8EBDA2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49" name="CuadroTexto 548">
          <a:extLst>
            <a:ext uri="{FF2B5EF4-FFF2-40B4-BE49-F238E27FC236}">
              <a16:creationId xmlns:a16="http://schemas.microsoft.com/office/drawing/2014/main" id="{E545F036-D2BF-4B68-AEFA-E7DB623C44B2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50" name="CuadroTexto 549">
          <a:extLst>
            <a:ext uri="{FF2B5EF4-FFF2-40B4-BE49-F238E27FC236}">
              <a16:creationId xmlns:a16="http://schemas.microsoft.com/office/drawing/2014/main" id="{EFC4D94B-0F5C-40DF-B3A0-63A8EFDF04E1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51" name="CuadroTexto 550">
          <a:extLst>
            <a:ext uri="{FF2B5EF4-FFF2-40B4-BE49-F238E27FC236}">
              <a16:creationId xmlns:a16="http://schemas.microsoft.com/office/drawing/2014/main" id="{F3410643-3CB4-4805-86B0-3401D9B8957C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52" name="CuadroTexto 551">
          <a:extLst>
            <a:ext uri="{FF2B5EF4-FFF2-40B4-BE49-F238E27FC236}">
              <a16:creationId xmlns:a16="http://schemas.microsoft.com/office/drawing/2014/main" id="{943F8DA2-7505-4661-B3A1-D344E2B7BA9D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53" name="CuadroTexto 552">
          <a:extLst>
            <a:ext uri="{FF2B5EF4-FFF2-40B4-BE49-F238E27FC236}">
              <a16:creationId xmlns:a16="http://schemas.microsoft.com/office/drawing/2014/main" id="{76DB2992-1058-4C85-83C1-444ACF6E7F7C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54" name="CuadroTexto 553">
          <a:extLst>
            <a:ext uri="{FF2B5EF4-FFF2-40B4-BE49-F238E27FC236}">
              <a16:creationId xmlns:a16="http://schemas.microsoft.com/office/drawing/2014/main" id="{DF4B7796-7619-4157-80DD-29CFB09EAC8E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55" name="CuadroTexto 554">
          <a:extLst>
            <a:ext uri="{FF2B5EF4-FFF2-40B4-BE49-F238E27FC236}">
              <a16:creationId xmlns:a16="http://schemas.microsoft.com/office/drawing/2014/main" id="{0CC2BC28-A5AE-45B1-9D37-83D21B3A2413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56" name="CuadroTexto 555">
          <a:extLst>
            <a:ext uri="{FF2B5EF4-FFF2-40B4-BE49-F238E27FC236}">
              <a16:creationId xmlns:a16="http://schemas.microsoft.com/office/drawing/2014/main" id="{4B9655A0-18CE-4B2C-AE34-51D172EC8B5A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57" name="CuadroTexto 556">
          <a:extLst>
            <a:ext uri="{FF2B5EF4-FFF2-40B4-BE49-F238E27FC236}">
              <a16:creationId xmlns:a16="http://schemas.microsoft.com/office/drawing/2014/main" id="{BEBFC145-6C3A-4DF3-9A97-3F7D7D237D59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58" name="CuadroTexto 557">
          <a:extLst>
            <a:ext uri="{FF2B5EF4-FFF2-40B4-BE49-F238E27FC236}">
              <a16:creationId xmlns:a16="http://schemas.microsoft.com/office/drawing/2014/main" id="{BAE27F35-407A-432A-AACF-6E779D255854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59" name="CuadroTexto 558">
          <a:extLst>
            <a:ext uri="{FF2B5EF4-FFF2-40B4-BE49-F238E27FC236}">
              <a16:creationId xmlns:a16="http://schemas.microsoft.com/office/drawing/2014/main" id="{FE8A67A8-7031-448D-BEE3-BAA0296145C0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60" name="CuadroTexto 559">
          <a:extLst>
            <a:ext uri="{FF2B5EF4-FFF2-40B4-BE49-F238E27FC236}">
              <a16:creationId xmlns:a16="http://schemas.microsoft.com/office/drawing/2014/main" id="{CB398F3A-D3B0-4662-A096-5958ED63596A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61" name="CuadroTexto 560">
          <a:extLst>
            <a:ext uri="{FF2B5EF4-FFF2-40B4-BE49-F238E27FC236}">
              <a16:creationId xmlns:a16="http://schemas.microsoft.com/office/drawing/2014/main" id="{3B68708C-CE37-4AEB-B204-3F27D31E64AC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62" name="CuadroTexto 561">
          <a:extLst>
            <a:ext uri="{FF2B5EF4-FFF2-40B4-BE49-F238E27FC236}">
              <a16:creationId xmlns:a16="http://schemas.microsoft.com/office/drawing/2014/main" id="{A2C8EF39-1052-4EF9-8D5B-B2A5361A1B79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63" name="CuadroTexto 562">
          <a:extLst>
            <a:ext uri="{FF2B5EF4-FFF2-40B4-BE49-F238E27FC236}">
              <a16:creationId xmlns:a16="http://schemas.microsoft.com/office/drawing/2014/main" id="{9059DE8F-2844-47F8-8A75-C84FB1282615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64" name="CuadroTexto 563">
          <a:extLst>
            <a:ext uri="{FF2B5EF4-FFF2-40B4-BE49-F238E27FC236}">
              <a16:creationId xmlns:a16="http://schemas.microsoft.com/office/drawing/2014/main" id="{B3E18B51-5C31-4C4F-981B-56F70A51B400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65" name="CuadroTexto 564">
          <a:extLst>
            <a:ext uri="{FF2B5EF4-FFF2-40B4-BE49-F238E27FC236}">
              <a16:creationId xmlns:a16="http://schemas.microsoft.com/office/drawing/2014/main" id="{4978B752-1706-421F-9A9F-0F0CD381B8E8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66" name="CuadroTexto 565">
          <a:extLst>
            <a:ext uri="{FF2B5EF4-FFF2-40B4-BE49-F238E27FC236}">
              <a16:creationId xmlns:a16="http://schemas.microsoft.com/office/drawing/2014/main" id="{2AE571C0-0719-4193-B54A-29A182DA5AB9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67" name="CuadroTexto 566">
          <a:extLst>
            <a:ext uri="{FF2B5EF4-FFF2-40B4-BE49-F238E27FC236}">
              <a16:creationId xmlns:a16="http://schemas.microsoft.com/office/drawing/2014/main" id="{464A130D-FA57-43B3-8BFC-435D13D92FCD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68" name="CuadroTexto 567">
          <a:extLst>
            <a:ext uri="{FF2B5EF4-FFF2-40B4-BE49-F238E27FC236}">
              <a16:creationId xmlns:a16="http://schemas.microsoft.com/office/drawing/2014/main" id="{62F4B2F3-7725-46A3-A3C4-E6C6119C6769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69" name="CuadroTexto 568">
          <a:extLst>
            <a:ext uri="{FF2B5EF4-FFF2-40B4-BE49-F238E27FC236}">
              <a16:creationId xmlns:a16="http://schemas.microsoft.com/office/drawing/2014/main" id="{1EDF28DE-24E3-4FCF-8548-1BCC75535047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70" name="CuadroTexto 569">
          <a:extLst>
            <a:ext uri="{FF2B5EF4-FFF2-40B4-BE49-F238E27FC236}">
              <a16:creationId xmlns:a16="http://schemas.microsoft.com/office/drawing/2014/main" id="{63183A7B-3C5F-497F-9A71-182D9B0BF65C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71" name="CuadroTexto 570">
          <a:extLst>
            <a:ext uri="{FF2B5EF4-FFF2-40B4-BE49-F238E27FC236}">
              <a16:creationId xmlns:a16="http://schemas.microsoft.com/office/drawing/2014/main" id="{F6581CE9-0804-4614-9B02-30A83694765B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72" name="CuadroTexto 571">
          <a:extLst>
            <a:ext uri="{FF2B5EF4-FFF2-40B4-BE49-F238E27FC236}">
              <a16:creationId xmlns:a16="http://schemas.microsoft.com/office/drawing/2014/main" id="{C3CB5F39-21B8-4B72-879B-8A673BC6477D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73" name="CuadroTexto 572">
          <a:extLst>
            <a:ext uri="{FF2B5EF4-FFF2-40B4-BE49-F238E27FC236}">
              <a16:creationId xmlns:a16="http://schemas.microsoft.com/office/drawing/2014/main" id="{B01E3C71-86D7-44EB-98C5-6A6D6A99DAD3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74" name="CuadroTexto 573">
          <a:extLst>
            <a:ext uri="{FF2B5EF4-FFF2-40B4-BE49-F238E27FC236}">
              <a16:creationId xmlns:a16="http://schemas.microsoft.com/office/drawing/2014/main" id="{4A9CA1E9-88A3-4814-8127-68650F57700C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75" name="CuadroTexto 574">
          <a:extLst>
            <a:ext uri="{FF2B5EF4-FFF2-40B4-BE49-F238E27FC236}">
              <a16:creationId xmlns:a16="http://schemas.microsoft.com/office/drawing/2014/main" id="{B3A830B2-DD4E-43D8-816C-93734E92E3FD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76" name="CuadroTexto 575">
          <a:extLst>
            <a:ext uri="{FF2B5EF4-FFF2-40B4-BE49-F238E27FC236}">
              <a16:creationId xmlns:a16="http://schemas.microsoft.com/office/drawing/2014/main" id="{DCC5DFF7-2906-43DC-9BA1-B52A7CCA1EAA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77" name="CuadroTexto 576">
          <a:extLst>
            <a:ext uri="{FF2B5EF4-FFF2-40B4-BE49-F238E27FC236}">
              <a16:creationId xmlns:a16="http://schemas.microsoft.com/office/drawing/2014/main" id="{F837061E-E07F-4B05-B8B9-570AEF0F81FA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78" name="CuadroTexto 577">
          <a:extLst>
            <a:ext uri="{FF2B5EF4-FFF2-40B4-BE49-F238E27FC236}">
              <a16:creationId xmlns:a16="http://schemas.microsoft.com/office/drawing/2014/main" id="{B4A7E93E-61A1-462A-81EF-8932F4C99E40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79" name="CuadroTexto 578">
          <a:extLst>
            <a:ext uri="{FF2B5EF4-FFF2-40B4-BE49-F238E27FC236}">
              <a16:creationId xmlns:a16="http://schemas.microsoft.com/office/drawing/2014/main" id="{7FDF0043-767D-4798-8163-55A1E0651D78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80" name="CuadroTexto 579">
          <a:extLst>
            <a:ext uri="{FF2B5EF4-FFF2-40B4-BE49-F238E27FC236}">
              <a16:creationId xmlns:a16="http://schemas.microsoft.com/office/drawing/2014/main" id="{6229B2A8-7AFF-431B-8EA5-EA994C455405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81" name="CuadroTexto 580">
          <a:extLst>
            <a:ext uri="{FF2B5EF4-FFF2-40B4-BE49-F238E27FC236}">
              <a16:creationId xmlns:a16="http://schemas.microsoft.com/office/drawing/2014/main" id="{CDAE979B-D89E-46FE-AE3A-4153B59BEF90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82" name="CuadroTexto 581">
          <a:extLst>
            <a:ext uri="{FF2B5EF4-FFF2-40B4-BE49-F238E27FC236}">
              <a16:creationId xmlns:a16="http://schemas.microsoft.com/office/drawing/2014/main" id="{E922CE92-0E4E-4203-9B85-B39CA3A6D447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83" name="CuadroTexto 582">
          <a:extLst>
            <a:ext uri="{FF2B5EF4-FFF2-40B4-BE49-F238E27FC236}">
              <a16:creationId xmlns:a16="http://schemas.microsoft.com/office/drawing/2014/main" id="{BD8AFA97-F949-44BC-B028-B1F721990895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84" name="CuadroTexto 583">
          <a:extLst>
            <a:ext uri="{FF2B5EF4-FFF2-40B4-BE49-F238E27FC236}">
              <a16:creationId xmlns:a16="http://schemas.microsoft.com/office/drawing/2014/main" id="{2916A09F-50FF-4870-9C8A-426ECE218FB4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85" name="CuadroTexto 584">
          <a:extLst>
            <a:ext uri="{FF2B5EF4-FFF2-40B4-BE49-F238E27FC236}">
              <a16:creationId xmlns:a16="http://schemas.microsoft.com/office/drawing/2014/main" id="{7A52FA5D-CB2E-4C91-8ED4-324102C24573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86" name="CuadroTexto 585">
          <a:extLst>
            <a:ext uri="{FF2B5EF4-FFF2-40B4-BE49-F238E27FC236}">
              <a16:creationId xmlns:a16="http://schemas.microsoft.com/office/drawing/2014/main" id="{063F426B-8AE6-4E74-8699-FFCE6D47167B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87" name="CuadroTexto 586">
          <a:extLst>
            <a:ext uri="{FF2B5EF4-FFF2-40B4-BE49-F238E27FC236}">
              <a16:creationId xmlns:a16="http://schemas.microsoft.com/office/drawing/2014/main" id="{CC9662AE-C33F-410A-8432-3F1FD1716B95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88" name="CuadroTexto 587">
          <a:extLst>
            <a:ext uri="{FF2B5EF4-FFF2-40B4-BE49-F238E27FC236}">
              <a16:creationId xmlns:a16="http://schemas.microsoft.com/office/drawing/2014/main" id="{039536C6-87F0-497A-A5D6-4F8AF7BC92A2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89" name="CuadroTexto 588">
          <a:extLst>
            <a:ext uri="{FF2B5EF4-FFF2-40B4-BE49-F238E27FC236}">
              <a16:creationId xmlns:a16="http://schemas.microsoft.com/office/drawing/2014/main" id="{4829D8D4-49FE-439F-9F7C-EEB1EE77B3F1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90" name="CuadroTexto 589">
          <a:extLst>
            <a:ext uri="{FF2B5EF4-FFF2-40B4-BE49-F238E27FC236}">
              <a16:creationId xmlns:a16="http://schemas.microsoft.com/office/drawing/2014/main" id="{FCF2782A-B416-4EC1-98E1-2A55BA78F1F5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260</xdr:row>
      <xdr:rowOff>89376</xdr:rowOff>
    </xdr:from>
    <xdr:ext cx="65" cy="172227"/>
    <xdr:sp macro="" textlink="">
      <xdr:nvSpPr>
        <xdr:cNvPr id="591" name="CuadroTexto 590">
          <a:extLst>
            <a:ext uri="{FF2B5EF4-FFF2-40B4-BE49-F238E27FC236}">
              <a16:creationId xmlns:a16="http://schemas.microsoft.com/office/drawing/2014/main" id="{45075831-516F-4CAC-80C0-766A6A442E30}"/>
            </a:ext>
          </a:extLst>
        </xdr:cNvPr>
        <xdr:cNvSpPr txBox="1"/>
      </xdr:nvSpPr>
      <xdr:spPr>
        <a:xfrm>
          <a:off x="5553137" y="5190537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592" name="CuadroTexto 591">
          <a:extLst>
            <a:ext uri="{FF2B5EF4-FFF2-40B4-BE49-F238E27FC236}">
              <a16:creationId xmlns:a16="http://schemas.microsoft.com/office/drawing/2014/main" id="{A524D0E8-1899-40CA-A27C-A582EC440C3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593" name="CuadroTexto 592">
          <a:extLst>
            <a:ext uri="{FF2B5EF4-FFF2-40B4-BE49-F238E27FC236}">
              <a16:creationId xmlns:a16="http://schemas.microsoft.com/office/drawing/2014/main" id="{679EA4EC-0104-4BC4-9F46-AE0368A51215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594" name="CuadroTexto 593">
          <a:extLst>
            <a:ext uri="{FF2B5EF4-FFF2-40B4-BE49-F238E27FC236}">
              <a16:creationId xmlns:a16="http://schemas.microsoft.com/office/drawing/2014/main" id="{F538B84C-A6B3-4E57-8D52-27195FCEB524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595" name="CuadroTexto 594">
          <a:extLst>
            <a:ext uri="{FF2B5EF4-FFF2-40B4-BE49-F238E27FC236}">
              <a16:creationId xmlns:a16="http://schemas.microsoft.com/office/drawing/2014/main" id="{8F8AD180-63E0-465C-89E7-316823B416AB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596" name="CuadroTexto 595">
          <a:extLst>
            <a:ext uri="{FF2B5EF4-FFF2-40B4-BE49-F238E27FC236}">
              <a16:creationId xmlns:a16="http://schemas.microsoft.com/office/drawing/2014/main" id="{DF019602-7068-4B9C-918D-19FB635CFBD3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597" name="CuadroTexto 596">
          <a:extLst>
            <a:ext uri="{FF2B5EF4-FFF2-40B4-BE49-F238E27FC236}">
              <a16:creationId xmlns:a16="http://schemas.microsoft.com/office/drawing/2014/main" id="{098EBE87-C3BE-49AA-A687-D0D91EAEB1B8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598" name="CuadroTexto 597">
          <a:extLst>
            <a:ext uri="{FF2B5EF4-FFF2-40B4-BE49-F238E27FC236}">
              <a16:creationId xmlns:a16="http://schemas.microsoft.com/office/drawing/2014/main" id="{566614CC-1F1B-486E-B082-73B8865F448F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599" name="CuadroTexto 598">
          <a:extLst>
            <a:ext uri="{FF2B5EF4-FFF2-40B4-BE49-F238E27FC236}">
              <a16:creationId xmlns:a16="http://schemas.microsoft.com/office/drawing/2014/main" id="{36033484-FCBB-453B-99CF-D2C36A078455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00" name="CuadroTexto 599">
          <a:extLst>
            <a:ext uri="{FF2B5EF4-FFF2-40B4-BE49-F238E27FC236}">
              <a16:creationId xmlns:a16="http://schemas.microsoft.com/office/drawing/2014/main" id="{D9610D6B-5627-4679-819D-BE105EC78F97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01" name="CuadroTexto 600">
          <a:extLst>
            <a:ext uri="{FF2B5EF4-FFF2-40B4-BE49-F238E27FC236}">
              <a16:creationId xmlns:a16="http://schemas.microsoft.com/office/drawing/2014/main" id="{223BC6FE-2AE6-47AA-8125-D17075B2E4C8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02" name="CuadroTexto 601">
          <a:extLst>
            <a:ext uri="{FF2B5EF4-FFF2-40B4-BE49-F238E27FC236}">
              <a16:creationId xmlns:a16="http://schemas.microsoft.com/office/drawing/2014/main" id="{135235F8-6D09-44B4-9D07-80211E3B0743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03" name="CuadroTexto 602">
          <a:extLst>
            <a:ext uri="{FF2B5EF4-FFF2-40B4-BE49-F238E27FC236}">
              <a16:creationId xmlns:a16="http://schemas.microsoft.com/office/drawing/2014/main" id="{831EAE93-6F2F-4F0C-B0E9-82FD83F7700C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04" name="CuadroTexto 603">
          <a:extLst>
            <a:ext uri="{FF2B5EF4-FFF2-40B4-BE49-F238E27FC236}">
              <a16:creationId xmlns:a16="http://schemas.microsoft.com/office/drawing/2014/main" id="{00623DB1-D1CA-4624-B028-7F35791B193C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05" name="CuadroTexto 604">
          <a:extLst>
            <a:ext uri="{FF2B5EF4-FFF2-40B4-BE49-F238E27FC236}">
              <a16:creationId xmlns:a16="http://schemas.microsoft.com/office/drawing/2014/main" id="{89BE292A-54C3-4ED3-91C0-0386D866CDD8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06" name="CuadroTexto 605">
          <a:extLst>
            <a:ext uri="{FF2B5EF4-FFF2-40B4-BE49-F238E27FC236}">
              <a16:creationId xmlns:a16="http://schemas.microsoft.com/office/drawing/2014/main" id="{B31EABF6-813F-4853-B9C9-5381E3F61613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07" name="CuadroTexto 606">
          <a:extLst>
            <a:ext uri="{FF2B5EF4-FFF2-40B4-BE49-F238E27FC236}">
              <a16:creationId xmlns:a16="http://schemas.microsoft.com/office/drawing/2014/main" id="{6889D6BF-3D34-4DC9-AC2E-CB2E6F17E66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08" name="CuadroTexto 607">
          <a:extLst>
            <a:ext uri="{FF2B5EF4-FFF2-40B4-BE49-F238E27FC236}">
              <a16:creationId xmlns:a16="http://schemas.microsoft.com/office/drawing/2014/main" id="{4AC605DD-6CD7-431F-868A-644932ADD8CB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09" name="CuadroTexto 608">
          <a:extLst>
            <a:ext uri="{FF2B5EF4-FFF2-40B4-BE49-F238E27FC236}">
              <a16:creationId xmlns:a16="http://schemas.microsoft.com/office/drawing/2014/main" id="{22E30DDB-08BF-433D-9FDA-E73E0A34BEFF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10" name="CuadroTexto 609">
          <a:extLst>
            <a:ext uri="{FF2B5EF4-FFF2-40B4-BE49-F238E27FC236}">
              <a16:creationId xmlns:a16="http://schemas.microsoft.com/office/drawing/2014/main" id="{8CC9EA4B-F161-4124-986D-946CBCF038DE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11" name="CuadroTexto 610">
          <a:extLst>
            <a:ext uri="{FF2B5EF4-FFF2-40B4-BE49-F238E27FC236}">
              <a16:creationId xmlns:a16="http://schemas.microsoft.com/office/drawing/2014/main" id="{F8286CDC-D554-42DE-9BA6-9326AA77111A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12" name="CuadroTexto 611">
          <a:extLst>
            <a:ext uri="{FF2B5EF4-FFF2-40B4-BE49-F238E27FC236}">
              <a16:creationId xmlns:a16="http://schemas.microsoft.com/office/drawing/2014/main" id="{7CBD89E0-1C68-45E3-AB7B-C961DF0107F4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13" name="CuadroTexto 612">
          <a:extLst>
            <a:ext uri="{FF2B5EF4-FFF2-40B4-BE49-F238E27FC236}">
              <a16:creationId xmlns:a16="http://schemas.microsoft.com/office/drawing/2014/main" id="{478C1463-EBA6-4279-9A32-47C538BE8C6F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14" name="CuadroTexto 613">
          <a:extLst>
            <a:ext uri="{FF2B5EF4-FFF2-40B4-BE49-F238E27FC236}">
              <a16:creationId xmlns:a16="http://schemas.microsoft.com/office/drawing/2014/main" id="{47AF0699-DC8B-4E23-A273-2022E3A4FBA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15" name="CuadroTexto 614">
          <a:extLst>
            <a:ext uri="{FF2B5EF4-FFF2-40B4-BE49-F238E27FC236}">
              <a16:creationId xmlns:a16="http://schemas.microsoft.com/office/drawing/2014/main" id="{89B0CC61-7038-4E20-82FE-79E334B123E5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16" name="CuadroTexto 615">
          <a:extLst>
            <a:ext uri="{FF2B5EF4-FFF2-40B4-BE49-F238E27FC236}">
              <a16:creationId xmlns:a16="http://schemas.microsoft.com/office/drawing/2014/main" id="{E8822BA9-9D56-472C-BF37-AA44B4B39056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17" name="CuadroTexto 616">
          <a:extLst>
            <a:ext uri="{FF2B5EF4-FFF2-40B4-BE49-F238E27FC236}">
              <a16:creationId xmlns:a16="http://schemas.microsoft.com/office/drawing/2014/main" id="{05BD3082-1874-424C-8BEC-45D66E13771A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18" name="CuadroTexto 617">
          <a:extLst>
            <a:ext uri="{FF2B5EF4-FFF2-40B4-BE49-F238E27FC236}">
              <a16:creationId xmlns:a16="http://schemas.microsoft.com/office/drawing/2014/main" id="{5DEFB45D-7E4A-4B88-97C2-B98449DB293D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19" name="CuadroTexto 618">
          <a:extLst>
            <a:ext uri="{FF2B5EF4-FFF2-40B4-BE49-F238E27FC236}">
              <a16:creationId xmlns:a16="http://schemas.microsoft.com/office/drawing/2014/main" id="{2BD62972-428F-4519-9B82-5A0B1C5FDA36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20" name="CuadroTexto 619">
          <a:extLst>
            <a:ext uri="{FF2B5EF4-FFF2-40B4-BE49-F238E27FC236}">
              <a16:creationId xmlns:a16="http://schemas.microsoft.com/office/drawing/2014/main" id="{BB4E5297-ACE2-41D3-B4A1-D8EB15EFB21E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21" name="CuadroTexto 620">
          <a:extLst>
            <a:ext uri="{FF2B5EF4-FFF2-40B4-BE49-F238E27FC236}">
              <a16:creationId xmlns:a16="http://schemas.microsoft.com/office/drawing/2014/main" id="{1A44D7FD-0601-4E70-A6B1-18F42D33D8AA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22" name="CuadroTexto 621">
          <a:extLst>
            <a:ext uri="{FF2B5EF4-FFF2-40B4-BE49-F238E27FC236}">
              <a16:creationId xmlns:a16="http://schemas.microsoft.com/office/drawing/2014/main" id="{0FFC087E-4303-4992-BEA7-DBA99F787D81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23" name="CuadroTexto 622">
          <a:extLst>
            <a:ext uri="{FF2B5EF4-FFF2-40B4-BE49-F238E27FC236}">
              <a16:creationId xmlns:a16="http://schemas.microsoft.com/office/drawing/2014/main" id="{38E9F505-9777-41D8-8764-A47433A8AF5D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24" name="CuadroTexto 623">
          <a:extLst>
            <a:ext uri="{FF2B5EF4-FFF2-40B4-BE49-F238E27FC236}">
              <a16:creationId xmlns:a16="http://schemas.microsoft.com/office/drawing/2014/main" id="{ED793576-89AD-4B2E-967B-03BFFA75D685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25" name="CuadroTexto 624">
          <a:extLst>
            <a:ext uri="{FF2B5EF4-FFF2-40B4-BE49-F238E27FC236}">
              <a16:creationId xmlns:a16="http://schemas.microsoft.com/office/drawing/2014/main" id="{652C32C2-AB15-425E-8797-40892D3D9E01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26" name="CuadroTexto 625">
          <a:extLst>
            <a:ext uri="{FF2B5EF4-FFF2-40B4-BE49-F238E27FC236}">
              <a16:creationId xmlns:a16="http://schemas.microsoft.com/office/drawing/2014/main" id="{7D80F062-22BE-499B-801F-3E9A4B73A819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27" name="CuadroTexto 626">
          <a:extLst>
            <a:ext uri="{FF2B5EF4-FFF2-40B4-BE49-F238E27FC236}">
              <a16:creationId xmlns:a16="http://schemas.microsoft.com/office/drawing/2014/main" id="{C32806EE-9203-45E3-B5F8-876D2D5A40CC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28" name="CuadroTexto 627">
          <a:extLst>
            <a:ext uri="{FF2B5EF4-FFF2-40B4-BE49-F238E27FC236}">
              <a16:creationId xmlns:a16="http://schemas.microsoft.com/office/drawing/2014/main" id="{DA302B1E-4D80-4932-916D-A826B70297DA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29" name="CuadroTexto 628">
          <a:extLst>
            <a:ext uri="{FF2B5EF4-FFF2-40B4-BE49-F238E27FC236}">
              <a16:creationId xmlns:a16="http://schemas.microsoft.com/office/drawing/2014/main" id="{44BD65A1-1CC2-4F07-A3C0-8D6F9CF85F77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30" name="CuadroTexto 629">
          <a:extLst>
            <a:ext uri="{FF2B5EF4-FFF2-40B4-BE49-F238E27FC236}">
              <a16:creationId xmlns:a16="http://schemas.microsoft.com/office/drawing/2014/main" id="{970DC0AA-CA5B-41FE-9045-389B7325A188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31" name="CuadroTexto 630">
          <a:extLst>
            <a:ext uri="{FF2B5EF4-FFF2-40B4-BE49-F238E27FC236}">
              <a16:creationId xmlns:a16="http://schemas.microsoft.com/office/drawing/2014/main" id="{CAD90256-A5CE-4374-9FB2-B75060D14686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32" name="CuadroTexto 631">
          <a:extLst>
            <a:ext uri="{FF2B5EF4-FFF2-40B4-BE49-F238E27FC236}">
              <a16:creationId xmlns:a16="http://schemas.microsoft.com/office/drawing/2014/main" id="{DC166B57-0751-471A-8B70-FD57526C6FAE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33" name="CuadroTexto 632">
          <a:extLst>
            <a:ext uri="{FF2B5EF4-FFF2-40B4-BE49-F238E27FC236}">
              <a16:creationId xmlns:a16="http://schemas.microsoft.com/office/drawing/2014/main" id="{9009BB11-82CC-45CB-AD96-F1C3304A7C5A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34" name="CuadroTexto 633">
          <a:extLst>
            <a:ext uri="{FF2B5EF4-FFF2-40B4-BE49-F238E27FC236}">
              <a16:creationId xmlns:a16="http://schemas.microsoft.com/office/drawing/2014/main" id="{BCB9D005-D1B0-4CD6-9BE6-CBD736040E9E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35" name="CuadroTexto 634">
          <a:extLst>
            <a:ext uri="{FF2B5EF4-FFF2-40B4-BE49-F238E27FC236}">
              <a16:creationId xmlns:a16="http://schemas.microsoft.com/office/drawing/2014/main" id="{60364FD8-6283-4457-970A-64925FC054C1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36" name="CuadroTexto 635">
          <a:extLst>
            <a:ext uri="{FF2B5EF4-FFF2-40B4-BE49-F238E27FC236}">
              <a16:creationId xmlns:a16="http://schemas.microsoft.com/office/drawing/2014/main" id="{0CA27B87-2AEB-494B-9371-240C0C4DB4A5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37" name="CuadroTexto 636">
          <a:extLst>
            <a:ext uri="{FF2B5EF4-FFF2-40B4-BE49-F238E27FC236}">
              <a16:creationId xmlns:a16="http://schemas.microsoft.com/office/drawing/2014/main" id="{785F4463-438E-4719-AEBB-85ECF5DFB2A6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38" name="CuadroTexto 637">
          <a:extLst>
            <a:ext uri="{FF2B5EF4-FFF2-40B4-BE49-F238E27FC236}">
              <a16:creationId xmlns:a16="http://schemas.microsoft.com/office/drawing/2014/main" id="{F309517F-12DB-45F1-BD66-B43D64B9F11F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39" name="CuadroTexto 638">
          <a:extLst>
            <a:ext uri="{FF2B5EF4-FFF2-40B4-BE49-F238E27FC236}">
              <a16:creationId xmlns:a16="http://schemas.microsoft.com/office/drawing/2014/main" id="{7301B8FD-ABD3-4CC3-942B-ED95D6C6711E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40" name="CuadroTexto 639">
          <a:extLst>
            <a:ext uri="{FF2B5EF4-FFF2-40B4-BE49-F238E27FC236}">
              <a16:creationId xmlns:a16="http://schemas.microsoft.com/office/drawing/2014/main" id="{9FE4BCAC-986C-4B9D-882F-9BD3EB809DD4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41" name="CuadroTexto 640">
          <a:extLst>
            <a:ext uri="{FF2B5EF4-FFF2-40B4-BE49-F238E27FC236}">
              <a16:creationId xmlns:a16="http://schemas.microsoft.com/office/drawing/2014/main" id="{B68F4CE2-1F3A-490A-B4EC-6931DA0111EA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42" name="CuadroTexto 641">
          <a:extLst>
            <a:ext uri="{FF2B5EF4-FFF2-40B4-BE49-F238E27FC236}">
              <a16:creationId xmlns:a16="http://schemas.microsoft.com/office/drawing/2014/main" id="{BC44C0FC-F219-4208-BBB9-76C2EAA777EF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43" name="CuadroTexto 642">
          <a:extLst>
            <a:ext uri="{FF2B5EF4-FFF2-40B4-BE49-F238E27FC236}">
              <a16:creationId xmlns:a16="http://schemas.microsoft.com/office/drawing/2014/main" id="{B7BE48E7-37B4-48F3-BF8D-D3EACFA7A3DD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44" name="CuadroTexto 643">
          <a:extLst>
            <a:ext uri="{FF2B5EF4-FFF2-40B4-BE49-F238E27FC236}">
              <a16:creationId xmlns:a16="http://schemas.microsoft.com/office/drawing/2014/main" id="{02864620-C65B-4F73-8E8E-678C71E743A2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45" name="CuadroTexto 644">
          <a:extLst>
            <a:ext uri="{FF2B5EF4-FFF2-40B4-BE49-F238E27FC236}">
              <a16:creationId xmlns:a16="http://schemas.microsoft.com/office/drawing/2014/main" id="{A4B29C62-2ED5-4121-8190-351901B8E917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46" name="CuadroTexto 645">
          <a:extLst>
            <a:ext uri="{FF2B5EF4-FFF2-40B4-BE49-F238E27FC236}">
              <a16:creationId xmlns:a16="http://schemas.microsoft.com/office/drawing/2014/main" id="{BC8BFED8-B18A-4566-AFB0-C8E754905FAA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47" name="CuadroTexto 646">
          <a:extLst>
            <a:ext uri="{FF2B5EF4-FFF2-40B4-BE49-F238E27FC236}">
              <a16:creationId xmlns:a16="http://schemas.microsoft.com/office/drawing/2014/main" id="{AFDBDFCA-39D2-4525-85A2-6E882F01C7B4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48" name="CuadroTexto 647">
          <a:extLst>
            <a:ext uri="{FF2B5EF4-FFF2-40B4-BE49-F238E27FC236}">
              <a16:creationId xmlns:a16="http://schemas.microsoft.com/office/drawing/2014/main" id="{973FBD0F-0731-44D0-9E57-DB3CBC7CC68D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49" name="CuadroTexto 648">
          <a:extLst>
            <a:ext uri="{FF2B5EF4-FFF2-40B4-BE49-F238E27FC236}">
              <a16:creationId xmlns:a16="http://schemas.microsoft.com/office/drawing/2014/main" id="{C1E98902-E114-4333-A8B1-45273056EB39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50" name="CuadroTexto 649">
          <a:extLst>
            <a:ext uri="{FF2B5EF4-FFF2-40B4-BE49-F238E27FC236}">
              <a16:creationId xmlns:a16="http://schemas.microsoft.com/office/drawing/2014/main" id="{96DB668D-FEFA-4844-B821-CC9FA191906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51" name="CuadroTexto 650">
          <a:extLst>
            <a:ext uri="{FF2B5EF4-FFF2-40B4-BE49-F238E27FC236}">
              <a16:creationId xmlns:a16="http://schemas.microsoft.com/office/drawing/2014/main" id="{555741B8-921C-446F-AD97-EFBD22C834F1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52" name="CuadroTexto 651">
          <a:extLst>
            <a:ext uri="{FF2B5EF4-FFF2-40B4-BE49-F238E27FC236}">
              <a16:creationId xmlns:a16="http://schemas.microsoft.com/office/drawing/2014/main" id="{78B4B54C-6D49-474A-AF36-E4D907B0EFCF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53" name="CuadroTexto 652">
          <a:extLst>
            <a:ext uri="{FF2B5EF4-FFF2-40B4-BE49-F238E27FC236}">
              <a16:creationId xmlns:a16="http://schemas.microsoft.com/office/drawing/2014/main" id="{F5883031-9B2C-4F5D-98D0-DA9953C58636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54" name="CuadroTexto 653">
          <a:extLst>
            <a:ext uri="{FF2B5EF4-FFF2-40B4-BE49-F238E27FC236}">
              <a16:creationId xmlns:a16="http://schemas.microsoft.com/office/drawing/2014/main" id="{217B2049-9D57-4383-BA03-47065B9009F9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55" name="CuadroTexto 654">
          <a:extLst>
            <a:ext uri="{FF2B5EF4-FFF2-40B4-BE49-F238E27FC236}">
              <a16:creationId xmlns:a16="http://schemas.microsoft.com/office/drawing/2014/main" id="{E8997AA7-6F17-495A-BCB5-BAE81261EB3A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56" name="CuadroTexto 655">
          <a:extLst>
            <a:ext uri="{FF2B5EF4-FFF2-40B4-BE49-F238E27FC236}">
              <a16:creationId xmlns:a16="http://schemas.microsoft.com/office/drawing/2014/main" id="{CE6A3288-6F41-49D6-A714-73418E5A498A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57" name="CuadroTexto 656">
          <a:extLst>
            <a:ext uri="{FF2B5EF4-FFF2-40B4-BE49-F238E27FC236}">
              <a16:creationId xmlns:a16="http://schemas.microsoft.com/office/drawing/2014/main" id="{8CAB3095-0875-4D80-B51E-6873EAD3CDD4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58" name="CuadroTexto 657">
          <a:extLst>
            <a:ext uri="{FF2B5EF4-FFF2-40B4-BE49-F238E27FC236}">
              <a16:creationId xmlns:a16="http://schemas.microsoft.com/office/drawing/2014/main" id="{296E632E-FAC2-492C-A203-71BAA20C458C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59" name="CuadroTexto 658">
          <a:extLst>
            <a:ext uri="{FF2B5EF4-FFF2-40B4-BE49-F238E27FC236}">
              <a16:creationId xmlns:a16="http://schemas.microsoft.com/office/drawing/2014/main" id="{9C771564-8D9E-4B96-86AF-C33A1D82E5FD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60" name="CuadroTexto 659">
          <a:extLst>
            <a:ext uri="{FF2B5EF4-FFF2-40B4-BE49-F238E27FC236}">
              <a16:creationId xmlns:a16="http://schemas.microsoft.com/office/drawing/2014/main" id="{4D5F897D-E998-453A-802C-B3BE2219D4B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61" name="CuadroTexto 660">
          <a:extLst>
            <a:ext uri="{FF2B5EF4-FFF2-40B4-BE49-F238E27FC236}">
              <a16:creationId xmlns:a16="http://schemas.microsoft.com/office/drawing/2014/main" id="{D03CBBFA-EB7D-47A1-9FA6-E55C3BCF0A46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62" name="CuadroTexto 661">
          <a:extLst>
            <a:ext uri="{FF2B5EF4-FFF2-40B4-BE49-F238E27FC236}">
              <a16:creationId xmlns:a16="http://schemas.microsoft.com/office/drawing/2014/main" id="{5766FAD5-1956-40BA-80B5-7D6C05B1542C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63" name="CuadroTexto 662">
          <a:extLst>
            <a:ext uri="{FF2B5EF4-FFF2-40B4-BE49-F238E27FC236}">
              <a16:creationId xmlns:a16="http://schemas.microsoft.com/office/drawing/2014/main" id="{33C8AF74-4F85-4298-930C-CA4A9E17D0F6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64" name="CuadroTexto 663">
          <a:extLst>
            <a:ext uri="{FF2B5EF4-FFF2-40B4-BE49-F238E27FC236}">
              <a16:creationId xmlns:a16="http://schemas.microsoft.com/office/drawing/2014/main" id="{E4695514-B4A6-4D55-91C1-1A6FBEF6032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65" name="CuadroTexto 664">
          <a:extLst>
            <a:ext uri="{FF2B5EF4-FFF2-40B4-BE49-F238E27FC236}">
              <a16:creationId xmlns:a16="http://schemas.microsoft.com/office/drawing/2014/main" id="{8E1CE570-030E-4423-9D68-2AB3E0E6C05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66" name="CuadroTexto 665">
          <a:extLst>
            <a:ext uri="{FF2B5EF4-FFF2-40B4-BE49-F238E27FC236}">
              <a16:creationId xmlns:a16="http://schemas.microsoft.com/office/drawing/2014/main" id="{F57E28A1-2F7B-4D79-85BD-B421C7363E49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67" name="CuadroTexto 666">
          <a:extLst>
            <a:ext uri="{FF2B5EF4-FFF2-40B4-BE49-F238E27FC236}">
              <a16:creationId xmlns:a16="http://schemas.microsoft.com/office/drawing/2014/main" id="{6D7130D2-C344-4BE7-B2C6-51535730DCCD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68" name="CuadroTexto 667">
          <a:extLst>
            <a:ext uri="{FF2B5EF4-FFF2-40B4-BE49-F238E27FC236}">
              <a16:creationId xmlns:a16="http://schemas.microsoft.com/office/drawing/2014/main" id="{B803F034-B420-4CD5-8852-73CD6415BB97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69" name="CuadroTexto 668">
          <a:extLst>
            <a:ext uri="{FF2B5EF4-FFF2-40B4-BE49-F238E27FC236}">
              <a16:creationId xmlns:a16="http://schemas.microsoft.com/office/drawing/2014/main" id="{41703653-83CE-4911-80BF-9A7BA827D8C1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70" name="CuadroTexto 669">
          <a:extLst>
            <a:ext uri="{FF2B5EF4-FFF2-40B4-BE49-F238E27FC236}">
              <a16:creationId xmlns:a16="http://schemas.microsoft.com/office/drawing/2014/main" id="{366939D9-F11B-4534-933C-13C40588A134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71" name="CuadroTexto 670">
          <a:extLst>
            <a:ext uri="{FF2B5EF4-FFF2-40B4-BE49-F238E27FC236}">
              <a16:creationId xmlns:a16="http://schemas.microsoft.com/office/drawing/2014/main" id="{1B4E4F1E-42EC-40B7-BC77-D831FD7FD52A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72" name="CuadroTexto 671">
          <a:extLst>
            <a:ext uri="{FF2B5EF4-FFF2-40B4-BE49-F238E27FC236}">
              <a16:creationId xmlns:a16="http://schemas.microsoft.com/office/drawing/2014/main" id="{4A158ABF-945C-4A37-B3CF-A1BDB47B9601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73" name="CuadroTexto 672">
          <a:extLst>
            <a:ext uri="{FF2B5EF4-FFF2-40B4-BE49-F238E27FC236}">
              <a16:creationId xmlns:a16="http://schemas.microsoft.com/office/drawing/2014/main" id="{CAAB0D16-28CE-4DAD-AABE-A94742BB7F2E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74" name="CuadroTexto 673">
          <a:extLst>
            <a:ext uri="{FF2B5EF4-FFF2-40B4-BE49-F238E27FC236}">
              <a16:creationId xmlns:a16="http://schemas.microsoft.com/office/drawing/2014/main" id="{558E8529-9ECD-4041-AF66-E7E136C8B044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75" name="CuadroTexto 674">
          <a:extLst>
            <a:ext uri="{FF2B5EF4-FFF2-40B4-BE49-F238E27FC236}">
              <a16:creationId xmlns:a16="http://schemas.microsoft.com/office/drawing/2014/main" id="{8A5FC545-F903-4D0A-A30C-6376BD2EC189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76" name="CuadroTexto 675">
          <a:extLst>
            <a:ext uri="{FF2B5EF4-FFF2-40B4-BE49-F238E27FC236}">
              <a16:creationId xmlns:a16="http://schemas.microsoft.com/office/drawing/2014/main" id="{3278E58C-19A2-4037-B6ED-79DD54535DAB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77" name="CuadroTexto 676">
          <a:extLst>
            <a:ext uri="{FF2B5EF4-FFF2-40B4-BE49-F238E27FC236}">
              <a16:creationId xmlns:a16="http://schemas.microsoft.com/office/drawing/2014/main" id="{DB3E76B8-FAC9-49F6-9072-56F607475304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78" name="CuadroTexto 677">
          <a:extLst>
            <a:ext uri="{FF2B5EF4-FFF2-40B4-BE49-F238E27FC236}">
              <a16:creationId xmlns:a16="http://schemas.microsoft.com/office/drawing/2014/main" id="{EA3A45B2-E3C5-4A66-9B3F-8470D060A3E6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79" name="CuadroTexto 678">
          <a:extLst>
            <a:ext uri="{FF2B5EF4-FFF2-40B4-BE49-F238E27FC236}">
              <a16:creationId xmlns:a16="http://schemas.microsoft.com/office/drawing/2014/main" id="{BF290336-9248-4E00-BE6F-00EBE3DD4795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80" name="CuadroTexto 679">
          <a:extLst>
            <a:ext uri="{FF2B5EF4-FFF2-40B4-BE49-F238E27FC236}">
              <a16:creationId xmlns:a16="http://schemas.microsoft.com/office/drawing/2014/main" id="{A094F42A-1AE4-45E2-B9C1-2B1E8381006D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81" name="CuadroTexto 680">
          <a:extLst>
            <a:ext uri="{FF2B5EF4-FFF2-40B4-BE49-F238E27FC236}">
              <a16:creationId xmlns:a16="http://schemas.microsoft.com/office/drawing/2014/main" id="{EE0CED98-A122-4A1F-8C32-62ECD3B19694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82" name="CuadroTexto 681">
          <a:extLst>
            <a:ext uri="{FF2B5EF4-FFF2-40B4-BE49-F238E27FC236}">
              <a16:creationId xmlns:a16="http://schemas.microsoft.com/office/drawing/2014/main" id="{1CAA3DF5-A623-49ED-A9FC-F517DB1A842B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83" name="CuadroTexto 682">
          <a:extLst>
            <a:ext uri="{FF2B5EF4-FFF2-40B4-BE49-F238E27FC236}">
              <a16:creationId xmlns:a16="http://schemas.microsoft.com/office/drawing/2014/main" id="{AA13260F-2E8A-49C0-AC6D-A23C77CCEB0F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84" name="CuadroTexto 683">
          <a:extLst>
            <a:ext uri="{FF2B5EF4-FFF2-40B4-BE49-F238E27FC236}">
              <a16:creationId xmlns:a16="http://schemas.microsoft.com/office/drawing/2014/main" id="{66E2371C-1C27-4A54-94D5-8920B10FE18D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85" name="CuadroTexto 684">
          <a:extLst>
            <a:ext uri="{FF2B5EF4-FFF2-40B4-BE49-F238E27FC236}">
              <a16:creationId xmlns:a16="http://schemas.microsoft.com/office/drawing/2014/main" id="{6B999D4F-B452-43F7-9FFD-02C2ADA420EF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86" name="CuadroTexto 685">
          <a:extLst>
            <a:ext uri="{FF2B5EF4-FFF2-40B4-BE49-F238E27FC236}">
              <a16:creationId xmlns:a16="http://schemas.microsoft.com/office/drawing/2014/main" id="{86C39391-C1F2-4AE5-A30E-B2344C665B0F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87" name="CuadroTexto 686">
          <a:extLst>
            <a:ext uri="{FF2B5EF4-FFF2-40B4-BE49-F238E27FC236}">
              <a16:creationId xmlns:a16="http://schemas.microsoft.com/office/drawing/2014/main" id="{A19C2445-BF6E-46BC-A5B8-1F6F59C57FCD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88" name="CuadroTexto 687">
          <a:extLst>
            <a:ext uri="{FF2B5EF4-FFF2-40B4-BE49-F238E27FC236}">
              <a16:creationId xmlns:a16="http://schemas.microsoft.com/office/drawing/2014/main" id="{C2609EDB-12AE-431E-8C9B-473684ECE2F9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89" name="CuadroTexto 688">
          <a:extLst>
            <a:ext uri="{FF2B5EF4-FFF2-40B4-BE49-F238E27FC236}">
              <a16:creationId xmlns:a16="http://schemas.microsoft.com/office/drawing/2014/main" id="{848C61F2-0D04-4081-8FAF-F006000CCF5D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90" name="CuadroTexto 689">
          <a:extLst>
            <a:ext uri="{FF2B5EF4-FFF2-40B4-BE49-F238E27FC236}">
              <a16:creationId xmlns:a16="http://schemas.microsoft.com/office/drawing/2014/main" id="{9FA2666B-BF20-454C-9AE2-FF8EE4C08E4F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91" name="CuadroTexto 690">
          <a:extLst>
            <a:ext uri="{FF2B5EF4-FFF2-40B4-BE49-F238E27FC236}">
              <a16:creationId xmlns:a16="http://schemas.microsoft.com/office/drawing/2014/main" id="{07E40B58-13F9-4927-A5FE-315C3BF26D7F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92" name="CuadroTexto 691">
          <a:extLst>
            <a:ext uri="{FF2B5EF4-FFF2-40B4-BE49-F238E27FC236}">
              <a16:creationId xmlns:a16="http://schemas.microsoft.com/office/drawing/2014/main" id="{E9728B3F-FD1D-426B-98E3-D2B1AEFF1878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93" name="CuadroTexto 692">
          <a:extLst>
            <a:ext uri="{FF2B5EF4-FFF2-40B4-BE49-F238E27FC236}">
              <a16:creationId xmlns:a16="http://schemas.microsoft.com/office/drawing/2014/main" id="{FC5A54CD-ADD0-4235-A9ED-48FC6BE64875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94" name="CuadroTexto 693">
          <a:extLst>
            <a:ext uri="{FF2B5EF4-FFF2-40B4-BE49-F238E27FC236}">
              <a16:creationId xmlns:a16="http://schemas.microsoft.com/office/drawing/2014/main" id="{16A1C559-48EE-4AA7-A7C9-A5DD36CA7787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95" name="CuadroTexto 694">
          <a:extLst>
            <a:ext uri="{FF2B5EF4-FFF2-40B4-BE49-F238E27FC236}">
              <a16:creationId xmlns:a16="http://schemas.microsoft.com/office/drawing/2014/main" id="{7A7EA811-F1E7-4109-A110-4A45473473D3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96" name="CuadroTexto 695">
          <a:extLst>
            <a:ext uri="{FF2B5EF4-FFF2-40B4-BE49-F238E27FC236}">
              <a16:creationId xmlns:a16="http://schemas.microsoft.com/office/drawing/2014/main" id="{38F4C9C4-CB14-43A9-B141-B70D0D167157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97" name="CuadroTexto 696">
          <a:extLst>
            <a:ext uri="{FF2B5EF4-FFF2-40B4-BE49-F238E27FC236}">
              <a16:creationId xmlns:a16="http://schemas.microsoft.com/office/drawing/2014/main" id="{CC2A7E11-6665-47FC-B68A-71B23B1985AA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98" name="CuadroTexto 697">
          <a:extLst>
            <a:ext uri="{FF2B5EF4-FFF2-40B4-BE49-F238E27FC236}">
              <a16:creationId xmlns:a16="http://schemas.microsoft.com/office/drawing/2014/main" id="{BB494456-24D3-4142-95AA-01F9CB97E973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699" name="CuadroTexto 698">
          <a:extLst>
            <a:ext uri="{FF2B5EF4-FFF2-40B4-BE49-F238E27FC236}">
              <a16:creationId xmlns:a16="http://schemas.microsoft.com/office/drawing/2014/main" id="{500FB871-C6FA-4EC0-ABCC-84B60F780A1F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00" name="CuadroTexto 699">
          <a:extLst>
            <a:ext uri="{FF2B5EF4-FFF2-40B4-BE49-F238E27FC236}">
              <a16:creationId xmlns:a16="http://schemas.microsoft.com/office/drawing/2014/main" id="{48DC3CC9-986A-4E18-81C8-D1A91B51C1CA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01" name="CuadroTexto 700">
          <a:extLst>
            <a:ext uri="{FF2B5EF4-FFF2-40B4-BE49-F238E27FC236}">
              <a16:creationId xmlns:a16="http://schemas.microsoft.com/office/drawing/2014/main" id="{99FD97DB-A596-48F9-9C3C-008A82F3FE3A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02" name="CuadroTexto 701">
          <a:extLst>
            <a:ext uri="{FF2B5EF4-FFF2-40B4-BE49-F238E27FC236}">
              <a16:creationId xmlns:a16="http://schemas.microsoft.com/office/drawing/2014/main" id="{24E8FE88-EA0A-4513-AAC6-3C2D7A885762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03" name="CuadroTexto 702">
          <a:extLst>
            <a:ext uri="{FF2B5EF4-FFF2-40B4-BE49-F238E27FC236}">
              <a16:creationId xmlns:a16="http://schemas.microsoft.com/office/drawing/2014/main" id="{9845C9DA-C1CA-4F0C-BB29-FABF9629C804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04" name="CuadroTexto 703">
          <a:extLst>
            <a:ext uri="{FF2B5EF4-FFF2-40B4-BE49-F238E27FC236}">
              <a16:creationId xmlns:a16="http://schemas.microsoft.com/office/drawing/2014/main" id="{5E0525F9-8972-4980-89BA-F025C4E6CB4E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05" name="CuadroTexto 704">
          <a:extLst>
            <a:ext uri="{FF2B5EF4-FFF2-40B4-BE49-F238E27FC236}">
              <a16:creationId xmlns:a16="http://schemas.microsoft.com/office/drawing/2014/main" id="{A21AC477-D9FF-4565-9643-2E023D690942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06" name="CuadroTexto 705">
          <a:extLst>
            <a:ext uri="{FF2B5EF4-FFF2-40B4-BE49-F238E27FC236}">
              <a16:creationId xmlns:a16="http://schemas.microsoft.com/office/drawing/2014/main" id="{2878F0D8-F095-41DD-8F73-593DFDC3093F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07" name="CuadroTexto 706">
          <a:extLst>
            <a:ext uri="{FF2B5EF4-FFF2-40B4-BE49-F238E27FC236}">
              <a16:creationId xmlns:a16="http://schemas.microsoft.com/office/drawing/2014/main" id="{E946B28E-055C-4CD0-815E-1B5C7974244C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08" name="CuadroTexto 707">
          <a:extLst>
            <a:ext uri="{FF2B5EF4-FFF2-40B4-BE49-F238E27FC236}">
              <a16:creationId xmlns:a16="http://schemas.microsoft.com/office/drawing/2014/main" id="{1BC05784-41C1-4116-AB41-32B8743211A8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09" name="CuadroTexto 708">
          <a:extLst>
            <a:ext uri="{FF2B5EF4-FFF2-40B4-BE49-F238E27FC236}">
              <a16:creationId xmlns:a16="http://schemas.microsoft.com/office/drawing/2014/main" id="{0CB4D20A-0E3F-486A-B25F-ADC084C62E7D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10" name="CuadroTexto 709">
          <a:extLst>
            <a:ext uri="{FF2B5EF4-FFF2-40B4-BE49-F238E27FC236}">
              <a16:creationId xmlns:a16="http://schemas.microsoft.com/office/drawing/2014/main" id="{FB1DEA44-B5C0-44B1-89F3-D5E07B6E665E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11" name="CuadroTexto 710">
          <a:extLst>
            <a:ext uri="{FF2B5EF4-FFF2-40B4-BE49-F238E27FC236}">
              <a16:creationId xmlns:a16="http://schemas.microsoft.com/office/drawing/2014/main" id="{4AB79F91-75DF-4CBC-AB7A-BE7ED7A34E81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12" name="CuadroTexto 711">
          <a:extLst>
            <a:ext uri="{FF2B5EF4-FFF2-40B4-BE49-F238E27FC236}">
              <a16:creationId xmlns:a16="http://schemas.microsoft.com/office/drawing/2014/main" id="{7D2A60CA-30BC-44E4-A0A8-2E7F604DFFEF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13" name="CuadroTexto 712">
          <a:extLst>
            <a:ext uri="{FF2B5EF4-FFF2-40B4-BE49-F238E27FC236}">
              <a16:creationId xmlns:a16="http://schemas.microsoft.com/office/drawing/2014/main" id="{E6E1213E-228B-4A7E-8EDD-442CCBEDADC9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14" name="CuadroTexto 713">
          <a:extLst>
            <a:ext uri="{FF2B5EF4-FFF2-40B4-BE49-F238E27FC236}">
              <a16:creationId xmlns:a16="http://schemas.microsoft.com/office/drawing/2014/main" id="{09B5A866-0F40-45A3-BE05-9B3C0AFC744F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15" name="CuadroTexto 714">
          <a:extLst>
            <a:ext uri="{FF2B5EF4-FFF2-40B4-BE49-F238E27FC236}">
              <a16:creationId xmlns:a16="http://schemas.microsoft.com/office/drawing/2014/main" id="{34544183-01B7-48E3-8B7F-EF3B9CE646F6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16" name="CuadroTexto 715">
          <a:extLst>
            <a:ext uri="{FF2B5EF4-FFF2-40B4-BE49-F238E27FC236}">
              <a16:creationId xmlns:a16="http://schemas.microsoft.com/office/drawing/2014/main" id="{AB458A05-E4DC-4AF7-805C-A175FE55A08D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17" name="CuadroTexto 716">
          <a:extLst>
            <a:ext uri="{FF2B5EF4-FFF2-40B4-BE49-F238E27FC236}">
              <a16:creationId xmlns:a16="http://schemas.microsoft.com/office/drawing/2014/main" id="{CED4E99C-0CA6-4245-B4F5-833329501201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18" name="CuadroTexto 717">
          <a:extLst>
            <a:ext uri="{FF2B5EF4-FFF2-40B4-BE49-F238E27FC236}">
              <a16:creationId xmlns:a16="http://schemas.microsoft.com/office/drawing/2014/main" id="{EC24D3EC-F216-416D-A6EE-FD20163DC9AF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19" name="CuadroTexto 718">
          <a:extLst>
            <a:ext uri="{FF2B5EF4-FFF2-40B4-BE49-F238E27FC236}">
              <a16:creationId xmlns:a16="http://schemas.microsoft.com/office/drawing/2014/main" id="{7F49633A-00DB-40C2-8232-42F17E999034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20" name="CuadroTexto 719">
          <a:extLst>
            <a:ext uri="{FF2B5EF4-FFF2-40B4-BE49-F238E27FC236}">
              <a16:creationId xmlns:a16="http://schemas.microsoft.com/office/drawing/2014/main" id="{7A95C748-8D5E-4F1C-8554-170A7D47FEDF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21" name="CuadroTexto 720">
          <a:extLst>
            <a:ext uri="{FF2B5EF4-FFF2-40B4-BE49-F238E27FC236}">
              <a16:creationId xmlns:a16="http://schemas.microsoft.com/office/drawing/2014/main" id="{26094E0E-FB79-4839-9061-0FB48FBAF8A2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22" name="CuadroTexto 721">
          <a:extLst>
            <a:ext uri="{FF2B5EF4-FFF2-40B4-BE49-F238E27FC236}">
              <a16:creationId xmlns:a16="http://schemas.microsoft.com/office/drawing/2014/main" id="{21B093F3-7718-40B2-8694-B5746E4E8654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23" name="CuadroTexto 722">
          <a:extLst>
            <a:ext uri="{FF2B5EF4-FFF2-40B4-BE49-F238E27FC236}">
              <a16:creationId xmlns:a16="http://schemas.microsoft.com/office/drawing/2014/main" id="{198ECBAD-45D8-4E64-A973-84C94728772D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24" name="CuadroTexto 723">
          <a:extLst>
            <a:ext uri="{FF2B5EF4-FFF2-40B4-BE49-F238E27FC236}">
              <a16:creationId xmlns:a16="http://schemas.microsoft.com/office/drawing/2014/main" id="{CBAD7B30-E0B7-4C69-94B1-794F225FAE9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25" name="CuadroTexto 724">
          <a:extLst>
            <a:ext uri="{FF2B5EF4-FFF2-40B4-BE49-F238E27FC236}">
              <a16:creationId xmlns:a16="http://schemas.microsoft.com/office/drawing/2014/main" id="{3DC24C73-2AA7-42F2-8891-BE9AA13A9635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26" name="CuadroTexto 725">
          <a:extLst>
            <a:ext uri="{FF2B5EF4-FFF2-40B4-BE49-F238E27FC236}">
              <a16:creationId xmlns:a16="http://schemas.microsoft.com/office/drawing/2014/main" id="{BDD52BD6-C361-4EB1-8E5D-7D4C835E0B97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27" name="CuadroTexto 726">
          <a:extLst>
            <a:ext uri="{FF2B5EF4-FFF2-40B4-BE49-F238E27FC236}">
              <a16:creationId xmlns:a16="http://schemas.microsoft.com/office/drawing/2014/main" id="{2FE8F926-28CE-4876-911C-8424952C3CAA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28" name="CuadroTexto 727">
          <a:extLst>
            <a:ext uri="{FF2B5EF4-FFF2-40B4-BE49-F238E27FC236}">
              <a16:creationId xmlns:a16="http://schemas.microsoft.com/office/drawing/2014/main" id="{CD011CCA-5772-4B7F-809E-5F5AC3485FCE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29" name="CuadroTexto 728">
          <a:extLst>
            <a:ext uri="{FF2B5EF4-FFF2-40B4-BE49-F238E27FC236}">
              <a16:creationId xmlns:a16="http://schemas.microsoft.com/office/drawing/2014/main" id="{8C721F10-4ABC-4A66-8574-E352EB1B0869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30" name="CuadroTexto 729">
          <a:extLst>
            <a:ext uri="{FF2B5EF4-FFF2-40B4-BE49-F238E27FC236}">
              <a16:creationId xmlns:a16="http://schemas.microsoft.com/office/drawing/2014/main" id="{C6C9A309-8F5C-4B7B-94C8-F32A80D90FF3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31" name="CuadroTexto 730">
          <a:extLst>
            <a:ext uri="{FF2B5EF4-FFF2-40B4-BE49-F238E27FC236}">
              <a16:creationId xmlns:a16="http://schemas.microsoft.com/office/drawing/2014/main" id="{760DEA13-4612-43BD-815F-4D50947F43B4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32" name="CuadroTexto 731">
          <a:extLst>
            <a:ext uri="{FF2B5EF4-FFF2-40B4-BE49-F238E27FC236}">
              <a16:creationId xmlns:a16="http://schemas.microsoft.com/office/drawing/2014/main" id="{91146214-FAB0-4A8E-8359-2D043443C55A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33" name="CuadroTexto 732">
          <a:extLst>
            <a:ext uri="{FF2B5EF4-FFF2-40B4-BE49-F238E27FC236}">
              <a16:creationId xmlns:a16="http://schemas.microsoft.com/office/drawing/2014/main" id="{7B08A45F-CB4C-440A-AD17-710D9774C254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34" name="CuadroTexto 733">
          <a:extLst>
            <a:ext uri="{FF2B5EF4-FFF2-40B4-BE49-F238E27FC236}">
              <a16:creationId xmlns:a16="http://schemas.microsoft.com/office/drawing/2014/main" id="{F6772002-A803-4E38-99B5-FD9208F97B3A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35" name="CuadroTexto 734">
          <a:extLst>
            <a:ext uri="{FF2B5EF4-FFF2-40B4-BE49-F238E27FC236}">
              <a16:creationId xmlns:a16="http://schemas.microsoft.com/office/drawing/2014/main" id="{78CC5569-5B2A-4637-9404-0C095EF9BE72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36" name="CuadroTexto 735">
          <a:extLst>
            <a:ext uri="{FF2B5EF4-FFF2-40B4-BE49-F238E27FC236}">
              <a16:creationId xmlns:a16="http://schemas.microsoft.com/office/drawing/2014/main" id="{94D20934-C669-4CE5-A4CB-618FA0E37289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37" name="CuadroTexto 736">
          <a:extLst>
            <a:ext uri="{FF2B5EF4-FFF2-40B4-BE49-F238E27FC236}">
              <a16:creationId xmlns:a16="http://schemas.microsoft.com/office/drawing/2014/main" id="{67A5282C-5D13-4AC6-8B8D-1780EDD5CD73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38" name="CuadroTexto 737">
          <a:extLst>
            <a:ext uri="{FF2B5EF4-FFF2-40B4-BE49-F238E27FC236}">
              <a16:creationId xmlns:a16="http://schemas.microsoft.com/office/drawing/2014/main" id="{E317023E-0A0E-46A3-A8BD-AACCD814881F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39" name="CuadroTexto 738">
          <a:extLst>
            <a:ext uri="{FF2B5EF4-FFF2-40B4-BE49-F238E27FC236}">
              <a16:creationId xmlns:a16="http://schemas.microsoft.com/office/drawing/2014/main" id="{F8DB0D31-F9AD-4358-845A-9C4D2ECCE0F7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40" name="CuadroTexto 739">
          <a:extLst>
            <a:ext uri="{FF2B5EF4-FFF2-40B4-BE49-F238E27FC236}">
              <a16:creationId xmlns:a16="http://schemas.microsoft.com/office/drawing/2014/main" id="{4070FEB2-189D-4F67-9F4F-5F5E199D9C74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41" name="CuadroTexto 740">
          <a:extLst>
            <a:ext uri="{FF2B5EF4-FFF2-40B4-BE49-F238E27FC236}">
              <a16:creationId xmlns:a16="http://schemas.microsoft.com/office/drawing/2014/main" id="{DED3C7DF-659E-4945-BFC9-E7EB555A0100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42" name="CuadroTexto 741">
          <a:extLst>
            <a:ext uri="{FF2B5EF4-FFF2-40B4-BE49-F238E27FC236}">
              <a16:creationId xmlns:a16="http://schemas.microsoft.com/office/drawing/2014/main" id="{D3887951-5777-4A51-BABD-6A5FB82A0ABF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43" name="CuadroTexto 742">
          <a:extLst>
            <a:ext uri="{FF2B5EF4-FFF2-40B4-BE49-F238E27FC236}">
              <a16:creationId xmlns:a16="http://schemas.microsoft.com/office/drawing/2014/main" id="{42A1EE47-CF11-4B6B-8186-FA62F76D896D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44" name="CuadroTexto 743">
          <a:extLst>
            <a:ext uri="{FF2B5EF4-FFF2-40B4-BE49-F238E27FC236}">
              <a16:creationId xmlns:a16="http://schemas.microsoft.com/office/drawing/2014/main" id="{666BA56F-4ACD-4E23-9B01-D3CD49AF079D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45" name="CuadroTexto 744">
          <a:extLst>
            <a:ext uri="{FF2B5EF4-FFF2-40B4-BE49-F238E27FC236}">
              <a16:creationId xmlns:a16="http://schemas.microsoft.com/office/drawing/2014/main" id="{55D644C4-651C-4833-BCF9-7D30566EEA21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46" name="CuadroTexto 745">
          <a:extLst>
            <a:ext uri="{FF2B5EF4-FFF2-40B4-BE49-F238E27FC236}">
              <a16:creationId xmlns:a16="http://schemas.microsoft.com/office/drawing/2014/main" id="{DC6D6838-3549-4F9A-923F-96EAAE73592E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47" name="CuadroTexto 746">
          <a:extLst>
            <a:ext uri="{FF2B5EF4-FFF2-40B4-BE49-F238E27FC236}">
              <a16:creationId xmlns:a16="http://schemas.microsoft.com/office/drawing/2014/main" id="{863DE597-4833-4CA5-BD75-D172850D5AC4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48" name="CuadroTexto 747">
          <a:extLst>
            <a:ext uri="{FF2B5EF4-FFF2-40B4-BE49-F238E27FC236}">
              <a16:creationId xmlns:a16="http://schemas.microsoft.com/office/drawing/2014/main" id="{AD9DFF4C-7E38-444D-9F48-C224A7273F6C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49" name="CuadroTexto 748">
          <a:extLst>
            <a:ext uri="{FF2B5EF4-FFF2-40B4-BE49-F238E27FC236}">
              <a16:creationId xmlns:a16="http://schemas.microsoft.com/office/drawing/2014/main" id="{59D7299B-4749-4B1D-A773-7741AE59D8B2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50" name="CuadroTexto 749">
          <a:extLst>
            <a:ext uri="{FF2B5EF4-FFF2-40B4-BE49-F238E27FC236}">
              <a16:creationId xmlns:a16="http://schemas.microsoft.com/office/drawing/2014/main" id="{1CC5769B-9A41-41E1-976F-01FEAD0A7203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51" name="CuadroTexto 750">
          <a:extLst>
            <a:ext uri="{FF2B5EF4-FFF2-40B4-BE49-F238E27FC236}">
              <a16:creationId xmlns:a16="http://schemas.microsoft.com/office/drawing/2014/main" id="{584DAE1D-1E82-46AA-9891-9048590AC024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52" name="CuadroTexto 751">
          <a:extLst>
            <a:ext uri="{FF2B5EF4-FFF2-40B4-BE49-F238E27FC236}">
              <a16:creationId xmlns:a16="http://schemas.microsoft.com/office/drawing/2014/main" id="{48107533-A0DC-4AC3-B6B4-EEC15D5756AD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53" name="CuadroTexto 752">
          <a:extLst>
            <a:ext uri="{FF2B5EF4-FFF2-40B4-BE49-F238E27FC236}">
              <a16:creationId xmlns:a16="http://schemas.microsoft.com/office/drawing/2014/main" id="{88F73CA3-4840-4967-BF66-FF44EDB988F4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54" name="CuadroTexto 753">
          <a:extLst>
            <a:ext uri="{FF2B5EF4-FFF2-40B4-BE49-F238E27FC236}">
              <a16:creationId xmlns:a16="http://schemas.microsoft.com/office/drawing/2014/main" id="{245D06DB-740C-41CE-AA12-F6A151546C8B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55" name="CuadroTexto 754">
          <a:extLst>
            <a:ext uri="{FF2B5EF4-FFF2-40B4-BE49-F238E27FC236}">
              <a16:creationId xmlns:a16="http://schemas.microsoft.com/office/drawing/2014/main" id="{3994C3DD-895A-4E65-9C7F-5C6306634553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56" name="CuadroTexto 755">
          <a:extLst>
            <a:ext uri="{FF2B5EF4-FFF2-40B4-BE49-F238E27FC236}">
              <a16:creationId xmlns:a16="http://schemas.microsoft.com/office/drawing/2014/main" id="{DD0FCDB4-FA7D-4E65-83D3-9C5F28489333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57" name="CuadroTexto 756">
          <a:extLst>
            <a:ext uri="{FF2B5EF4-FFF2-40B4-BE49-F238E27FC236}">
              <a16:creationId xmlns:a16="http://schemas.microsoft.com/office/drawing/2014/main" id="{4CC02E8D-E8ED-41BD-AFA8-3D0D37F9190D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58" name="CuadroTexto 757">
          <a:extLst>
            <a:ext uri="{FF2B5EF4-FFF2-40B4-BE49-F238E27FC236}">
              <a16:creationId xmlns:a16="http://schemas.microsoft.com/office/drawing/2014/main" id="{5FBC5EA1-69F1-45B2-9B1B-D594F92E8BAD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59" name="CuadroTexto 758">
          <a:extLst>
            <a:ext uri="{FF2B5EF4-FFF2-40B4-BE49-F238E27FC236}">
              <a16:creationId xmlns:a16="http://schemas.microsoft.com/office/drawing/2014/main" id="{7F77C251-B6D8-484C-83E3-F7BA12813797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60" name="CuadroTexto 759">
          <a:extLst>
            <a:ext uri="{FF2B5EF4-FFF2-40B4-BE49-F238E27FC236}">
              <a16:creationId xmlns:a16="http://schemas.microsoft.com/office/drawing/2014/main" id="{84140B2D-D6DE-4FEB-BFD3-11B42CA44293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61" name="CuadroTexto 760">
          <a:extLst>
            <a:ext uri="{FF2B5EF4-FFF2-40B4-BE49-F238E27FC236}">
              <a16:creationId xmlns:a16="http://schemas.microsoft.com/office/drawing/2014/main" id="{4F666641-4C12-4F30-9362-5F2DBE9FD60A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62" name="CuadroTexto 761">
          <a:extLst>
            <a:ext uri="{FF2B5EF4-FFF2-40B4-BE49-F238E27FC236}">
              <a16:creationId xmlns:a16="http://schemas.microsoft.com/office/drawing/2014/main" id="{F870FB00-BCE6-4FE4-8D4C-8D2F0D7E4F55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63" name="CuadroTexto 762">
          <a:extLst>
            <a:ext uri="{FF2B5EF4-FFF2-40B4-BE49-F238E27FC236}">
              <a16:creationId xmlns:a16="http://schemas.microsoft.com/office/drawing/2014/main" id="{920C58D0-1D34-4E40-87A1-E05391EB9633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64" name="CuadroTexto 763">
          <a:extLst>
            <a:ext uri="{FF2B5EF4-FFF2-40B4-BE49-F238E27FC236}">
              <a16:creationId xmlns:a16="http://schemas.microsoft.com/office/drawing/2014/main" id="{CDFB344D-AAB7-446B-A0D0-E56393EE155E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65" name="CuadroTexto 764">
          <a:extLst>
            <a:ext uri="{FF2B5EF4-FFF2-40B4-BE49-F238E27FC236}">
              <a16:creationId xmlns:a16="http://schemas.microsoft.com/office/drawing/2014/main" id="{6BBDC3BA-193B-4534-BDD5-81078AF5D883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66" name="CuadroTexto 765">
          <a:extLst>
            <a:ext uri="{FF2B5EF4-FFF2-40B4-BE49-F238E27FC236}">
              <a16:creationId xmlns:a16="http://schemas.microsoft.com/office/drawing/2014/main" id="{58D7FBEE-0DF7-4ADE-8560-4BC765B2A8F6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291</xdr:row>
      <xdr:rowOff>89376</xdr:rowOff>
    </xdr:from>
    <xdr:ext cx="65" cy="172227"/>
    <xdr:sp macro="" textlink="">
      <xdr:nvSpPr>
        <xdr:cNvPr id="767" name="CuadroTexto 766">
          <a:extLst>
            <a:ext uri="{FF2B5EF4-FFF2-40B4-BE49-F238E27FC236}">
              <a16:creationId xmlns:a16="http://schemas.microsoft.com/office/drawing/2014/main" id="{85454A03-5A87-46E6-97EF-A5314BD4C74D}"/>
            </a:ext>
          </a:extLst>
        </xdr:cNvPr>
        <xdr:cNvSpPr txBox="1"/>
      </xdr:nvSpPr>
      <xdr:spPr>
        <a:xfrm>
          <a:off x="5553137" y="5893146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68" name="CuadroTexto 767">
          <a:extLst>
            <a:ext uri="{FF2B5EF4-FFF2-40B4-BE49-F238E27FC236}">
              <a16:creationId xmlns:a16="http://schemas.microsoft.com/office/drawing/2014/main" id="{323B6119-D831-41CC-8F90-9DBCBF65100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69" name="CuadroTexto 768">
          <a:extLst>
            <a:ext uri="{FF2B5EF4-FFF2-40B4-BE49-F238E27FC236}">
              <a16:creationId xmlns:a16="http://schemas.microsoft.com/office/drawing/2014/main" id="{94498CF8-EA1C-4C83-A624-6378C88DE64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70" name="CuadroTexto 769">
          <a:extLst>
            <a:ext uri="{FF2B5EF4-FFF2-40B4-BE49-F238E27FC236}">
              <a16:creationId xmlns:a16="http://schemas.microsoft.com/office/drawing/2014/main" id="{9669A092-B1C3-4904-A407-F393D721294A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71" name="CuadroTexto 770">
          <a:extLst>
            <a:ext uri="{FF2B5EF4-FFF2-40B4-BE49-F238E27FC236}">
              <a16:creationId xmlns:a16="http://schemas.microsoft.com/office/drawing/2014/main" id="{CA8BE550-F88E-4145-B31D-983F31C34CA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72" name="CuadroTexto 771">
          <a:extLst>
            <a:ext uri="{FF2B5EF4-FFF2-40B4-BE49-F238E27FC236}">
              <a16:creationId xmlns:a16="http://schemas.microsoft.com/office/drawing/2014/main" id="{5FBFD496-2119-4B04-A8A3-4DE2AB349201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73" name="CuadroTexto 772">
          <a:extLst>
            <a:ext uri="{FF2B5EF4-FFF2-40B4-BE49-F238E27FC236}">
              <a16:creationId xmlns:a16="http://schemas.microsoft.com/office/drawing/2014/main" id="{ECAF3002-F30D-47F4-A01D-7A2F6A837F2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74" name="CuadroTexto 773">
          <a:extLst>
            <a:ext uri="{FF2B5EF4-FFF2-40B4-BE49-F238E27FC236}">
              <a16:creationId xmlns:a16="http://schemas.microsoft.com/office/drawing/2014/main" id="{C4EF2E01-F104-43A2-9F44-C6393B0F497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75" name="CuadroTexto 774">
          <a:extLst>
            <a:ext uri="{FF2B5EF4-FFF2-40B4-BE49-F238E27FC236}">
              <a16:creationId xmlns:a16="http://schemas.microsoft.com/office/drawing/2014/main" id="{A1AAC9A7-0CE1-46A7-8D87-1A0E9C0BCA2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76" name="CuadroTexto 775">
          <a:extLst>
            <a:ext uri="{FF2B5EF4-FFF2-40B4-BE49-F238E27FC236}">
              <a16:creationId xmlns:a16="http://schemas.microsoft.com/office/drawing/2014/main" id="{A0DA386E-6628-4938-AB06-3471C4FB333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77" name="CuadroTexto 776">
          <a:extLst>
            <a:ext uri="{FF2B5EF4-FFF2-40B4-BE49-F238E27FC236}">
              <a16:creationId xmlns:a16="http://schemas.microsoft.com/office/drawing/2014/main" id="{6621E244-0F04-49CA-AC2D-71663776EF1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78" name="CuadroTexto 777">
          <a:extLst>
            <a:ext uri="{FF2B5EF4-FFF2-40B4-BE49-F238E27FC236}">
              <a16:creationId xmlns:a16="http://schemas.microsoft.com/office/drawing/2014/main" id="{27DCCA3E-B97F-458A-B473-41CC7F09CD0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79" name="CuadroTexto 778">
          <a:extLst>
            <a:ext uri="{FF2B5EF4-FFF2-40B4-BE49-F238E27FC236}">
              <a16:creationId xmlns:a16="http://schemas.microsoft.com/office/drawing/2014/main" id="{2E958A41-7258-40CB-AF31-8CB18DDA1CC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80" name="CuadroTexto 779">
          <a:extLst>
            <a:ext uri="{FF2B5EF4-FFF2-40B4-BE49-F238E27FC236}">
              <a16:creationId xmlns:a16="http://schemas.microsoft.com/office/drawing/2014/main" id="{984CD589-89B2-4AF9-84EF-FFCA648C038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81" name="CuadroTexto 780">
          <a:extLst>
            <a:ext uri="{FF2B5EF4-FFF2-40B4-BE49-F238E27FC236}">
              <a16:creationId xmlns:a16="http://schemas.microsoft.com/office/drawing/2014/main" id="{3BE550F5-2F37-47A9-B925-028BEDF3947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82" name="CuadroTexto 781">
          <a:extLst>
            <a:ext uri="{FF2B5EF4-FFF2-40B4-BE49-F238E27FC236}">
              <a16:creationId xmlns:a16="http://schemas.microsoft.com/office/drawing/2014/main" id="{80367C13-5EBB-4F8C-9893-DC2551F8603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83" name="CuadroTexto 782">
          <a:extLst>
            <a:ext uri="{FF2B5EF4-FFF2-40B4-BE49-F238E27FC236}">
              <a16:creationId xmlns:a16="http://schemas.microsoft.com/office/drawing/2014/main" id="{70787262-AB5A-469F-918E-761354B763A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84" name="CuadroTexto 783">
          <a:extLst>
            <a:ext uri="{FF2B5EF4-FFF2-40B4-BE49-F238E27FC236}">
              <a16:creationId xmlns:a16="http://schemas.microsoft.com/office/drawing/2014/main" id="{F8C87A23-B6F4-4059-9D83-CE590262E8B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85" name="CuadroTexto 784">
          <a:extLst>
            <a:ext uri="{FF2B5EF4-FFF2-40B4-BE49-F238E27FC236}">
              <a16:creationId xmlns:a16="http://schemas.microsoft.com/office/drawing/2014/main" id="{65C38E09-28DE-44DD-8A7C-53E6F2B692E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86" name="CuadroTexto 785">
          <a:extLst>
            <a:ext uri="{FF2B5EF4-FFF2-40B4-BE49-F238E27FC236}">
              <a16:creationId xmlns:a16="http://schemas.microsoft.com/office/drawing/2014/main" id="{C8864B35-872E-417D-BBBB-4E45F8D0912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87" name="CuadroTexto 786">
          <a:extLst>
            <a:ext uri="{FF2B5EF4-FFF2-40B4-BE49-F238E27FC236}">
              <a16:creationId xmlns:a16="http://schemas.microsoft.com/office/drawing/2014/main" id="{CEB72A0E-D6C8-4F5F-9BE7-040D066358F5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88" name="CuadroTexto 787">
          <a:extLst>
            <a:ext uri="{FF2B5EF4-FFF2-40B4-BE49-F238E27FC236}">
              <a16:creationId xmlns:a16="http://schemas.microsoft.com/office/drawing/2014/main" id="{CD46C028-D787-4288-A3FE-0C383A9120C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89" name="CuadroTexto 788">
          <a:extLst>
            <a:ext uri="{FF2B5EF4-FFF2-40B4-BE49-F238E27FC236}">
              <a16:creationId xmlns:a16="http://schemas.microsoft.com/office/drawing/2014/main" id="{9A52C311-61F4-45BD-AC7C-F297A33575C6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90" name="CuadroTexto 789">
          <a:extLst>
            <a:ext uri="{FF2B5EF4-FFF2-40B4-BE49-F238E27FC236}">
              <a16:creationId xmlns:a16="http://schemas.microsoft.com/office/drawing/2014/main" id="{12643A30-A1D5-404D-8274-95F0A483590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91" name="CuadroTexto 790">
          <a:extLst>
            <a:ext uri="{FF2B5EF4-FFF2-40B4-BE49-F238E27FC236}">
              <a16:creationId xmlns:a16="http://schemas.microsoft.com/office/drawing/2014/main" id="{342DA581-9C44-4D77-A1FF-9DBC1164ACF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92" name="CuadroTexto 791">
          <a:extLst>
            <a:ext uri="{FF2B5EF4-FFF2-40B4-BE49-F238E27FC236}">
              <a16:creationId xmlns:a16="http://schemas.microsoft.com/office/drawing/2014/main" id="{9AE1D653-F480-4FEC-BA0F-2AEED74A6CF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93" name="CuadroTexto 792">
          <a:extLst>
            <a:ext uri="{FF2B5EF4-FFF2-40B4-BE49-F238E27FC236}">
              <a16:creationId xmlns:a16="http://schemas.microsoft.com/office/drawing/2014/main" id="{599AD5FF-41E9-4FB7-B883-57EFC38D493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94" name="CuadroTexto 793">
          <a:extLst>
            <a:ext uri="{FF2B5EF4-FFF2-40B4-BE49-F238E27FC236}">
              <a16:creationId xmlns:a16="http://schemas.microsoft.com/office/drawing/2014/main" id="{20171A06-3AB6-4132-AE87-4AC5F5D6F53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95" name="CuadroTexto 794">
          <a:extLst>
            <a:ext uri="{FF2B5EF4-FFF2-40B4-BE49-F238E27FC236}">
              <a16:creationId xmlns:a16="http://schemas.microsoft.com/office/drawing/2014/main" id="{DE6F0A27-FCEE-4104-BEB2-7C9867B7F7F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96" name="CuadroTexto 795">
          <a:extLst>
            <a:ext uri="{FF2B5EF4-FFF2-40B4-BE49-F238E27FC236}">
              <a16:creationId xmlns:a16="http://schemas.microsoft.com/office/drawing/2014/main" id="{9D8C932C-559F-477E-8A0D-C6BCB9D7FF6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97" name="CuadroTexto 796">
          <a:extLst>
            <a:ext uri="{FF2B5EF4-FFF2-40B4-BE49-F238E27FC236}">
              <a16:creationId xmlns:a16="http://schemas.microsoft.com/office/drawing/2014/main" id="{FD65A321-7A8B-4E82-8557-03CE40E250F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98" name="CuadroTexto 797">
          <a:extLst>
            <a:ext uri="{FF2B5EF4-FFF2-40B4-BE49-F238E27FC236}">
              <a16:creationId xmlns:a16="http://schemas.microsoft.com/office/drawing/2014/main" id="{C27704DD-BB36-4ACE-8EAF-5D3EFE2C107A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799" name="CuadroTexto 798">
          <a:extLst>
            <a:ext uri="{FF2B5EF4-FFF2-40B4-BE49-F238E27FC236}">
              <a16:creationId xmlns:a16="http://schemas.microsoft.com/office/drawing/2014/main" id="{462A0232-927A-4B00-89A5-0A7647A0148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00" name="CuadroTexto 799">
          <a:extLst>
            <a:ext uri="{FF2B5EF4-FFF2-40B4-BE49-F238E27FC236}">
              <a16:creationId xmlns:a16="http://schemas.microsoft.com/office/drawing/2014/main" id="{A1C6469B-F069-4B61-9CBF-F773F1C5137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01" name="CuadroTexto 800">
          <a:extLst>
            <a:ext uri="{FF2B5EF4-FFF2-40B4-BE49-F238E27FC236}">
              <a16:creationId xmlns:a16="http://schemas.microsoft.com/office/drawing/2014/main" id="{CDC3DC1D-6CF7-4217-BD04-C09EA608CF2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02" name="CuadroTexto 801">
          <a:extLst>
            <a:ext uri="{FF2B5EF4-FFF2-40B4-BE49-F238E27FC236}">
              <a16:creationId xmlns:a16="http://schemas.microsoft.com/office/drawing/2014/main" id="{D6A44C65-81A3-4994-B3EE-69D124B419E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03" name="CuadroTexto 802">
          <a:extLst>
            <a:ext uri="{FF2B5EF4-FFF2-40B4-BE49-F238E27FC236}">
              <a16:creationId xmlns:a16="http://schemas.microsoft.com/office/drawing/2014/main" id="{1A6F4B6B-F506-4257-87C9-765C580AE2B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04" name="CuadroTexto 803">
          <a:extLst>
            <a:ext uri="{FF2B5EF4-FFF2-40B4-BE49-F238E27FC236}">
              <a16:creationId xmlns:a16="http://schemas.microsoft.com/office/drawing/2014/main" id="{64B46B2D-E779-4C6D-8E02-5BCE083A3DE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05" name="CuadroTexto 804">
          <a:extLst>
            <a:ext uri="{FF2B5EF4-FFF2-40B4-BE49-F238E27FC236}">
              <a16:creationId xmlns:a16="http://schemas.microsoft.com/office/drawing/2014/main" id="{2B468037-37ED-40B6-840E-E7CD54AC025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06" name="CuadroTexto 805">
          <a:extLst>
            <a:ext uri="{FF2B5EF4-FFF2-40B4-BE49-F238E27FC236}">
              <a16:creationId xmlns:a16="http://schemas.microsoft.com/office/drawing/2014/main" id="{C1111DFF-CEF5-4151-92A0-A4FB66F691D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07" name="CuadroTexto 806">
          <a:extLst>
            <a:ext uri="{FF2B5EF4-FFF2-40B4-BE49-F238E27FC236}">
              <a16:creationId xmlns:a16="http://schemas.microsoft.com/office/drawing/2014/main" id="{1BADB96C-7EC8-4BDD-841C-82325F73F35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08" name="CuadroTexto 807">
          <a:extLst>
            <a:ext uri="{FF2B5EF4-FFF2-40B4-BE49-F238E27FC236}">
              <a16:creationId xmlns:a16="http://schemas.microsoft.com/office/drawing/2014/main" id="{8D06ECBF-D978-454A-94AB-30BF9699D7D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09" name="CuadroTexto 808">
          <a:extLst>
            <a:ext uri="{FF2B5EF4-FFF2-40B4-BE49-F238E27FC236}">
              <a16:creationId xmlns:a16="http://schemas.microsoft.com/office/drawing/2014/main" id="{50E93B3A-C9FA-4A9A-88B6-D4F26E631745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10" name="CuadroTexto 809">
          <a:extLst>
            <a:ext uri="{FF2B5EF4-FFF2-40B4-BE49-F238E27FC236}">
              <a16:creationId xmlns:a16="http://schemas.microsoft.com/office/drawing/2014/main" id="{B608156F-D57B-49E0-8ACB-421E0765CC8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11" name="CuadroTexto 810">
          <a:extLst>
            <a:ext uri="{FF2B5EF4-FFF2-40B4-BE49-F238E27FC236}">
              <a16:creationId xmlns:a16="http://schemas.microsoft.com/office/drawing/2014/main" id="{45AFB56B-D68C-4284-8A85-CF2B4EB6E3D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12" name="CuadroTexto 811">
          <a:extLst>
            <a:ext uri="{FF2B5EF4-FFF2-40B4-BE49-F238E27FC236}">
              <a16:creationId xmlns:a16="http://schemas.microsoft.com/office/drawing/2014/main" id="{D79C7713-6978-4081-984E-60394036518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13" name="CuadroTexto 812">
          <a:extLst>
            <a:ext uri="{FF2B5EF4-FFF2-40B4-BE49-F238E27FC236}">
              <a16:creationId xmlns:a16="http://schemas.microsoft.com/office/drawing/2014/main" id="{15A000DD-B591-48F2-BD98-C5F6E505E275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14" name="CuadroTexto 813">
          <a:extLst>
            <a:ext uri="{FF2B5EF4-FFF2-40B4-BE49-F238E27FC236}">
              <a16:creationId xmlns:a16="http://schemas.microsoft.com/office/drawing/2014/main" id="{235E2713-0AAA-4531-93EC-A1F5C5955CA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15" name="CuadroTexto 814">
          <a:extLst>
            <a:ext uri="{FF2B5EF4-FFF2-40B4-BE49-F238E27FC236}">
              <a16:creationId xmlns:a16="http://schemas.microsoft.com/office/drawing/2014/main" id="{5870B57A-5AC6-41BF-8982-61BABCC74B3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16" name="CuadroTexto 815">
          <a:extLst>
            <a:ext uri="{FF2B5EF4-FFF2-40B4-BE49-F238E27FC236}">
              <a16:creationId xmlns:a16="http://schemas.microsoft.com/office/drawing/2014/main" id="{A126D81B-E7AA-47DA-A49A-59EE199AB60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17" name="CuadroTexto 816">
          <a:extLst>
            <a:ext uri="{FF2B5EF4-FFF2-40B4-BE49-F238E27FC236}">
              <a16:creationId xmlns:a16="http://schemas.microsoft.com/office/drawing/2014/main" id="{7B936E29-8CC0-4185-9E27-EAF6C6373A9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18" name="CuadroTexto 817">
          <a:extLst>
            <a:ext uri="{FF2B5EF4-FFF2-40B4-BE49-F238E27FC236}">
              <a16:creationId xmlns:a16="http://schemas.microsoft.com/office/drawing/2014/main" id="{4588C68D-4FBA-4F97-8EAA-DBE1A0D6F15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19" name="CuadroTexto 818">
          <a:extLst>
            <a:ext uri="{FF2B5EF4-FFF2-40B4-BE49-F238E27FC236}">
              <a16:creationId xmlns:a16="http://schemas.microsoft.com/office/drawing/2014/main" id="{F6097430-31E3-4B7B-9CC0-168DACA5F386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20" name="CuadroTexto 819">
          <a:extLst>
            <a:ext uri="{FF2B5EF4-FFF2-40B4-BE49-F238E27FC236}">
              <a16:creationId xmlns:a16="http://schemas.microsoft.com/office/drawing/2014/main" id="{0A23B960-2176-4CCB-8F2D-709A15CC92DA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21" name="CuadroTexto 820">
          <a:extLst>
            <a:ext uri="{FF2B5EF4-FFF2-40B4-BE49-F238E27FC236}">
              <a16:creationId xmlns:a16="http://schemas.microsoft.com/office/drawing/2014/main" id="{0F098629-5B02-4964-A46D-B09D94EB69A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22" name="CuadroTexto 821">
          <a:extLst>
            <a:ext uri="{FF2B5EF4-FFF2-40B4-BE49-F238E27FC236}">
              <a16:creationId xmlns:a16="http://schemas.microsoft.com/office/drawing/2014/main" id="{21931FE2-8B12-46C7-8941-F710CD3C08D1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23" name="CuadroTexto 822">
          <a:extLst>
            <a:ext uri="{FF2B5EF4-FFF2-40B4-BE49-F238E27FC236}">
              <a16:creationId xmlns:a16="http://schemas.microsoft.com/office/drawing/2014/main" id="{9A19F713-585A-4C43-908C-43BBA40EC50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24" name="CuadroTexto 823">
          <a:extLst>
            <a:ext uri="{FF2B5EF4-FFF2-40B4-BE49-F238E27FC236}">
              <a16:creationId xmlns:a16="http://schemas.microsoft.com/office/drawing/2014/main" id="{C271FDD7-301A-4CA1-8CD0-D467C927DDB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25" name="CuadroTexto 824">
          <a:extLst>
            <a:ext uri="{FF2B5EF4-FFF2-40B4-BE49-F238E27FC236}">
              <a16:creationId xmlns:a16="http://schemas.microsoft.com/office/drawing/2014/main" id="{2F9C9F0B-24D5-4B0E-8AA7-494BB989126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26" name="CuadroTexto 825">
          <a:extLst>
            <a:ext uri="{FF2B5EF4-FFF2-40B4-BE49-F238E27FC236}">
              <a16:creationId xmlns:a16="http://schemas.microsoft.com/office/drawing/2014/main" id="{750BBDFA-4FED-4187-A69C-67735EDBACE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27" name="CuadroTexto 826">
          <a:extLst>
            <a:ext uri="{FF2B5EF4-FFF2-40B4-BE49-F238E27FC236}">
              <a16:creationId xmlns:a16="http://schemas.microsoft.com/office/drawing/2014/main" id="{366455BA-6122-4042-A97B-9EC839CDB935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28" name="CuadroTexto 827">
          <a:extLst>
            <a:ext uri="{FF2B5EF4-FFF2-40B4-BE49-F238E27FC236}">
              <a16:creationId xmlns:a16="http://schemas.microsoft.com/office/drawing/2014/main" id="{BEEC3675-1760-4480-97BA-163C824B51D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29" name="CuadroTexto 828">
          <a:extLst>
            <a:ext uri="{FF2B5EF4-FFF2-40B4-BE49-F238E27FC236}">
              <a16:creationId xmlns:a16="http://schemas.microsoft.com/office/drawing/2014/main" id="{021107F6-26A1-4B85-928D-1183D881AF1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30" name="CuadroTexto 829">
          <a:extLst>
            <a:ext uri="{FF2B5EF4-FFF2-40B4-BE49-F238E27FC236}">
              <a16:creationId xmlns:a16="http://schemas.microsoft.com/office/drawing/2014/main" id="{A8BCD35D-6773-4310-B540-6B465C7446A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31" name="CuadroTexto 830">
          <a:extLst>
            <a:ext uri="{FF2B5EF4-FFF2-40B4-BE49-F238E27FC236}">
              <a16:creationId xmlns:a16="http://schemas.microsoft.com/office/drawing/2014/main" id="{368DDBAD-37BE-43E9-B51D-3A2900568471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32" name="CuadroTexto 831">
          <a:extLst>
            <a:ext uri="{FF2B5EF4-FFF2-40B4-BE49-F238E27FC236}">
              <a16:creationId xmlns:a16="http://schemas.microsoft.com/office/drawing/2014/main" id="{5B57A46A-61A6-47EC-814F-3A9D3790FE8A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33" name="CuadroTexto 832">
          <a:extLst>
            <a:ext uri="{FF2B5EF4-FFF2-40B4-BE49-F238E27FC236}">
              <a16:creationId xmlns:a16="http://schemas.microsoft.com/office/drawing/2014/main" id="{6E80184E-A68D-4EF7-B25F-669F202B6D2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34" name="CuadroTexto 833">
          <a:extLst>
            <a:ext uri="{FF2B5EF4-FFF2-40B4-BE49-F238E27FC236}">
              <a16:creationId xmlns:a16="http://schemas.microsoft.com/office/drawing/2014/main" id="{05B02C38-01FA-481B-9686-43C54AF4B3F1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35" name="CuadroTexto 834">
          <a:extLst>
            <a:ext uri="{FF2B5EF4-FFF2-40B4-BE49-F238E27FC236}">
              <a16:creationId xmlns:a16="http://schemas.microsoft.com/office/drawing/2014/main" id="{40FFE757-8868-4A5D-8CA9-8EB25790382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36" name="CuadroTexto 835">
          <a:extLst>
            <a:ext uri="{FF2B5EF4-FFF2-40B4-BE49-F238E27FC236}">
              <a16:creationId xmlns:a16="http://schemas.microsoft.com/office/drawing/2014/main" id="{B0370775-FECF-4FA7-AE6F-86C8ABC8E201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37" name="CuadroTexto 836">
          <a:extLst>
            <a:ext uri="{FF2B5EF4-FFF2-40B4-BE49-F238E27FC236}">
              <a16:creationId xmlns:a16="http://schemas.microsoft.com/office/drawing/2014/main" id="{04C9E2EA-215F-4BF0-A9B4-41759D9234C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38" name="CuadroTexto 837">
          <a:extLst>
            <a:ext uri="{FF2B5EF4-FFF2-40B4-BE49-F238E27FC236}">
              <a16:creationId xmlns:a16="http://schemas.microsoft.com/office/drawing/2014/main" id="{1CECB24D-1D8D-4D79-B869-9117B493AE7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39" name="CuadroTexto 838">
          <a:extLst>
            <a:ext uri="{FF2B5EF4-FFF2-40B4-BE49-F238E27FC236}">
              <a16:creationId xmlns:a16="http://schemas.microsoft.com/office/drawing/2014/main" id="{FE04E0D7-4AB2-482F-9313-AF012243E55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40" name="CuadroTexto 839">
          <a:extLst>
            <a:ext uri="{FF2B5EF4-FFF2-40B4-BE49-F238E27FC236}">
              <a16:creationId xmlns:a16="http://schemas.microsoft.com/office/drawing/2014/main" id="{3921DD22-FA0D-4862-BD73-D95D4523C1F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41" name="CuadroTexto 840">
          <a:extLst>
            <a:ext uri="{FF2B5EF4-FFF2-40B4-BE49-F238E27FC236}">
              <a16:creationId xmlns:a16="http://schemas.microsoft.com/office/drawing/2014/main" id="{BEFA5111-9F01-474D-97E5-79906EE4D2D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42" name="CuadroTexto 841">
          <a:extLst>
            <a:ext uri="{FF2B5EF4-FFF2-40B4-BE49-F238E27FC236}">
              <a16:creationId xmlns:a16="http://schemas.microsoft.com/office/drawing/2014/main" id="{A9CF9D43-8481-4966-B230-CB2FB690199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43" name="CuadroTexto 842">
          <a:extLst>
            <a:ext uri="{FF2B5EF4-FFF2-40B4-BE49-F238E27FC236}">
              <a16:creationId xmlns:a16="http://schemas.microsoft.com/office/drawing/2014/main" id="{F1184FF3-3400-4726-8106-0976FC0458C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44" name="CuadroTexto 843">
          <a:extLst>
            <a:ext uri="{FF2B5EF4-FFF2-40B4-BE49-F238E27FC236}">
              <a16:creationId xmlns:a16="http://schemas.microsoft.com/office/drawing/2014/main" id="{C822FF22-B452-47E0-A694-0C40B2A118C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45" name="CuadroTexto 844">
          <a:extLst>
            <a:ext uri="{FF2B5EF4-FFF2-40B4-BE49-F238E27FC236}">
              <a16:creationId xmlns:a16="http://schemas.microsoft.com/office/drawing/2014/main" id="{A0019E53-AFA8-4250-93B8-D22DFC8B521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46" name="CuadroTexto 845">
          <a:extLst>
            <a:ext uri="{FF2B5EF4-FFF2-40B4-BE49-F238E27FC236}">
              <a16:creationId xmlns:a16="http://schemas.microsoft.com/office/drawing/2014/main" id="{F47E5521-05E6-4589-B36E-9C06FB11940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47" name="CuadroTexto 846">
          <a:extLst>
            <a:ext uri="{FF2B5EF4-FFF2-40B4-BE49-F238E27FC236}">
              <a16:creationId xmlns:a16="http://schemas.microsoft.com/office/drawing/2014/main" id="{A13DDD5B-33DC-42A8-A19E-73FA661AE70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48" name="CuadroTexto 847">
          <a:extLst>
            <a:ext uri="{FF2B5EF4-FFF2-40B4-BE49-F238E27FC236}">
              <a16:creationId xmlns:a16="http://schemas.microsoft.com/office/drawing/2014/main" id="{40FBAB3C-DFF8-4D8D-954E-FC0BDF542585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49" name="CuadroTexto 848">
          <a:extLst>
            <a:ext uri="{FF2B5EF4-FFF2-40B4-BE49-F238E27FC236}">
              <a16:creationId xmlns:a16="http://schemas.microsoft.com/office/drawing/2014/main" id="{CFBCBC23-37BA-4D8A-BCAA-62EDEF68CA5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50" name="CuadroTexto 849">
          <a:extLst>
            <a:ext uri="{FF2B5EF4-FFF2-40B4-BE49-F238E27FC236}">
              <a16:creationId xmlns:a16="http://schemas.microsoft.com/office/drawing/2014/main" id="{4E022519-E89A-4234-AD9D-7D4141AF9866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51" name="CuadroTexto 850">
          <a:extLst>
            <a:ext uri="{FF2B5EF4-FFF2-40B4-BE49-F238E27FC236}">
              <a16:creationId xmlns:a16="http://schemas.microsoft.com/office/drawing/2014/main" id="{199D0F82-467F-476F-AA49-0654B8364C4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52" name="CuadroTexto 851">
          <a:extLst>
            <a:ext uri="{FF2B5EF4-FFF2-40B4-BE49-F238E27FC236}">
              <a16:creationId xmlns:a16="http://schemas.microsoft.com/office/drawing/2014/main" id="{456C1A64-E524-4EFD-97B2-02022920AAF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53" name="CuadroTexto 852">
          <a:extLst>
            <a:ext uri="{FF2B5EF4-FFF2-40B4-BE49-F238E27FC236}">
              <a16:creationId xmlns:a16="http://schemas.microsoft.com/office/drawing/2014/main" id="{9CF05A95-60C6-4723-A0B8-A94CD79870D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54" name="CuadroTexto 853">
          <a:extLst>
            <a:ext uri="{FF2B5EF4-FFF2-40B4-BE49-F238E27FC236}">
              <a16:creationId xmlns:a16="http://schemas.microsoft.com/office/drawing/2014/main" id="{70059990-5FB4-4343-9F8E-7CFDF98F270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55" name="CuadroTexto 854">
          <a:extLst>
            <a:ext uri="{FF2B5EF4-FFF2-40B4-BE49-F238E27FC236}">
              <a16:creationId xmlns:a16="http://schemas.microsoft.com/office/drawing/2014/main" id="{A656FCBB-045F-4BB4-920D-F7AE10750B2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56" name="CuadroTexto 855">
          <a:extLst>
            <a:ext uri="{FF2B5EF4-FFF2-40B4-BE49-F238E27FC236}">
              <a16:creationId xmlns:a16="http://schemas.microsoft.com/office/drawing/2014/main" id="{6A0F679A-F638-400D-8322-BD9157338E1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57" name="CuadroTexto 856">
          <a:extLst>
            <a:ext uri="{FF2B5EF4-FFF2-40B4-BE49-F238E27FC236}">
              <a16:creationId xmlns:a16="http://schemas.microsoft.com/office/drawing/2014/main" id="{325DE711-25D8-4AE2-A840-771F16F5D191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58" name="CuadroTexto 857">
          <a:extLst>
            <a:ext uri="{FF2B5EF4-FFF2-40B4-BE49-F238E27FC236}">
              <a16:creationId xmlns:a16="http://schemas.microsoft.com/office/drawing/2014/main" id="{E66B8D89-23FA-41B9-8B35-A5B91C2A542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59" name="CuadroTexto 858">
          <a:extLst>
            <a:ext uri="{FF2B5EF4-FFF2-40B4-BE49-F238E27FC236}">
              <a16:creationId xmlns:a16="http://schemas.microsoft.com/office/drawing/2014/main" id="{79C154B2-663F-44F6-AB68-9F09B3BB811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60" name="CuadroTexto 859">
          <a:extLst>
            <a:ext uri="{FF2B5EF4-FFF2-40B4-BE49-F238E27FC236}">
              <a16:creationId xmlns:a16="http://schemas.microsoft.com/office/drawing/2014/main" id="{6F9C98A1-ECB4-4115-8D5B-E982A8AF337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61" name="CuadroTexto 860">
          <a:extLst>
            <a:ext uri="{FF2B5EF4-FFF2-40B4-BE49-F238E27FC236}">
              <a16:creationId xmlns:a16="http://schemas.microsoft.com/office/drawing/2014/main" id="{ADEB7AA7-DC4D-4BA6-A416-1E93E2F6E7EA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62" name="CuadroTexto 861">
          <a:extLst>
            <a:ext uri="{FF2B5EF4-FFF2-40B4-BE49-F238E27FC236}">
              <a16:creationId xmlns:a16="http://schemas.microsoft.com/office/drawing/2014/main" id="{0D24B75D-1DDE-482D-B557-2DFF1B34C915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63" name="CuadroTexto 862">
          <a:extLst>
            <a:ext uri="{FF2B5EF4-FFF2-40B4-BE49-F238E27FC236}">
              <a16:creationId xmlns:a16="http://schemas.microsoft.com/office/drawing/2014/main" id="{0CA3F4FF-AEDD-4F25-B96E-4A8E39DEAAE6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64" name="CuadroTexto 863">
          <a:extLst>
            <a:ext uri="{FF2B5EF4-FFF2-40B4-BE49-F238E27FC236}">
              <a16:creationId xmlns:a16="http://schemas.microsoft.com/office/drawing/2014/main" id="{B1794EE4-FC11-40AC-BA6E-D7FE96583DC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65" name="CuadroTexto 864">
          <a:extLst>
            <a:ext uri="{FF2B5EF4-FFF2-40B4-BE49-F238E27FC236}">
              <a16:creationId xmlns:a16="http://schemas.microsoft.com/office/drawing/2014/main" id="{7B13E452-9B56-40AD-8EF4-2C800A26098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66" name="CuadroTexto 865">
          <a:extLst>
            <a:ext uri="{FF2B5EF4-FFF2-40B4-BE49-F238E27FC236}">
              <a16:creationId xmlns:a16="http://schemas.microsoft.com/office/drawing/2014/main" id="{6E946F70-8E36-4458-B227-E19FB446457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67" name="CuadroTexto 866">
          <a:extLst>
            <a:ext uri="{FF2B5EF4-FFF2-40B4-BE49-F238E27FC236}">
              <a16:creationId xmlns:a16="http://schemas.microsoft.com/office/drawing/2014/main" id="{86E23C15-24CE-4826-924B-89F742303AF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68" name="CuadroTexto 867">
          <a:extLst>
            <a:ext uri="{FF2B5EF4-FFF2-40B4-BE49-F238E27FC236}">
              <a16:creationId xmlns:a16="http://schemas.microsoft.com/office/drawing/2014/main" id="{1CC7F3AB-3C9E-4ACC-8311-5518AF29AE21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69" name="CuadroTexto 868">
          <a:extLst>
            <a:ext uri="{FF2B5EF4-FFF2-40B4-BE49-F238E27FC236}">
              <a16:creationId xmlns:a16="http://schemas.microsoft.com/office/drawing/2014/main" id="{06132711-198B-482C-99B0-43D7DA93F68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70" name="CuadroTexto 869">
          <a:extLst>
            <a:ext uri="{FF2B5EF4-FFF2-40B4-BE49-F238E27FC236}">
              <a16:creationId xmlns:a16="http://schemas.microsoft.com/office/drawing/2014/main" id="{29A661BC-A17B-403C-86B8-4C928D043B0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71" name="CuadroTexto 870">
          <a:extLst>
            <a:ext uri="{FF2B5EF4-FFF2-40B4-BE49-F238E27FC236}">
              <a16:creationId xmlns:a16="http://schemas.microsoft.com/office/drawing/2014/main" id="{4C04513C-8EF7-4D01-A419-E02669AFA07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72" name="CuadroTexto 871">
          <a:extLst>
            <a:ext uri="{FF2B5EF4-FFF2-40B4-BE49-F238E27FC236}">
              <a16:creationId xmlns:a16="http://schemas.microsoft.com/office/drawing/2014/main" id="{CB6F5063-7CED-4999-8D79-1F04063422A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73" name="CuadroTexto 872">
          <a:extLst>
            <a:ext uri="{FF2B5EF4-FFF2-40B4-BE49-F238E27FC236}">
              <a16:creationId xmlns:a16="http://schemas.microsoft.com/office/drawing/2014/main" id="{C2DB0F05-9721-4B34-9FAD-1AFBA660C8B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74" name="CuadroTexto 873">
          <a:extLst>
            <a:ext uri="{FF2B5EF4-FFF2-40B4-BE49-F238E27FC236}">
              <a16:creationId xmlns:a16="http://schemas.microsoft.com/office/drawing/2014/main" id="{D32FFAEA-69C0-4094-AD87-F8A1503AB16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75" name="CuadroTexto 874">
          <a:extLst>
            <a:ext uri="{FF2B5EF4-FFF2-40B4-BE49-F238E27FC236}">
              <a16:creationId xmlns:a16="http://schemas.microsoft.com/office/drawing/2014/main" id="{F570B446-D342-42C0-A7DE-8EF0FD081405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76" name="CuadroTexto 875">
          <a:extLst>
            <a:ext uri="{FF2B5EF4-FFF2-40B4-BE49-F238E27FC236}">
              <a16:creationId xmlns:a16="http://schemas.microsoft.com/office/drawing/2014/main" id="{16426858-1558-4524-909E-F2D8D049AF1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77" name="CuadroTexto 876">
          <a:extLst>
            <a:ext uri="{FF2B5EF4-FFF2-40B4-BE49-F238E27FC236}">
              <a16:creationId xmlns:a16="http://schemas.microsoft.com/office/drawing/2014/main" id="{6B8B505E-DB17-4CB0-8579-D86F216FB1C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78" name="CuadroTexto 877">
          <a:extLst>
            <a:ext uri="{FF2B5EF4-FFF2-40B4-BE49-F238E27FC236}">
              <a16:creationId xmlns:a16="http://schemas.microsoft.com/office/drawing/2014/main" id="{AB6D7A33-F17E-41B5-B672-D84698ACAD9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79" name="CuadroTexto 878">
          <a:extLst>
            <a:ext uri="{FF2B5EF4-FFF2-40B4-BE49-F238E27FC236}">
              <a16:creationId xmlns:a16="http://schemas.microsoft.com/office/drawing/2014/main" id="{3A09767C-898A-4C9B-A35F-F86690B9DE5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80" name="CuadroTexto 879">
          <a:extLst>
            <a:ext uri="{FF2B5EF4-FFF2-40B4-BE49-F238E27FC236}">
              <a16:creationId xmlns:a16="http://schemas.microsoft.com/office/drawing/2014/main" id="{873D1266-0580-486C-BA28-D8E11FBF4F5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81" name="CuadroTexto 880">
          <a:extLst>
            <a:ext uri="{FF2B5EF4-FFF2-40B4-BE49-F238E27FC236}">
              <a16:creationId xmlns:a16="http://schemas.microsoft.com/office/drawing/2014/main" id="{4FE9BD98-D5D4-441F-BB47-76327FD8DDE6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82" name="CuadroTexto 881">
          <a:extLst>
            <a:ext uri="{FF2B5EF4-FFF2-40B4-BE49-F238E27FC236}">
              <a16:creationId xmlns:a16="http://schemas.microsoft.com/office/drawing/2014/main" id="{A2F4B789-F460-4CDD-B5B2-88ED7D41EAD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83" name="CuadroTexto 882">
          <a:extLst>
            <a:ext uri="{FF2B5EF4-FFF2-40B4-BE49-F238E27FC236}">
              <a16:creationId xmlns:a16="http://schemas.microsoft.com/office/drawing/2014/main" id="{8E9C3B78-20D0-4F19-93A6-2D7A9195D7E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84" name="CuadroTexto 883">
          <a:extLst>
            <a:ext uri="{FF2B5EF4-FFF2-40B4-BE49-F238E27FC236}">
              <a16:creationId xmlns:a16="http://schemas.microsoft.com/office/drawing/2014/main" id="{AFE56AC6-E04C-4913-8E67-5AC43B109E51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85" name="CuadroTexto 884">
          <a:extLst>
            <a:ext uri="{FF2B5EF4-FFF2-40B4-BE49-F238E27FC236}">
              <a16:creationId xmlns:a16="http://schemas.microsoft.com/office/drawing/2014/main" id="{0F9E2B7B-58D1-4DFA-9609-8C91E93B32E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86" name="CuadroTexto 885">
          <a:extLst>
            <a:ext uri="{FF2B5EF4-FFF2-40B4-BE49-F238E27FC236}">
              <a16:creationId xmlns:a16="http://schemas.microsoft.com/office/drawing/2014/main" id="{48A01F52-CC5D-4A9C-A416-78D6200B317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87" name="CuadroTexto 886">
          <a:extLst>
            <a:ext uri="{FF2B5EF4-FFF2-40B4-BE49-F238E27FC236}">
              <a16:creationId xmlns:a16="http://schemas.microsoft.com/office/drawing/2014/main" id="{D8FD1EB3-8370-4D8B-9F69-0750CAEBF541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88" name="CuadroTexto 887">
          <a:extLst>
            <a:ext uri="{FF2B5EF4-FFF2-40B4-BE49-F238E27FC236}">
              <a16:creationId xmlns:a16="http://schemas.microsoft.com/office/drawing/2014/main" id="{3D817F85-A7B1-4A35-876A-E64083BA733A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89" name="CuadroTexto 888">
          <a:extLst>
            <a:ext uri="{FF2B5EF4-FFF2-40B4-BE49-F238E27FC236}">
              <a16:creationId xmlns:a16="http://schemas.microsoft.com/office/drawing/2014/main" id="{C092B96E-8548-4636-BD6D-70EEBD67664A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90" name="CuadroTexto 889">
          <a:extLst>
            <a:ext uri="{FF2B5EF4-FFF2-40B4-BE49-F238E27FC236}">
              <a16:creationId xmlns:a16="http://schemas.microsoft.com/office/drawing/2014/main" id="{DDE574BB-9C2A-46E7-BFF9-FFD3CE93EFAA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91" name="CuadroTexto 890">
          <a:extLst>
            <a:ext uri="{FF2B5EF4-FFF2-40B4-BE49-F238E27FC236}">
              <a16:creationId xmlns:a16="http://schemas.microsoft.com/office/drawing/2014/main" id="{A72CEB46-E62C-4EB6-83CA-A00B5352E981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92" name="CuadroTexto 891">
          <a:extLst>
            <a:ext uri="{FF2B5EF4-FFF2-40B4-BE49-F238E27FC236}">
              <a16:creationId xmlns:a16="http://schemas.microsoft.com/office/drawing/2014/main" id="{52A242DF-9F2B-4E3A-9695-0FA68DC2887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93" name="CuadroTexto 892">
          <a:extLst>
            <a:ext uri="{FF2B5EF4-FFF2-40B4-BE49-F238E27FC236}">
              <a16:creationId xmlns:a16="http://schemas.microsoft.com/office/drawing/2014/main" id="{598F8F98-AE2D-49D9-9D38-03B8AC7E6AB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94" name="CuadroTexto 893">
          <a:extLst>
            <a:ext uri="{FF2B5EF4-FFF2-40B4-BE49-F238E27FC236}">
              <a16:creationId xmlns:a16="http://schemas.microsoft.com/office/drawing/2014/main" id="{FF9E1A82-2B4F-4E94-85D5-69695628654A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95" name="CuadroTexto 894">
          <a:extLst>
            <a:ext uri="{FF2B5EF4-FFF2-40B4-BE49-F238E27FC236}">
              <a16:creationId xmlns:a16="http://schemas.microsoft.com/office/drawing/2014/main" id="{9A8D915D-0D1D-482E-99E8-0A0740FA30F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96" name="CuadroTexto 895">
          <a:extLst>
            <a:ext uri="{FF2B5EF4-FFF2-40B4-BE49-F238E27FC236}">
              <a16:creationId xmlns:a16="http://schemas.microsoft.com/office/drawing/2014/main" id="{570FC82E-2D7A-4D25-9F42-10EC331EC33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97" name="CuadroTexto 896">
          <a:extLst>
            <a:ext uri="{FF2B5EF4-FFF2-40B4-BE49-F238E27FC236}">
              <a16:creationId xmlns:a16="http://schemas.microsoft.com/office/drawing/2014/main" id="{63F29204-B6F0-4D23-9B51-CF723A672C4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98" name="CuadroTexto 897">
          <a:extLst>
            <a:ext uri="{FF2B5EF4-FFF2-40B4-BE49-F238E27FC236}">
              <a16:creationId xmlns:a16="http://schemas.microsoft.com/office/drawing/2014/main" id="{AB79BE79-F6D3-4343-8C6F-057971B2BB3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899" name="CuadroTexto 898">
          <a:extLst>
            <a:ext uri="{FF2B5EF4-FFF2-40B4-BE49-F238E27FC236}">
              <a16:creationId xmlns:a16="http://schemas.microsoft.com/office/drawing/2014/main" id="{1231FD45-8866-44E2-A7E6-8C9B8FB7A37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00" name="CuadroTexto 899">
          <a:extLst>
            <a:ext uri="{FF2B5EF4-FFF2-40B4-BE49-F238E27FC236}">
              <a16:creationId xmlns:a16="http://schemas.microsoft.com/office/drawing/2014/main" id="{9B32F0E1-FA3E-4552-A848-74EE0D61374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01" name="CuadroTexto 900">
          <a:extLst>
            <a:ext uri="{FF2B5EF4-FFF2-40B4-BE49-F238E27FC236}">
              <a16:creationId xmlns:a16="http://schemas.microsoft.com/office/drawing/2014/main" id="{CA68DFED-1438-4AD1-9B10-F64B3BEF853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02" name="CuadroTexto 901">
          <a:extLst>
            <a:ext uri="{FF2B5EF4-FFF2-40B4-BE49-F238E27FC236}">
              <a16:creationId xmlns:a16="http://schemas.microsoft.com/office/drawing/2014/main" id="{0A512C5F-39BD-4F77-A5F1-C073F6C4757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03" name="CuadroTexto 902">
          <a:extLst>
            <a:ext uri="{FF2B5EF4-FFF2-40B4-BE49-F238E27FC236}">
              <a16:creationId xmlns:a16="http://schemas.microsoft.com/office/drawing/2014/main" id="{072EA83E-3BEF-4CE5-980C-43EA6176F33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04" name="CuadroTexto 903">
          <a:extLst>
            <a:ext uri="{FF2B5EF4-FFF2-40B4-BE49-F238E27FC236}">
              <a16:creationId xmlns:a16="http://schemas.microsoft.com/office/drawing/2014/main" id="{CC7AE040-12D2-48B1-A4C7-DA6A52D09F11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05" name="CuadroTexto 904">
          <a:extLst>
            <a:ext uri="{FF2B5EF4-FFF2-40B4-BE49-F238E27FC236}">
              <a16:creationId xmlns:a16="http://schemas.microsoft.com/office/drawing/2014/main" id="{AFE05C1C-DA7C-488B-8616-EB59A214ED5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06" name="CuadroTexto 905">
          <a:extLst>
            <a:ext uri="{FF2B5EF4-FFF2-40B4-BE49-F238E27FC236}">
              <a16:creationId xmlns:a16="http://schemas.microsoft.com/office/drawing/2014/main" id="{E30D40B0-EFD9-4174-9F01-F88446CE10F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07" name="CuadroTexto 906">
          <a:extLst>
            <a:ext uri="{FF2B5EF4-FFF2-40B4-BE49-F238E27FC236}">
              <a16:creationId xmlns:a16="http://schemas.microsoft.com/office/drawing/2014/main" id="{963E54A0-79FB-46D4-8373-4D3BC0E7E956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08" name="CuadroTexto 907">
          <a:extLst>
            <a:ext uri="{FF2B5EF4-FFF2-40B4-BE49-F238E27FC236}">
              <a16:creationId xmlns:a16="http://schemas.microsoft.com/office/drawing/2014/main" id="{70D125D3-9EB4-47F9-9862-FA38834B41C5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09" name="CuadroTexto 908">
          <a:extLst>
            <a:ext uri="{FF2B5EF4-FFF2-40B4-BE49-F238E27FC236}">
              <a16:creationId xmlns:a16="http://schemas.microsoft.com/office/drawing/2014/main" id="{0A7DB975-768B-4058-91C6-E98AC7A9892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10" name="CuadroTexto 909">
          <a:extLst>
            <a:ext uri="{FF2B5EF4-FFF2-40B4-BE49-F238E27FC236}">
              <a16:creationId xmlns:a16="http://schemas.microsoft.com/office/drawing/2014/main" id="{821ED5B6-0CF1-4245-BB4C-6B838F92A3C1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11" name="CuadroTexto 910">
          <a:extLst>
            <a:ext uri="{FF2B5EF4-FFF2-40B4-BE49-F238E27FC236}">
              <a16:creationId xmlns:a16="http://schemas.microsoft.com/office/drawing/2014/main" id="{04AFA5EE-8958-4FA2-833B-AC5C4B8C3DB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12" name="CuadroTexto 911">
          <a:extLst>
            <a:ext uri="{FF2B5EF4-FFF2-40B4-BE49-F238E27FC236}">
              <a16:creationId xmlns:a16="http://schemas.microsoft.com/office/drawing/2014/main" id="{CC009AC2-8E8C-41E9-A10A-F623C7ECADB6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13" name="CuadroTexto 912">
          <a:extLst>
            <a:ext uri="{FF2B5EF4-FFF2-40B4-BE49-F238E27FC236}">
              <a16:creationId xmlns:a16="http://schemas.microsoft.com/office/drawing/2014/main" id="{AC38DF40-CB59-4DD2-AA19-B69501DCC05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14" name="CuadroTexto 913">
          <a:extLst>
            <a:ext uri="{FF2B5EF4-FFF2-40B4-BE49-F238E27FC236}">
              <a16:creationId xmlns:a16="http://schemas.microsoft.com/office/drawing/2014/main" id="{0BD368CE-A0E8-48E4-8246-8AD5ED26F195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15" name="CuadroTexto 914">
          <a:extLst>
            <a:ext uri="{FF2B5EF4-FFF2-40B4-BE49-F238E27FC236}">
              <a16:creationId xmlns:a16="http://schemas.microsoft.com/office/drawing/2014/main" id="{966A5276-31BF-46E3-849A-A426D46FD17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16" name="CuadroTexto 915">
          <a:extLst>
            <a:ext uri="{FF2B5EF4-FFF2-40B4-BE49-F238E27FC236}">
              <a16:creationId xmlns:a16="http://schemas.microsoft.com/office/drawing/2014/main" id="{275C7F76-3D4A-4CBD-9D3A-6C3C458A685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17" name="CuadroTexto 916">
          <a:extLst>
            <a:ext uri="{FF2B5EF4-FFF2-40B4-BE49-F238E27FC236}">
              <a16:creationId xmlns:a16="http://schemas.microsoft.com/office/drawing/2014/main" id="{301DE623-9E10-4C0E-88A6-C3BDC5A0A2C6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18" name="CuadroTexto 917">
          <a:extLst>
            <a:ext uri="{FF2B5EF4-FFF2-40B4-BE49-F238E27FC236}">
              <a16:creationId xmlns:a16="http://schemas.microsoft.com/office/drawing/2014/main" id="{7F104AE9-4D5A-46E6-BBAA-49282AA84EB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19" name="CuadroTexto 918">
          <a:extLst>
            <a:ext uri="{FF2B5EF4-FFF2-40B4-BE49-F238E27FC236}">
              <a16:creationId xmlns:a16="http://schemas.microsoft.com/office/drawing/2014/main" id="{CF77C428-57B8-4A35-AF19-AA08B2BFCBD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20" name="CuadroTexto 919">
          <a:extLst>
            <a:ext uri="{FF2B5EF4-FFF2-40B4-BE49-F238E27FC236}">
              <a16:creationId xmlns:a16="http://schemas.microsoft.com/office/drawing/2014/main" id="{203AEEA4-3472-48DC-8711-761DB3A2F09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21" name="CuadroTexto 920">
          <a:extLst>
            <a:ext uri="{FF2B5EF4-FFF2-40B4-BE49-F238E27FC236}">
              <a16:creationId xmlns:a16="http://schemas.microsoft.com/office/drawing/2014/main" id="{2E78A4D9-CBBF-459A-8C67-0D4056666B2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22" name="CuadroTexto 921">
          <a:extLst>
            <a:ext uri="{FF2B5EF4-FFF2-40B4-BE49-F238E27FC236}">
              <a16:creationId xmlns:a16="http://schemas.microsoft.com/office/drawing/2014/main" id="{107FD828-D05A-4FA0-8D17-67022DA68C6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23" name="CuadroTexto 922">
          <a:extLst>
            <a:ext uri="{FF2B5EF4-FFF2-40B4-BE49-F238E27FC236}">
              <a16:creationId xmlns:a16="http://schemas.microsoft.com/office/drawing/2014/main" id="{CCAFFA27-E34A-4D8B-B25F-BDDEBD78C4E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24" name="CuadroTexto 923">
          <a:extLst>
            <a:ext uri="{FF2B5EF4-FFF2-40B4-BE49-F238E27FC236}">
              <a16:creationId xmlns:a16="http://schemas.microsoft.com/office/drawing/2014/main" id="{9C26C822-2235-469B-9437-0B147525A5B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25" name="CuadroTexto 924">
          <a:extLst>
            <a:ext uri="{FF2B5EF4-FFF2-40B4-BE49-F238E27FC236}">
              <a16:creationId xmlns:a16="http://schemas.microsoft.com/office/drawing/2014/main" id="{A420E086-AF17-4349-AB5E-538DE41B266A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26" name="CuadroTexto 925">
          <a:extLst>
            <a:ext uri="{FF2B5EF4-FFF2-40B4-BE49-F238E27FC236}">
              <a16:creationId xmlns:a16="http://schemas.microsoft.com/office/drawing/2014/main" id="{FAC5BF10-836B-4823-86AB-D2CF4DCC3E9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27" name="CuadroTexto 926">
          <a:extLst>
            <a:ext uri="{FF2B5EF4-FFF2-40B4-BE49-F238E27FC236}">
              <a16:creationId xmlns:a16="http://schemas.microsoft.com/office/drawing/2014/main" id="{37FDD336-4775-4297-BC9E-5A3F3C802AC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28" name="CuadroTexto 927">
          <a:extLst>
            <a:ext uri="{FF2B5EF4-FFF2-40B4-BE49-F238E27FC236}">
              <a16:creationId xmlns:a16="http://schemas.microsoft.com/office/drawing/2014/main" id="{E445CE0E-A1D4-4980-9103-C6E8C2A95A6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29" name="CuadroTexto 928">
          <a:extLst>
            <a:ext uri="{FF2B5EF4-FFF2-40B4-BE49-F238E27FC236}">
              <a16:creationId xmlns:a16="http://schemas.microsoft.com/office/drawing/2014/main" id="{51BCD24A-099F-472B-B913-6D4712C07CB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30" name="CuadroTexto 929">
          <a:extLst>
            <a:ext uri="{FF2B5EF4-FFF2-40B4-BE49-F238E27FC236}">
              <a16:creationId xmlns:a16="http://schemas.microsoft.com/office/drawing/2014/main" id="{DED25BB5-F0CE-49C2-87AB-B4C3A830F42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31" name="CuadroTexto 930">
          <a:extLst>
            <a:ext uri="{FF2B5EF4-FFF2-40B4-BE49-F238E27FC236}">
              <a16:creationId xmlns:a16="http://schemas.microsoft.com/office/drawing/2014/main" id="{E9699262-C24A-436D-95EB-9109CD728636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32" name="CuadroTexto 931">
          <a:extLst>
            <a:ext uri="{FF2B5EF4-FFF2-40B4-BE49-F238E27FC236}">
              <a16:creationId xmlns:a16="http://schemas.microsoft.com/office/drawing/2014/main" id="{19F32EF9-BB34-4871-B934-47BEFACC3E5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33" name="CuadroTexto 932">
          <a:extLst>
            <a:ext uri="{FF2B5EF4-FFF2-40B4-BE49-F238E27FC236}">
              <a16:creationId xmlns:a16="http://schemas.microsoft.com/office/drawing/2014/main" id="{8703E562-7485-4DB2-AEEA-2F568342FF4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34" name="CuadroTexto 933">
          <a:extLst>
            <a:ext uri="{FF2B5EF4-FFF2-40B4-BE49-F238E27FC236}">
              <a16:creationId xmlns:a16="http://schemas.microsoft.com/office/drawing/2014/main" id="{BD3D9F2B-1CD6-4CA4-97D0-2E96255A069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35" name="CuadroTexto 934">
          <a:extLst>
            <a:ext uri="{FF2B5EF4-FFF2-40B4-BE49-F238E27FC236}">
              <a16:creationId xmlns:a16="http://schemas.microsoft.com/office/drawing/2014/main" id="{35DE6342-2670-47B8-912B-C9DB2819D57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36" name="CuadroTexto 935">
          <a:extLst>
            <a:ext uri="{FF2B5EF4-FFF2-40B4-BE49-F238E27FC236}">
              <a16:creationId xmlns:a16="http://schemas.microsoft.com/office/drawing/2014/main" id="{5E1A8D4F-3CA7-4774-A5F5-129E667641C1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37" name="CuadroTexto 936">
          <a:extLst>
            <a:ext uri="{FF2B5EF4-FFF2-40B4-BE49-F238E27FC236}">
              <a16:creationId xmlns:a16="http://schemas.microsoft.com/office/drawing/2014/main" id="{FD44A50D-D3DC-4ED0-9B2A-D83403DA6D2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38" name="CuadroTexto 937">
          <a:extLst>
            <a:ext uri="{FF2B5EF4-FFF2-40B4-BE49-F238E27FC236}">
              <a16:creationId xmlns:a16="http://schemas.microsoft.com/office/drawing/2014/main" id="{C3DCB7D6-7FBD-4EBF-AACD-3EC2B0883685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39" name="CuadroTexto 938">
          <a:extLst>
            <a:ext uri="{FF2B5EF4-FFF2-40B4-BE49-F238E27FC236}">
              <a16:creationId xmlns:a16="http://schemas.microsoft.com/office/drawing/2014/main" id="{CB2E4F75-491E-456A-89DD-F44E9B575435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40" name="CuadroTexto 939">
          <a:extLst>
            <a:ext uri="{FF2B5EF4-FFF2-40B4-BE49-F238E27FC236}">
              <a16:creationId xmlns:a16="http://schemas.microsoft.com/office/drawing/2014/main" id="{C5067E31-41E2-4145-84F9-DA3D2C93596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41" name="CuadroTexto 940">
          <a:extLst>
            <a:ext uri="{FF2B5EF4-FFF2-40B4-BE49-F238E27FC236}">
              <a16:creationId xmlns:a16="http://schemas.microsoft.com/office/drawing/2014/main" id="{45E65F13-C6B0-42DE-982C-0FDCF514A29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42" name="CuadroTexto 941">
          <a:extLst>
            <a:ext uri="{FF2B5EF4-FFF2-40B4-BE49-F238E27FC236}">
              <a16:creationId xmlns:a16="http://schemas.microsoft.com/office/drawing/2014/main" id="{CEB29239-ABC6-4EE8-8A2F-4F2021CB2B1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43" name="CuadroTexto 942">
          <a:extLst>
            <a:ext uri="{FF2B5EF4-FFF2-40B4-BE49-F238E27FC236}">
              <a16:creationId xmlns:a16="http://schemas.microsoft.com/office/drawing/2014/main" id="{BFA9F6A8-542C-47EE-B59A-6898711F8FC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44" name="CuadroTexto 943">
          <a:extLst>
            <a:ext uri="{FF2B5EF4-FFF2-40B4-BE49-F238E27FC236}">
              <a16:creationId xmlns:a16="http://schemas.microsoft.com/office/drawing/2014/main" id="{8212A7CC-1673-48C5-8C5C-D870283AEE9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45" name="CuadroTexto 944">
          <a:extLst>
            <a:ext uri="{FF2B5EF4-FFF2-40B4-BE49-F238E27FC236}">
              <a16:creationId xmlns:a16="http://schemas.microsoft.com/office/drawing/2014/main" id="{A8C15646-FEFA-4FBA-B3F9-00A0F80AA16A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46" name="CuadroTexto 945">
          <a:extLst>
            <a:ext uri="{FF2B5EF4-FFF2-40B4-BE49-F238E27FC236}">
              <a16:creationId xmlns:a16="http://schemas.microsoft.com/office/drawing/2014/main" id="{F6BAB99E-7FA4-4F75-B331-43D8EF6C89D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47" name="CuadroTexto 946">
          <a:extLst>
            <a:ext uri="{FF2B5EF4-FFF2-40B4-BE49-F238E27FC236}">
              <a16:creationId xmlns:a16="http://schemas.microsoft.com/office/drawing/2014/main" id="{41BAF894-AD19-4FF5-90CC-2D4EEAA56A3A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48" name="CuadroTexto 947">
          <a:extLst>
            <a:ext uri="{FF2B5EF4-FFF2-40B4-BE49-F238E27FC236}">
              <a16:creationId xmlns:a16="http://schemas.microsoft.com/office/drawing/2014/main" id="{0635722D-F812-47D5-92E4-120AFD5FDEE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49" name="CuadroTexto 948">
          <a:extLst>
            <a:ext uri="{FF2B5EF4-FFF2-40B4-BE49-F238E27FC236}">
              <a16:creationId xmlns:a16="http://schemas.microsoft.com/office/drawing/2014/main" id="{89466C5E-61A7-4440-A372-B107F3D6B3A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50" name="CuadroTexto 949">
          <a:extLst>
            <a:ext uri="{FF2B5EF4-FFF2-40B4-BE49-F238E27FC236}">
              <a16:creationId xmlns:a16="http://schemas.microsoft.com/office/drawing/2014/main" id="{113B5171-72F2-4FD9-B81D-31189DCB428A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51" name="CuadroTexto 950">
          <a:extLst>
            <a:ext uri="{FF2B5EF4-FFF2-40B4-BE49-F238E27FC236}">
              <a16:creationId xmlns:a16="http://schemas.microsoft.com/office/drawing/2014/main" id="{BBAF1ADA-EBB7-4FFA-89C2-720857351A4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52" name="CuadroTexto 951">
          <a:extLst>
            <a:ext uri="{FF2B5EF4-FFF2-40B4-BE49-F238E27FC236}">
              <a16:creationId xmlns:a16="http://schemas.microsoft.com/office/drawing/2014/main" id="{ED2207FA-C06F-49D5-8345-CDB2EB5F6575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53" name="CuadroTexto 952">
          <a:extLst>
            <a:ext uri="{FF2B5EF4-FFF2-40B4-BE49-F238E27FC236}">
              <a16:creationId xmlns:a16="http://schemas.microsoft.com/office/drawing/2014/main" id="{BA8F46E9-B4C9-4316-8347-55EA4E88D97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54" name="CuadroTexto 953">
          <a:extLst>
            <a:ext uri="{FF2B5EF4-FFF2-40B4-BE49-F238E27FC236}">
              <a16:creationId xmlns:a16="http://schemas.microsoft.com/office/drawing/2014/main" id="{CF597D5C-D924-4459-B7A8-16070962EB9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55" name="CuadroTexto 954">
          <a:extLst>
            <a:ext uri="{FF2B5EF4-FFF2-40B4-BE49-F238E27FC236}">
              <a16:creationId xmlns:a16="http://schemas.microsoft.com/office/drawing/2014/main" id="{9D6F7D68-6823-4DD0-AEB7-1684B66047B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56" name="CuadroTexto 955">
          <a:extLst>
            <a:ext uri="{FF2B5EF4-FFF2-40B4-BE49-F238E27FC236}">
              <a16:creationId xmlns:a16="http://schemas.microsoft.com/office/drawing/2014/main" id="{BE9404FC-8969-401B-ABC7-F6EE034AC7C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57" name="CuadroTexto 956">
          <a:extLst>
            <a:ext uri="{FF2B5EF4-FFF2-40B4-BE49-F238E27FC236}">
              <a16:creationId xmlns:a16="http://schemas.microsoft.com/office/drawing/2014/main" id="{EED6942A-7E18-4B97-9790-52BD130CD03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58" name="CuadroTexto 957">
          <a:extLst>
            <a:ext uri="{FF2B5EF4-FFF2-40B4-BE49-F238E27FC236}">
              <a16:creationId xmlns:a16="http://schemas.microsoft.com/office/drawing/2014/main" id="{F726CB14-89A9-4ACC-9FAD-F188C131DBE6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59" name="CuadroTexto 958">
          <a:extLst>
            <a:ext uri="{FF2B5EF4-FFF2-40B4-BE49-F238E27FC236}">
              <a16:creationId xmlns:a16="http://schemas.microsoft.com/office/drawing/2014/main" id="{3804A5FF-CC67-4B0F-992C-DBCEF8DD691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60" name="CuadroTexto 959">
          <a:extLst>
            <a:ext uri="{FF2B5EF4-FFF2-40B4-BE49-F238E27FC236}">
              <a16:creationId xmlns:a16="http://schemas.microsoft.com/office/drawing/2014/main" id="{514625E5-904F-452D-9A6C-E316C748BDC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61" name="CuadroTexto 960">
          <a:extLst>
            <a:ext uri="{FF2B5EF4-FFF2-40B4-BE49-F238E27FC236}">
              <a16:creationId xmlns:a16="http://schemas.microsoft.com/office/drawing/2014/main" id="{08CD6588-F471-4BA1-AE31-A1581CA9304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62" name="CuadroTexto 961">
          <a:extLst>
            <a:ext uri="{FF2B5EF4-FFF2-40B4-BE49-F238E27FC236}">
              <a16:creationId xmlns:a16="http://schemas.microsoft.com/office/drawing/2014/main" id="{9DFFEBD9-A02E-4BAC-A123-6FF8D8FD2B7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63" name="CuadroTexto 962">
          <a:extLst>
            <a:ext uri="{FF2B5EF4-FFF2-40B4-BE49-F238E27FC236}">
              <a16:creationId xmlns:a16="http://schemas.microsoft.com/office/drawing/2014/main" id="{6719F369-FD87-465F-94F5-2915EA6D25F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64" name="CuadroTexto 963">
          <a:extLst>
            <a:ext uri="{FF2B5EF4-FFF2-40B4-BE49-F238E27FC236}">
              <a16:creationId xmlns:a16="http://schemas.microsoft.com/office/drawing/2014/main" id="{D43C007D-D9E6-4DE4-BFAB-12575CD1861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65" name="CuadroTexto 964">
          <a:extLst>
            <a:ext uri="{FF2B5EF4-FFF2-40B4-BE49-F238E27FC236}">
              <a16:creationId xmlns:a16="http://schemas.microsoft.com/office/drawing/2014/main" id="{481A734B-6A8D-4181-A2C1-C2E23123ADBA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66" name="CuadroTexto 965">
          <a:extLst>
            <a:ext uri="{FF2B5EF4-FFF2-40B4-BE49-F238E27FC236}">
              <a16:creationId xmlns:a16="http://schemas.microsoft.com/office/drawing/2014/main" id="{F26AE4E1-590B-4467-93F1-294651EA06F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67" name="CuadroTexto 966">
          <a:extLst>
            <a:ext uri="{FF2B5EF4-FFF2-40B4-BE49-F238E27FC236}">
              <a16:creationId xmlns:a16="http://schemas.microsoft.com/office/drawing/2014/main" id="{0FF9D85F-DFF0-4B49-AAF2-AAB43D65B06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68" name="CuadroTexto 967">
          <a:extLst>
            <a:ext uri="{FF2B5EF4-FFF2-40B4-BE49-F238E27FC236}">
              <a16:creationId xmlns:a16="http://schemas.microsoft.com/office/drawing/2014/main" id="{6A8C429B-5C1A-46D6-9F99-370CBD3316A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69" name="CuadroTexto 968">
          <a:extLst>
            <a:ext uri="{FF2B5EF4-FFF2-40B4-BE49-F238E27FC236}">
              <a16:creationId xmlns:a16="http://schemas.microsoft.com/office/drawing/2014/main" id="{1F997E4F-985D-41E3-995D-5D245BF70B5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70" name="CuadroTexto 969">
          <a:extLst>
            <a:ext uri="{FF2B5EF4-FFF2-40B4-BE49-F238E27FC236}">
              <a16:creationId xmlns:a16="http://schemas.microsoft.com/office/drawing/2014/main" id="{94C1EE2B-872B-400B-ABFC-2ED9C71D786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71" name="CuadroTexto 970">
          <a:extLst>
            <a:ext uri="{FF2B5EF4-FFF2-40B4-BE49-F238E27FC236}">
              <a16:creationId xmlns:a16="http://schemas.microsoft.com/office/drawing/2014/main" id="{41BF96CA-C957-4086-A8AB-E1388E11F9F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72" name="CuadroTexto 971">
          <a:extLst>
            <a:ext uri="{FF2B5EF4-FFF2-40B4-BE49-F238E27FC236}">
              <a16:creationId xmlns:a16="http://schemas.microsoft.com/office/drawing/2014/main" id="{17C4B91C-52F1-4C41-B61A-BDB2E3C9EC4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73" name="CuadroTexto 972">
          <a:extLst>
            <a:ext uri="{FF2B5EF4-FFF2-40B4-BE49-F238E27FC236}">
              <a16:creationId xmlns:a16="http://schemas.microsoft.com/office/drawing/2014/main" id="{10927EC3-2430-4D13-BAB7-BB1D71746EB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74" name="CuadroTexto 973">
          <a:extLst>
            <a:ext uri="{FF2B5EF4-FFF2-40B4-BE49-F238E27FC236}">
              <a16:creationId xmlns:a16="http://schemas.microsoft.com/office/drawing/2014/main" id="{D50F72D1-0EAC-4ED1-8FB4-23AFD78E6A71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75" name="CuadroTexto 974">
          <a:extLst>
            <a:ext uri="{FF2B5EF4-FFF2-40B4-BE49-F238E27FC236}">
              <a16:creationId xmlns:a16="http://schemas.microsoft.com/office/drawing/2014/main" id="{DDCCA057-F5E7-4A53-878D-6E0ADD72ECC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76" name="CuadroTexto 975">
          <a:extLst>
            <a:ext uri="{FF2B5EF4-FFF2-40B4-BE49-F238E27FC236}">
              <a16:creationId xmlns:a16="http://schemas.microsoft.com/office/drawing/2014/main" id="{B9C09036-596C-4E20-A7BD-FAAB7476C05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77" name="CuadroTexto 976">
          <a:extLst>
            <a:ext uri="{FF2B5EF4-FFF2-40B4-BE49-F238E27FC236}">
              <a16:creationId xmlns:a16="http://schemas.microsoft.com/office/drawing/2014/main" id="{BE595FC3-6064-4AEC-A77C-E5FDF449F6F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78" name="CuadroTexto 977">
          <a:extLst>
            <a:ext uri="{FF2B5EF4-FFF2-40B4-BE49-F238E27FC236}">
              <a16:creationId xmlns:a16="http://schemas.microsoft.com/office/drawing/2014/main" id="{67488368-8A1F-47FC-88CF-2826DBE5FB8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79" name="CuadroTexto 978">
          <a:extLst>
            <a:ext uri="{FF2B5EF4-FFF2-40B4-BE49-F238E27FC236}">
              <a16:creationId xmlns:a16="http://schemas.microsoft.com/office/drawing/2014/main" id="{F542DCC7-8D1E-4E5A-95A3-539B2248DDD6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80" name="CuadroTexto 979">
          <a:extLst>
            <a:ext uri="{FF2B5EF4-FFF2-40B4-BE49-F238E27FC236}">
              <a16:creationId xmlns:a16="http://schemas.microsoft.com/office/drawing/2014/main" id="{F1D4E641-3328-456E-BF77-E8B21C14F09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81" name="CuadroTexto 980">
          <a:extLst>
            <a:ext uri="{FF2B5EF4-FFF2-40B4-BE49-F238E27FC236}">
              <a16:creationId xmlns:a16="http://schemas.microsoft.com/office/drawing/2014/main" id="{EBF04510-166C-4D00-B7D3-DC6FEC6ADF3A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82" name="CuadroTexto 981">
          <a:extLst>
            <a:ext uri="{FF2B5EF4-FFF2-40B4-BE49-F238E27FC236}">
              <a16:creationId xmlns:a16="http://schemas.microsoft.com/office/drawing/2014/main" id="{9A53A48A-FACB-49BA-BB40-C98FFE59481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83" name="CuadroTexto 982">
          <a:extLst>
            <a:ext uri="{FF2B5EF4-FFF2-40B4-BE49-F238E27FC236}">
              <a16:creationId xmlns:a16="http://schemas.microsoft.com/office/drawing/2014/main" id="{7F75EFA8-AB6F-476D-A8A6-5B74325D2186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84" name="CuadroTexto 983">
          <a:extLst>
            <a:ext uri="{FF2B5EF4-FFF2-40B4-BE49-F238E27FC236}">
              <a16:creationId xmlns:a16="http://schemas.microsoft.com/office/drawing/2014/main" id="{C3067159-1FE9-4467-AE2F-98026D6B3AE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85" name="CuadroTexto 984">
          <a:extLst>
            <a:ext uri="{FF2B5EF4-FFF2-40B4-BE49-F238E27FC236}">
              <a16:creationId xmlns:a16="http://schemas.microsoft.com/office/drawing/2014/main" id="{2D3218C0-7763-41D6-A25F-2A953AC31AE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86" name="CuadroTexto 985">
          <a:extLst>
            <a:ext uri="{FF2B5EF4-FFF2-40B4-BE49-F238E27FC236}">
              <a16:creationId xmlns:a16="http://schemas.microsoft.com/office/drawing/2014/main" id="{D6AA5A1A-EB84-4B55-B5B4-E92488871C4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87" name="CuadroTexto 986">
          <a:extLst>
            <a:ext uri="{FF2B5EF4-FFF2-40B4-BE49-F238E27FC236}">
              <a16:creationId xmlns:a16="http://schemas.microsoft.com/office/drawing/2014/main" id="{2436EA9E-764F-4137-892A-08A74461CAA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88" name="CuadroTexto 987">
          <a:extLst>
            <a:ext uri="{FF2B5EF4-FFF2-40B4-BE49-F238E27FC236}">
              <a16:creationId xmlns:a16="http://schemas.microsoft.com/office/drawing/2014/main" id="{957045E8-8E62-4BAE-AD9A-723E4ABA216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89" name="CuadroTexto 988">
          <a:extLst>
            <a:ext uri="{FF2B5EF4-FFF2-40B4-BE49-F238E27FC236}">
              <a16:creationId xmlns:a16="http://schemas.microsoft.com/office/drawing/2014/main" id="{CC70A912-5EFB-49E6-8D01-8250EF16E30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90" name="CuadroTexto 989">
          <a:extLst>
            <a:ext uri="{FF2B5EF4-FFF2-40B4-BE49-F238E27FC236}">
              <a16:creationId xmlns:a16="http://schemas.microsoft.com/office/drawing/2014/main" id="{08F6FCF8-E26C-4916-92B8-7721BA057D35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91" name="CuadroTexto 990">
          <a:extLst>
            <a:ext uri="{FF2B5EF4-FFF2-40B4-BE49-F238E27FC236}">
              <a16:creationId xmlns:a16="http://schemas.microsoft.com/office/drawing/2014/main" id="{74F98F61-49E7-4B4D-A010-6BF23E6AA97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92" name="CuadroTexto 991">
          <a:extLst>
            <a:ext uri="{FF2B5EF4-FFF2-40B4-BE49-F238E27FC236}">
              <a16:creationId xmlns:a16="http://schemas.microsoft.com/office/drawing/2014/main" id="{4B1FDD20-CA7C-4259-B542-4101F0E47765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93" name="CuadroTexto 992">
          <a:extLst>
            <a:ext uri="{FF2B5EF4-FFF2-40B4-BE49-F238E27FC236}">
              <a16:creationId xmlns:a16="http://schemas.microsoft.com/office/drawing/2014/main" id="{2190C091-028B-4628-BA76-E9A5EB4D37C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94" name="CuadroTexto 993">
          <a:extLst>
            <a:ext uri="{FF2B5EF4-FFF2-40B4-BE49-F238E27FC236}">
              <a16:creationId xmlns:a16="http://schemas.microsoft.com/office/drawing/2014/main" id="{990F1FD9-7FFE-45E1-9947-0388750393F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95" name="CuadroTexto 994">
          <a:extLst>
            <a:ext uri="{FF2B5EF4-FFF2-40B4-BE49-F238E27FC236}">
              <a16:creationId xmlns:a16="http://schemas.microsoft.com/office/drawing/2014/main" id="{9088CFDA-7982-4645-B09E-692D09136CB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96" name="CuadroTexto 995">
          <a:extLst>
            <a:ext uri="{FF2B5EF4-FFF2-40B4-BE49-F238E27FC236}">
              <a16:creationId xmlns:a16="http://schemas.microsoft.com/office/drawing/2014/main" id="{85F50F6E-EB5F-4D1A-9BA1-1F4C040BF84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97" name="CuadroTexto 996">
          <a:extLst>
            <a:ext uri="{FF2B5EF4-FFF2-40B4-BE49-F238E27FC236}">
              <a16:creationId xmlns:a16="http://schemas.microsoft.com/office/drawing/2014/main" id="{13935B1C-EBD8-4325-A291-684E98880B3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98" name="CuadroTexto 997">
          <a:extLst>
            <a:ext uri="{FF2B5EF4-FFF2-40B4-BE49-F238E27FC236}">
              <a16:creationId xmlns:a16="http://schemas.microsoft.com/office/drawing/2014/main" id="{8D4FA134-6C08-4919-AC39-A8F3F44968F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999" name="CuadroTexto 998">
          <a:extLst>
            <a:ext uri="{FF2B5EF4-FFF2-40B4-BE49-F238E27FC236}">
              <a16:creationId xmlns:a16="http://schemas.microsoft.com/office/drawing/2014/main" id="{E2DB95C0-E5AC-4CCA-81AF-B8C2B2ADE5A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00" name="CuadroTexto 999">
          <a:extLst>
            <a:ext uri="{FF2B5EF4-FFF2-40B4-BE49-F238E27FC236}">
              <a16:creationId xmlns:a16="http://schemas.microsoft.com/office/drawing/2014/main" id="{66868607-7844-4F52-9CAE-FBCA7AE60CF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01" name="CuadroTexto 1000">
          <a:extLst>
            <a:ext uri="{FF2B5EF4-FFF2-40B4-BE49-F238E27FC236}">
              <a16:creationId xmlns:a16="http://schemas.microsoft.com/office/drawing/2014/main" id="{5328B1C0-4023-4CBE-A909-FC4CCE2C25A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02" name="CuadroTexto 1001">
          <a:extLst>
            <a:ext uri="{FF2B5EF4-FFF2-40B4-BE49-F238E27FC236}">
              <a16:creationId xmlns:a16="http://schemas.microsoft.com/office/drawing/2014/main" id="{9BFDD2FD-E4FF-45C2-8DCA-64B51FA8A8E1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03" name="CuadroTexto 1002">
          <a:extLst>
            <a:ext uri="{FF2B5EF4-FFF2-40B4-BE49-F238E27FC236}">
              <a16:creationId xmlns:a16="http://schemas.microsoft.com/office/drawing/2014/main" id="{F71C7CC5-E45A-4786-BFE7-931D49E2844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04" name="CuadroTexto 1003">
          <a:extLst>
            <a:ext uri="{FF2B5EF4-FFF2-40B4-BE49-F238E27FC236}">
              <a16:creationId xmlns:a16="http://schemas.microsoft.com/office/drawing/2014/main" id="{273D5C61-F45C-4DAE-A0B3-A10646EE65B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05" name="CuadroTexto 1004">
          <a:extLst>
            <a:ext uri="{FF2B5EF4-FFF2-40B4-BE49-F238E27FC236}">
              <a16:creationId xmlns:a16="http://schemas.microsoft.com/office/drawing/2014/main" id="{B5B4593C-4B1F-46B6-8A2D-833D4940F185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06" name="CuadroTexto 1005">
          <a:extLst>
            <a:ext uri="{FF2B5EF4-FFF2-40B4-BE49-F238E27FC236}">
              <a16:creationId xmlns:a16="http://schemas.microsoft.com/office/drawing/2014/main" id="{FAE4F793-3E54-436D-A8C2-AF72680DAEF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07" name="CuadroTexto 1006">
          <a:extLst>
            <a:ext uri="{FF2B5EF4-FFF2-40B4-BE49-F238E27FC236}">
              <a16:creationId xmlns:a16="http://schemas.microsoft.com/office/drawing/2014/main" id="{B3D7240E-8B14-44CD-99BA-E037416F6E0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08" name="CuadroTexto 1007">
          <a:extLst>
            <a:ext uri="{FF2B5EF4-FFF2-40B4-BE49-F238E27FC236}">
              <a16:creationId xmlns:a16="http://schemas.microsoft.com/office/drawing/2014/main" id="{EA89F4BF-7D85-4094-A44E-06EDA6A39A7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09" name="CuadroTexto 1008">
          <a:extLst>
            <a:ext uri="{FF2B5EF4-FFF2-40B4-BE49-F238E27FC236}">
              <a16:creationId xmlns:a16="http://schemas.microsoft.com/office/drawing/2014/main" id="{C55AA419-589D-4316-9427-1B95C1E6D1E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10" name="CuadroTexto 1009">
          <a:extLst>
            <a:ext uri="{FF2B5EF4-FFF2-40B4-BE49-F238E27FC236}">
              <a16:creationId xmlns:a16="http://schemas.microsoft.com/office/drawing/2014/main" id="{DCE2DE72-36B6-401F-89E4-839C6E357CEA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11" name="CuadroTexto 1010">
          <a:extLst>
            <a:ext uri="{FF2B5EF4-FFF2-40B4-BE49-F238E27FC236}">
              <a16:creationId xmlns:a16="http://schemas.microsoft.com/office/drawing/2014/main" id="{05B05D8A-7DF2-402C-A5EA-5BF397A8801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12" name="CuadroTexto 1011">
          <a:extLst>
            <a:ext uri="{FF2B5EF4-FFF2-40B4-BE49-F238E27FC236}">
              <a16:creationId xmlns:a16="http://schemas.microsoft.com/office/drawing/2014/main" id="{A3326E92-ECB1-43A1-B4F3-2190CA502B5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13" name="CuadroTexto 1012">
          <a:extLst>
            <a:ext uri="{FF2B5EF4-FFF2-40B4-BE49-F238E27FC236}">
              <a16:creationId xmlns:a16="http://schemas.microsoft.com/office/drawing/2014/main" id="{07AF0B41-A419-49DF-AE4E-E5CFF07406A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14" name="CuadroTexto 1013">
          <a:extLst>
            <a:ext uri="{FF2B5EF4-FFF2-40B4-BE49-F238E27FC236}">
              <a16:creationId xmlns:a16="http://schemas.microsoft.com/office/drawing/2014/main" id="{30754EAE-5A43-4A65-8087-B8A45B6C5CD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15" name="CuadroTexto 1014">
          <a:extLst>
            <a:ext uri="{FF2B5EF4-FFF2-40B4-BE49-F238E27FC236}">
              <a16:creationId xmlns:a16="http://schemas.microsoft.com/office/drawing/2014/main" id="{4F848D89-5502-479B-88EB-E2890E0AF79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16" name="CuadroTexto 1015">
          <a:extLst>
            <a:ext uri="{FF2B5EF4-FFF2-40B4-BE49-F238E27FC236}">
              <a16:creationId xmlns:a16="http://schemas.microsoft.com/office/drawing/2014/main" id="{DAEC0615-93F6-4622-ACF5-4657A6105D5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17" name="CuadroTexto 1016">
          <a:extLst>
            <a:ext uri="{FF2B5EF4-FFF2-40B4-BE49-F238E27FC236}">
              <a16:creationId xmlns:a16="http://schemas.microsoft.com/office/drawing/2014/main" id="{1C7A7BD0-60B3-4087-BBD4-4E96AA2D492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18" name="CuadroTexto 1017">
          <a:extLst>
            <a:ext uri="{FF2B5EF4-FFF2-40B4-BE49-F238E27FC236}">
              <a16:creationId xmlns:a16="http://schemas.microsoft.com/office/drawing/2014/main" id="{4A134B2E-5317-46FF-956F-8ABD0FB49875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19" name="CuadroTexto 1018">
          <a:extLst>
            <a:ext uri="{FF2B5EF4-FFF2-40B4-BE49-F238E27FC236}">
              <a16:creationId xmlns:a16="http://schemas.microsoft.com/office/drawing/2014/main" id="{5D2BCD00-9174-487A-9991-CEBA69CBC3F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20" name="CuadroTexto 1019">
          <a:extLst>
            <a:ext uri="{FF2B5EF4-FFF2-40B4-BE49-F238E27FC236}">
              <a16:creationId xmlns:a16="http://schemas.microsoft.com/office/drawing/2014/main" id="{679EA287-2A86-4DEF-A9D0-DAE3D21DE71A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21" name="CuadroTexto 1020">
          <a:extLst>
            <a:ext uri="{FF2B5EF4-FFF2-40B4-BE49-F238E27FC236}">
              <a16:creationId xmlns:a16="http://schemas.microsoft.com/office/drawing/2014/main" id="{FE1461A3-D493-4F44-B8E7-554BA4A4C19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22" name="CuadroTexto 1021">
          <a:extLst>
            <a:ext uri="{FF2B5EF4-FFF2-40B4-BE49-F238E27FC236}">
              <a16:creationId xmlns:a16="http://schemas.microsoft.com/office/drawing/2014/main" id="{AF3D75F1-2DA8-427A-BCEA-1211B664642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23" name="CuadroTexto 1022">
          <a:extLst>
            <a:ext uri="{FF2B5EF4-FFF2-40B4-BE49-F238E27FC236}">
              <a16:creationId xmlns:a16="http://schemas.microsoft.com/office/drawing/2014/main" id="{B75084D3-E4BB-4F57-BABC-15CCA344D4B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24" name="CuadroTexto 1023">
          <a:extLst>
            <a:ext uri="{FF2B5EF4-FFF2-40B4-BE49-F238E27FC236}">
              <a16:creationId xmlns:a16="http://schemas.microsoft.com/office/drawing/2014/main" id="{D7FC0713-4ADC-4998-B1DA-1E033145261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25" name="CuadroTexto 1024">
          <a:extLst>
            <a:ext uri="{FF2B5EF4-FFF2-40B4-BE49-F238E27FC236}">
              <a16:creationId xmlns:a16="http://schemas.microsoft.com/office/drawing/2014/main" id="{39C7405E-6B29-4831-8CC6-D5763AA792E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26" name="CuadroTexto 1025">
          <a:extLst>
            <a:ext uri="{FF2B5EF4-FFF2-40B4-BE49-F238E27FC236}">
              <a16:creationId xmlns:a16="http://schemas.microsoft.com/office/drawing/2014/main" id="{BA6CB156-079B-4EB8-8C57-5A23A532BF1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27" name="CuadroTexto 1026">
          <a:extLst>
            <a:ext uri="{FF2B5EF4-FFF2-40B4-BE49-F238E27FC236}">
              <a16:creationId xmlns:a16="http://schemas.microsoft.com/office/drawing/2014/main" id="{2C5CFCCA-8822-4EA0-AFFA-6DF6B113AE2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28" name="CuadroTexto 1027">
          <a:extLst>
            <a:ext uri="{FF2B5EF4-FFF2-40B4-BE49-F238E27FC236}">
              <a16:creationId xmlns:a16="http://schemas.microsoft.com/office/drawing/2014/main" id="{A123AAB4-01DB-444E-A893-67AA42F74DF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29" name="CuadroTexto 1028">
          <a:extLst>
            <a:ext uri="{FF2B5EF4-FFF2-40B4-BE49-F238E27FC236}">
              <a16:creationId xmlns:a16="http://schemas.microsoft.com/office/drawing/2014/main" id="{B79A81B2-6FFB-48DE-844A-8959D9B6527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30" name="CuadroTexto 1029">
          <a:extLst>
            <a:ext uri="{FF2B5EF4-FFF2-40B4-BE49-F238E27FC236}">
              <a16:creationId xmlns:a16="http://schemas.microsoft.com/office/drawing/2014/main" id="{08E2E9F3-7A37-42F3-9FAF-15E367D6B9C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31" name="CuadroTexto 1030">
          <a:extLst>
            <a:ext uri="{FF2B5EF4-FFF2-40B4-BE49-F238E27FC236}">
              <a16:creationId xmlns:a16="http://schemas.microsoft.com/office/drawing/2014/main" id="{B89C08CC-2258-4EE6-847C-8AF25F74795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32" name="CuadroTexto 1031">
          <a:extLst>
            <a:ext uri="{FF2B5EF4-FFF2-40B4-BE49-F238E27FC236}">
              <a16:creationId xmlns:a16="http://schemas.microsoft.com/office/drawing/2014/main" id="{2FC93734-44ED-4D0A-9509-3D01266BA33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33" name="CuadroTexto 1032">
          <a:extLst>
            <a:ext uri="{FF2B5EF4-FFF2-40B4-BE49-F238E27FC236}">
              <a16:creationId xmlns:a16="http://schemas.microsoft.com/office/drawing/2014/main" id="{37484724-E1D9-453A-85B8-EE4B7A05E67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34" name="CuadroTexto 1033">
          <a:extLst>
            <a:ext uri="{FF2B5EF4-FFF2-40B4-BE49-F238E27FC236}">
              <a16:creationId xmlns:a16="http://schemas.microsoft.com/office/drawing/2014/main" id="{8D654796-FA36-4571-BFF1-C50C4C9AEA7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35" name="CuadroTexto 1034">
          <a:extLst>
            <a:ext uri="{FF2B5EF4-FFF2-40B4-BE49-F238E27FC236}">
              <a16:creationId xmlns:a16="http://schemas.microsoft.com/office/drawing/2014/main" id="{0EAC5657-CE12-4998-BBD6-4538B8EF33E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36" name="CuadroTexto 1035">
          <a:extLst>
            <a:ext uri="{FF2B5EF4-FFF2-40B4-BE49-F238E27FC236}">
              <a16:creationId xmlns:a16="http://schemas.microsoft.com/office/drawing/2014/main" id="{06EEE09C-F8B4-4455-A60D-6382FF6871A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37" name="CuadroTexto 1036">
          <a:extLst>
            <a:ext uri="{FF2B5EF4-FFF2-40B4-BE49-F238E27FC236}">
              <a16:creationId xmlns:a16="http://schemas.microsoft.com/office/drawing/2014/main" id="{D628E928-31A5-4A60-AB43-1709A2C5608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38" name="CuadroTexto 1037">
          <a:extLst>
            <a:ext uri="{FF2B5EF4-FFF2-40B4-BE49-F238E27FC236}">
              <a16:creationId xmlns:a16="http://schemas.microsoft.com/office/drawing/2014/main" id="{276FBE1A-9B65-4768-9F73-3823A44AE6B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39" name="CuadroTexto 1038">
          <a:extLst>
            <a:ext uri="{FF2B5EF4-FFF2-40B4-BE49-F238E27FC236}">
              <a16:creationId xmlns:a16="http://schemas.microsoft.com/office/drawing/2014/main" id="{1BCBCA16-983B-4695-B2B9-36C20F6C234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40" name="CuadroTexto 1039">
          <a:extLst>
            <a:ext uri="{FF2B5EF4-FFF2-40B4-BE49-F238E27FC236}">
              <a16:creationId xmlns:a16="http://schemas.microsoft.com/office/drawing/2014/main" id="{13E3320D-B16D-4EFF-93E8-0603AA1100C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41" name="CuadroTexto 1040">
          <a:extLst>
            <a:ext uri="{FF2B5EF4-FFF2-40B4-BE49-F238E27FC236}">
              <a16:creationId xmlns:a16="http://schemas.microsoft.com/office/drawing/2014/main" id="{F28C7E64-84CE-422D-A7BB-3DDA589F6DBA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42" name="CuadroTexto 1041">
          <a:extLst>
            <a:ext uri="{FF2B5EF4-FFF2-40B4-BE49-F238E27FC236}">
              <a16:creationId xmlns:a16="http://schemas.microsoft.com/office/drawing/2014/main" id="{B0F03416-BA6F-4B5B-88C0-90ADDB51AEE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43" name="CuadroTexto 1042">
          <a:extLst>
            <a:ext uri="{FF2B5EF4-FFF2-40B4-BE49-F238E27FC236}">
              <a16:creationId xmlns:a16="http://schemas.microsoft.com/office/drawing/2014/main" id="{8036E7A5-FDD3-426C-84F1-5957319438B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44" name="CuadroTexto 1043">
          <a:extLst>
            <a:ext uri="{FF2B5EF4-FFF2-40B4-BE49-F238E27FC236}">
              <a16:creationId xmlns:a16="http://schemas.microsoft.com/office/drawing/2014/main" id="{F5E3243E-8F20-4CD0-8288-5D5E764D4F4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45" name="CuadroTexto 1044">
          <a:extLst>
            <a:ext uri="{FF2B5EF4-FFF2-40B4-BE49-F238E27FC236}">
              <a16:creationId xmlns:a16="http://schemas.microsoft.com/office/drawing/2014/main" id="{D3622583-C7CE-411F-AE2E-FA67F35E790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46" name="CuadroTexto 1045">
          <a:extLst>
            <a:ext uri="{FF2B5EF4-FFF2-40B4-BE49-F238E27FC236}">
              <a16:creationId xmlns:a16="http://schemas.microsoft.com/office/drawing/2014/main" id="{1A0BCA5D-2D94-4C58-B767-5E2379D9553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47" name="CuadroTexto 1046">
          <a:extLst>
            <a:ext uri="{FF2B5EF4-FFF2-40B4-BE49-F238E27FC236}">
              <a16:creationId xmlns:a16="http://schemas.microsoft.com/office/drawing/2014/main" id="{9AB50C19-9118-486C-94C1-9F0CC0861BA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48" name="CuadroTexto 1047">
          <a:extLst>
            <a:ext uri="{FF2B5EF4-FFF2-40B4-BE49-F238E27FC236}">
              <a16:creationId xmlns:a16="http://schemas.microsoft.com/office/drawing/2014/main" id="{9BF2C48A-06F8-486B-B281-6EA90AE0A35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49" name="CuadroTexto 1048">
          <a:extLst>
            <a:ext uri="{FF2B5EF4-FFF2-40B4-BE49-F238E27FC236}">
              <a16:creationId xmlns:a16="http://schemas.microsoft.com/office/drawing/2014/main" id="{EBB37787-571D-4ECE-AB26-055C1E1FD4E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50" name="CuadroTexto 1049">
          <a:extLst>
            <a:ext uri="{FF2B5EF4-FFF2-40B4-BE49-F238E27FC236}">
              <a16:creationId xmlns:a16="http://schemas.microsoft.com/office/drawing/2014/main" id="{05143D2F-B50E-4744-8CBE-A34BA0C2997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51" name="CuadroTexto 1050">
          <a:extLst>
            <a:ext uri="{FF2B5EF4-FFF2-40B4-BE49-F238E27FC236}">
              <a16:creationId xmlns:a16="http://schemas.microsoft.com/office/drawing/2014/main" id="{6BF101EB-3937-4F6F-8ABB-FF0AD1AC4A8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52" name="CuadroTexto 1051">
          <a:extLst>
            <a:ext uri="{FF2B5EF4-FFF2-40B4-BE49-F238E27FC236}">
              <a16:creationId xmlns:a16="http://schemas.microsoft.com/office/drawing/2014/main" id="{B1D286AA-F7CA-4E36-8221-CA2D8DC39DB1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53" name="CuadroTexto 1052">
          <a:extLst>
            <a:ext uri="{FF2B5EF4-FFF2-40B4-BE49-F238E27FC236}">
              <a16:creationId xmlns:a16="http://schemas.microsoft.com/office/drawing/2014/main" id="{6C737615-9434-44AD-8BFB-2B14A9C29EB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54" name="CuadroTexto 1053">
          <a:extLst>
            <a:ext uri="{FF2B5EF4-FFF2-40B4-BE49-F238E27FC236}">
              <a16:creationId xmlns:a16="http://schemas.microsoft.com/office/drawing/2014/main" id="{46AE4E32-4196-4E0F-AB44-88B58C707DB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55" name="CuadroTexto 1054">
          <a:extLst>
            <a:ext uri="{FF2B5EF4-FFF2-40B4-BE49-F238E27FC236}">
              <a16:creationId xmlns:a16="http://schemas.microsoft.com/office/drawing/2014/main" id="{9FD128BA-FBA5-4544-9641-6B6A5430CEB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56" name="CuadroTexto 1055">
          <a:extLst>
            <a:ext uri="{FF2B5EF4-FFF2-40B4-BE49-F238E27FC236}">
              <a16:creationId xmlns:a16="http://schemas.microsoft.com/office/drawing/2014/main" id="{A0B21113-93F1-4376-85D4-B2A0CD92F181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57" name="CuadroTexto 1056">
          <a:extLst>
            <a:ext uri="{FF2B5EF4-FFF2-40B4-BE49-F238E27FC236}">
              <a16:creationId xmlns:a16="http://schemas.microsoft.com/office/drawing/2014/main" id="{96719D5F-10BB-494C-8C62-9F146C23997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58" name="CuadroTexto 1057">
          <a:extLst>
            <a:ext uri="{FF2B5EF4-FFF2-40B4-BE49-F238E27FC236}">
              <a16:creationId xmlns:a16="http://schemas.microsoft.com/office/drawing/2014/main" id="{9349C586-E118-4EBF-98DF-82B701972A2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59" name="CuadroTexto 1058">
          <a:extLst>
            <a:ext uri="{FF2B5EF4-FFF2-40B4-BE49-F238E27FC236}">
              <a16:creationId xmlns:a16="http://schemas.microsoft.com/office/drawing/2014/main" id="{AB6B7AB7-5C8D-4F4D-9EFE-3B890A41167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60" name="CuadroTexto 1059">
          <a:extLst>
            <a:ext uri="{FF2B5EF4-FFF2-40B4-BE49-F238E27FC236}">
              <a16:creationId xmlns:a16="http://schemas.microsoft.com/office/drawing/2014/main" id="{CF98B31E-CE44-4358-8303-952F30916AB6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61" name="CuadroTexto 1060">
          <a:extLst>
            <a:ext uri="{FF2B5EF4-FFF2-40B4-BE49-F238E27FC236}">
              <a16:creationId xmlns:a16="http://schemas.microsoft.com/office/drawing/2014/main" id="{7238A51C-D4CE-4A47-8876-DC1EEBE48021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62" name="CuadroTexto 1061">
          <a:extLst>
            <a:ext uri="{FF2B5EF4-FFF2-40B4-BE49-F238E27FC236}">
              <a16:creationId xmlns:a16="http://schemas.microsoft.com/office/drawing/2014/main" id="{FF73526B-5C8E-4290-8FB8-D0DDCDD7EB2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63" name="CuadroTexto 1062">
          <a:extLst>
            <a:ext uri="{FF2B5EF4-FFF2-40B4-BE49-F238E27FC236}">
              <a16:creationId xmlns:a16="http://schemas.microsoft.com/office/drawing/2014/main" id="{A412EC8B-4834-421E-91F3-6D94B2A4C455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64" name="CuadroTexto 1063">
          <a:extLst>
            <a:ext uri="{FF2B5EF4-FFF2-40B4-BE49-F238E27FC236}">
              <a16:creationId xmlns:a16="http://schemas.microsoft.com/office/drawing/2014/main" id="{2CC51863-97F2-4B56-823A-364F0B2E600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65" name="CuadroTexto 1064">
          <a:extLst>
            <a:ext uri="{FF2B5EF4-FFF2-40B4-BE49-F238E27FC236}">
              <a16:creationId xmlns:a16="http://schemas.microsoft.com/office/drawing/2014/main" id="{98F2B5A8-A27C-4E03-AB40-478CA498A4B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66" name="CuadroTexto 1065">
          <a:extLst>
            <a:ext uri="{FF2B5EF4-FFF2-40B4-BE49-F238E27FC236}">
              <a16:creationId xmlns:a16="http://schemas.microsoft.com/office/drawing/2014/main" id="{8D2A1E48-8169-428E-A38C-22A1CB1347C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67" name="CuadroTexto 1066">
          <a:extLst>
            <a:ext uri="{FF2B5EF4-FFF2-40B4-BE49-F238E27FC236}">
              <a16:creationId xmlns:a16="http://schemas.microsoft.com/office/drawing/2014/main" id="{13431BA9-3A7B-4882-A8FA-50783A22EC3A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68" name="CuadroTexto 1067">
          <a:extLst>
            <a:ext uri="{FF2B5EF4-FFF2-40B4-BE49-F238E27FC236}">
              <a16:creationId xmlns:a16="http://schemas.microsoft.com/office/drawing/2014/main" id="{0704266D-BBFC-4A5A-851E-0FD5BBF699D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69" name="CuadroTexto 1068">
          <a:extLst>
            <a:ext uri="{FF2B5EF4-FFF2-40B4-BE49-F238E27FC236}">
              <a16:creationId xmlns:a16="http://schemas.microsoft.com/office/drawing/2014/main" id="{FC328E86-7EC2-4586-BD6D-109687A626A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70" name="CuadroTexto 1069">
          <a:extLst>
            <a:ext uri="{FF2B5EF4-FFF2-40B4-BE49-F238E27FC236}">
              <a16:creationId xmlns:a16="http://schemas.microsoft.com/office/drawing/2014/main" id="{6F6C0760-FFB8-4AB5-9F1E-598B193C4EF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71" name="CuadroTexto 1070">
          <a:extLst>
            <a:ext uri="{FF2B5EF4-FFF2-40B4-BE49-F238E27FC236}">
              <a16:creationId xmlns:a16="http://schemas.microsoft.com/office/drawing/2014/main" id="{3100486C-FA61-476D-9A70-BBAB15D4EB7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72" name="CuadroTexto 1071">
          <a:extLst>
            <a:ext uri="{FF2B5EF4-FFF2-40B4-BE49-F238E27FC236}">
              <a16:creationId xmlns:a16="http://schemas.microsoft.com/office/drawing/2014/main" id="{294C16EE-DD2F-4122-AD39-80C5B811395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73" name="CuadroTexto 1072">
          <a:extLst>
            <a:ext uri="{FF2B5EF4-FFF2-40B4-BE49-F238E27FC236}">
              <a16:creationId xmlns:a16="http://schemas.microsoft.com/office/drawing/2014/main" id="{5D202E3A-6716-4A46-90AC-12AB010D5F11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74" name="CuadroTexto 1073">
          <a:extLst>
            <a:ext uri="{FF2B5EF4-FFF2-40B4-BE49-F238E27FC236}">
              <a16:creationId xmlns:a16="http://schemas.microsoft.com/office/drawing/2014/main" id="{B5B978A0-186D-44B5-8C97-A9A20DD7F2C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75" name="CuadroTexto 1074">
          <a:extLst>
            <a:ext uri="{FF2B5EF4-FFF2-40B4-BE49-F238E27FC236}">
              <a16:creationId xmlns:a16="http://schemas.microsoft.com/office/drawing/2014/main" id="{A3A2F7D9-06EC-4DA2-95A1-C5A21680B731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76" name="CuadroTexto 1075">
          <a:extLst>
            <a:ext uri="{FF2B5EF4-FFF2-40B4-BE49-F238E27FC236}">
              <a16:creationId xmlns:a16="http://schemas.microsoft.com/office/drawing/2014/main" id="{5B343414-5241-4282-802A-C995B79C556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77" name="CuadroTexto 1076">
          <a:extLst>
            <a:ext uri="{FF2B5EF4-FFF2-40B4-BE49-F238E27FC236}">
              <a16:creationId xmlns:a16="http://schemas.microsoft.com/office/drawing/2014/main" id="{A45A6F80-2003-452B-B0C8-E7B2A7EAB96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78" name="CuadroTexto 1077">
          <a:extLst>
            <a:ext uri="{FF2B5EF4-FFF2-40B4-BE49-F238E27FC236}">
              <a16:creationId xmlns:a16="http://schemas.microsoft.com/office/drawing/2014/main" id="{EAAAD9CC-1F3B-4397-A2C8-99A83AD6334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79" name="CuadroTexto 1078">
          <a:extLst>
            <a:ext uri="{FF2B5EF4-FFF2-40B4-BE49-F238E27FC236}">
              <a16:creationId xmlns:a16="http://schemas.microsoft.com/office/drawing/2014/main" id="{1593452B-92A2-4263-B38E-149B40B08F2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80" name="CuadroTexto 1079">
          <a:extLst>
            <a:ext uri="{FF2B5EF4-FFF2-40B4-BE49-F238E27FC236}">
              <a16:creationId xmlns:a16="http://schemas.microsoft.com/office/drawing/2014/main" id="{67F5AB5D-1DBF-46B1-ADB2-8EFC7564178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81" name="CuadroTexto 1080">
          <a:extLst>
            <a:ext uri="{FF2B5EF4-FFF2-40B4-BE49-F238E27FC236}">
              <a16:creationId xmlns:a16="http://schemas.microsoft.com/office/drawing/2014/main" id="{1C88FF71-5481-4100-B2B4-D791E61DDC7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82" name="CuadroTexto 1081">
          <a:extLst>
            <a:ext uri="{FF2B5EF4-FFF2-40B4-BE49-F238E27FC236}">
              <a16:creationId xmlns:a16="http://schemas.microsoft.com/office/drawing/2014/main" id="{D7F0C424-780E-4B93-A12F-043FCF2F72E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83" name="CuadroTexto 1082">
          <a:extLst>
            <a:ext uri="{FF2B5EF4-FFF2-40B4-BE49-F238E27FC236}">
              <a16:creationId xmlns:a16="http://schemas.microsoft.com/office/drawing/2014/main" id="{D46D2E29-2661-493A-A38D-B241699B31E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84" name="CuadroTexto 1083">
          <a:extLst>
            <a:ext uri="{FF2B5EF4-FFF2-40B4-BE49-F238E27FC236}">
              <a16:creationId xmlns:a16="http://schemas.microsoft.com/office/drawing/2014/main" id="{93870C58-C463-4B85-AC4F-E7007F7F088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85" name="CuadroTexto 1084">
          <a:extLst>
            <a:ext uri="{FF2B5EF4-FFF2-40B4-BE49-F238E27FC236}">
              <a16:creationId xmlns:a16="http://schemas.microsoft.com/office/drawing/2014/main" id="{800C18F9-2476-4EDB-84E3-E1E7437CA9F5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86" name="CuadroTexto 1085">
          <a:extLst>
            <a:ext uri="{FF2B5EF4-FFF2-40B4-BE49-F238E27FC236}">
              <a16:creationId xmlns:a16="http://schemas.microsoft.com/office/drawing/2014/main" id="{9D0F58D0-61D2-44FB-ABCB-A506D0452D3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87" name="CuadroTexto 1086">
          <a:extLst>
            <a:ext uri="{FF2B5EF4-FFF2-40B4-BE49-F238E27FC236}">
              <a16:creationId xmlns:a16="http://schemas.microsoft.com/office/drawing/2014/main" id="{32FE0967-64A4-42BE-8765-FDC6C8A8FF4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88" name="CuadroTexto 1087">
          <a:extLst>
            <a:ext uri="{FF2B5EF4-FFF2-40B4-BE49-F238E27FC236}">
              <a16:creationId xmlns:a16="http://schemas.microsoft.com/office/drawing/2014/main" id="{53E2A158-D7C0-4F0C-8466-7BA2608AC7D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89" name="CuadroTexto 1088">
          <a:extLst>
            <a:ext uri="{FF2B5EF4-FFF2-40B4-BE49-F238E27FC236}">
              <a16:creationId xmlns:a16="http://schemas.microsoft.com/office/drawing/2014/main" id="{70254C64-BCE0-4CC3-B699-B9B8BA51BFE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90" name="CuadroTexto 1089">
          <a:extLst>
            <a:ext uri="{FF2B5EF4-FFF2-40B4-BE49-F238E27FC236}">
              <a16:creationId xmlns:a16="http://schemas.microsoft.com/office/drawing/2014/main" id="{803A0626-EB25-41AD-8F1B-668C2A06881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91" name="CuadroTexto 1090">
          <a:extLst>
            <a:ext uri="{FF2B5EF4-FFF2-40B4-BE49-F238E27FC236}">
              <a16:creationId xmlns:a16="http://schemas.microsoft.com/office/drawing/2014/main" id="{DF2DB97E-E9BD-4C3B-969B-226EF3EA5B7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92" name="CuadroTexto 1091">
          <a:extLst>
            <a:ext uri="{FF2B5EF4-FFF2-40B4-BE49-F238E27FC236}">
              <a16:creationId xmlns:a16="http://schemas.microsoft.com/office/drawing/2014/main" id="{F6B292FC-AAF7-4DAA-AD2A-0E4692D02A46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93" name="CuadroTexto 1092">
          <a:extLst>
            <a:ext uri="{FF2B5EF4-FFF2-40B4-BE49-F238E27FC236}">
              <a16:creationId xmlns:a16="http://schemas.microsoft.com/office/drawing/2014/main" id="{5D30189C-C3FB-4912-8C36-B6604C62E90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94" name="CuadroTexto 1093">
          <a:extLst>
            <a:ext uri="{FF2B5EF4-FFF2-40B4-BE49-F238E27FC236}">
              <a16:creationId xmlns:a16="http://schemas.microsoft.com/office/drawing/2014/main" id="{7A67DDD0-0AD2-40E3-AED4-AAD3B536FE2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95" name="CuadroTexto 1094">
          <a:extLst>
            <a:ext uri="{FF2B5EF4-FFF2-40B4-BE49-F238E27FC236}">
              <a16:creationId xmlns:a16="http://schemas.microsoft.com/office/drawing/2014/main" id="{B1425FC4-E2A1-4403-BBEE-9F5F2D70C41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96" name="CuadroTexto 1095">
          <a:extLst>
            <a:ext uri="{FF2B5EF4-FFF2-40B4-BE49-F238E27FC236}">
              <a16:creationId xmlns:a16="http://schemas.microsoft.com/office/drawing/2014/main" id="{1E0C6963-64BE-40FE-9E39-D97D15ED487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97" name="CuadroTexto 1096">
          <a:extLst>
            <a:ext uri="{FF2B5EF4-FFF2-40B4-BE49-F238E27FC236}">
              <a16:creationId xmlns:a16="http://schemas.microsoft.com/office/drawing/2014/main" id="{5495FDA7-D124-4C61-8FC1-DD2749651341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98" name="CuadroTexto 1097">
          <a:extLst>
            <a:ext uri="{FF2B5EF4-FFF2-40B4-BE49-F238E27FC236}">
              <a16:creationId xmlns:a16="http://schemas.microsoft.com/office/drawing/2014/main" id="{46FAD290-A509-4B83-88A3-C164D0C6EFD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099" name="CuadroTexto 1098">
          <a:extLst>
            <a:ext uri="{FF2B5EF4-FFF2-40B4-BE49-F238E27FC236}">
              <a16:creationId xmlns:a16="http://schemas.microsoft.com/office/drawing/2014/main" id="{A5D452C7-988D-4FB3-B8F4-2721B6FC069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00" name="CuadroTexto 1099">
          <a:extLst>
            <a:ext uri="{FF2B5EF4-FFF2-40B4-BE49-F238E27FC236}">
              <a16:creationId xmlns:a16="http://schemas.microsoft.com/office/drawing/2014/main" id="{2BB2E706-A5CF-4135-98AB-6D6E2BFDCA8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01" name="CuadroTexto 1100">
          <a:extLst>
            <a:ext uri="{FF2B5EF4-FFF2-40B4-BE49-F238E27FC236}">
              <a16:creationId xmlns:a16="http://schemas.microsoft.com/office/drawing/2014/main" id="{15D67E71-CF65-4A6B-A78D-C5B31262A56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02" name="CuadroTexto 1101">
          <a:extLst>
            <a:ext uri="{FF2B5EF4-FFF2-40B4-BE49-F238E27FC236}">
              <a16:creationId xmlns:a16="http://schemas.microsoft.com/office/drawing/2014/main" id="{17977D22-4BD6-4563-9CC2-582B6C97E595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03" name="CuadroTexto 1102">
          <a:extLst>
            <a:ext uri="{FF2B5EF4-FFF2-40B4-BE49-F238E27FC236}">
              <a16:creationId xmlns:a16="http://schemas.microsoft.com/office/drawing/2014/main" id="{5B0F538B-C127-485E-BAB4-5D52635F1D6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04" name="CuadroTexto 1103">
          <a:extLst>
            <a:ext uri="{FF2B5EF4-FFF2-40B4-BE49-F238E27FC236}">
              <a16:creationId xmlns:a16="http://schemas.microsoft.com/office/drawing/2014/main" id="{FC447348-B670-4E14-8EC0-CD65626434B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05" name="CuadroTexto 1104">
          <a:extLst>
            <a:ext uri="{FF2B5EF4-FFF2-40B4-BE49-F238E27FC236}">
              <a16:creationId xmlns:a16="http://schemas.microsoft.com/office/drawing/2014/main" id="{C4CBACD8-A4A2-4A33-B002-07CD6F377AB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06" name="CuadroTexto 1105">
          <a:extLst>
            <a:ext uri="{FF2B5EF4-FFF2-40B4-BE49-F238E27FC236}">
              <a16:creationId xmlns:a16="http://schemas.microsoft.com/office/drawing/2014/main" id="{7AFDBAE5-1514-4321-868D-35B791AC2E1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07" name="CuadroTexto 1106">
          <a:extLst>
            <a:ext uri="{FF2B5EF4-FFF2-40B4-BE49-F238E27FC236}">
              <a16:creationId xmlns:a16="http://schemas.microsoft.com/office/drawing/2014/main" id="{DCA17838-A5C0-4521-AF87-55C99A5CE716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08" name="CuadroTexto 1107">
          <a:extLst>
            <a:ext uri="{FF2B5EF4-FFF2-40B4-BE49-F238E27FC236}">
              <a16:creationId xmlns:a16="http://schemas.microsoft.com/office/drawing/2014/main" id="{585B3A4A-8FE3-4CF2-84E1-E2A811DC57D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09" name="CuadroTexto 1108">
          <a:extLst>
            <a:ext uri="{FF2B5EF4-FFF2-40B4-BE49-F238E27FC236}">
              <a16:creationId xmlns:a16="http://schemas.microsoft.com/office/drawing/2014/main" id="{FF12245B-FC38-482D-BF22-6760D0634D4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10" name="CuadroTexto 1109">
          <a:extLst>
            <a:ext uri="{FF2B5EF4-FFF2-40B4-BE49-F238E27FC236}">
              <a16:creationId xmlns:a16="http://schemas.microsoft.com/office/drawing/2014/main" id="{C0390CFA-55C6-4B07-B66A-351F78E8AEB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11" name="CuadroTexto 1110">
          <a:extLst>
            <a:ext uri="{FF2B5EF4-FFF2-40B4-BE49-F238E27FC236}">
              <a16:creationId xmlns:a16="http://schemas.microsoft.com/office/drawing/2014/main" id="{8D828F26-686F-4B42-92EE-3C712B63DF8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12" name="CuadroTexto 1111">
          <a:extLst>
            <a:ext uri="{FF2B5EF4-FFF2-40B4-BE49-F238E27FC236}">
              <a16:creationId xmlns:a16="http://schemas.microsoft.com/office/drawing/2014/main" id="{1862ED8C-BFFA-4695-9AD1-1D2B60B5C6B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13" name="CuadroTexto 1112">
          <a:extLst>
            <a:ext uri="{FF2B5EF4-FFF2-40B4-BE49-F238E27FC236}">
              <a16:creationId xmlns:a16="http://schemas.microsoft.com/office/drawing/2014/main" id="{2B5B34E0-0424-49FF-B345-20E52EE2744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14" name="CuadroTexto 1113">
          <a:extLst>
            <a:ext uri="{FF2B5EF4-FFF2-40B4-BE49-F238E27FC236}">
              <a16:creationId xmlns:a16="http://schemas.microsoft.com/office/drawing/2014/main" id="{E6335961-2DBE-4C14-A8DC-C6695128096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15" name="CuadroTexto 1114">
          <a:extLst>
            <a:ext uri="{FF2B5EF4-FFF2-40B4-BE49-F238E27FC236}">
              <a16:creationId xmlns:a16="http://schemas.microsoft.com/office/drawing/2014/main" id="{4585B214-888D-4439-80E5-B6853A5BDF81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16" name="CuadroTexto 1115">
          <a:extLst>
            <a:ext uri="{FF2B5EF4-FFF2-40B4-BE49-F238E27FC236}">
              <a16:creationId xmlns:a16="http://schemas.microsoft.com/office/drawing/2014/main" id="{C8D968FE-E9C1-452E-93F4-511CFEF4345A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17" name="CuadroTexto 1116">
          <a:extLst>
            <a:ext uri="{FF2B5EF4-FFF2-40B4-BE49-F238E27FC236}">
              <a16:creationId xmlns:a16="http://schemas.microsoft.com/office/drawing/2014/main" id="{77CC2602-4AAB-4BF3-AC3A-CD374FD6034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18" name="CuadroTexto 1117">
          <a:extLst>
            <a:ext uri="{FF2B5EF4-FFF2-40B4-BE49-F238E27FC236}">
              <a16:creationId xmlns:a16="http://schemas.microsoft.com/office/drawing/2014/main" id="{6DD1FE0A-2C42-424A-BEBE-0573E9A3335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19" name="CuadroTexto 1118">
          <a:extLst>
            <a:ext uri="{FF2B5EF4-FFF2-40B4-BE49-F238E27FC236}">
              <a16:creationId xmlns:a16="http://schemas.microsoft.com/office/drawing/2014/main" id="{FE486E3D-BE04-48FA-A5BC-5499A68E572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20" name="CuadroTexto 1119">
          <a:extLst>
            <a:ext uri="{FF2B5EF4-FFF2-40B4-BE49-F238E27FC236}">
              <a16:creationId xmlns:a16="http://schemas.microsoft.com/office/drawing/2014/main" id="{2D340683-29F3-472D-BAAF-3F7C4E26194A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21" name="CuadroTexto 1120">
          <a:extLst>
            <a:ext uri="{FF2B5EF4-FFF2-40B4-BE49-F238E27FC236}">
              <a16:creationId xmlns:a16="http://schemas.microsoft.com/office/drawing/2014/main" id="{BBE791B8-DDAB-405C-AC00-560146652A5A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22" name="CuadroTexto 1121">
          <a:extLst>
            <a:ext uri="{FF2B5EF4-FFF2-40B4-BE49-F238E27FC236}">
              <a16:creationId xmlns:a16="http://schemas.microsoft.com/office/drawing/2014/main" id="{0A2F08A9-C9DE-4F58-A2D6-C827356D07C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23" name="CuadroTexto 1122">
          <a:extLst>
            <a:ext uri="{FF2B5EF4-FFF2-40B4-BE49-F238E27FC236}">
              <a16:creationId xmlns:a16="http://schemas.microsoft.com/office/drawing/2014/main" id="{9FD3F7C8-2528-424F-AA53-8D31429800B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24" name="CuadroTexto 1123">
          <a:extLst>
            <a:ext uri="{FF2B5EF4-FFF2-40B4-BE49-F238E27FC236}">
              <a16:creationId xmlns:a16="http://schemas.microsoft.com/office/drawing/2014/main" id="{67428A5A-9D4F-45CA-B428-D9D6CD7B668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25" name="CuadroTexto 1124">
          <a:extLst>
            <a:ext uri="{FF2B5EF4-FFF2-40B4-BE49-F238E27FC236}">
              <a16:creationId xmlns:a16="http://schemas.microsoft.com/office/drawing/2014/main" id="{7C769883-0812-49E7-84A6-A3471C260E4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26" name="CuadroTexto 1125">
          <a:extLst>
            <a:ext uri="{FF2B5EF4-FFF2-40B4-BE49-F238E27FC236}">
              <a16:creationId xmlns:a16="http://schemas.microsoft.com/office/drawing/2014/main" id="{42EF003B-FFE0-4F2B-B64F-8C4B48225006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27" name="CuadroTexto 1126">
          <a:extLst>
            <a:ext uri="{FF2B5EF4-FFF2-40B4-BE49-F238E27FC236}">
              <a16:creationId xmlns:a16="http://schemas.microsoft.com/office/drawing/2014/main" id="{2260D05E-3828-4F07-A555-8EAA7260FA7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28" name="CuadroTexto 1127">
          <a:extLst>
            <a:ext uri="{FF2B5EF4-FFF2-40B4-BE49-F238E27FC236}">
              <a16:creationId xmlns:a16="http://schemas.microsoft.com/office/drawing/2014/main" id="{7AE2E239-E028-4DF0-A1BA-AC9953678E46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29" name="CuadroTexto 1128">
          <a:extLst>
            <a:ext uri="{FF2B5EF4-FFF2-40B4-BE49-F238E27FC236}">
              <a16:creationId xmlns:a16="http://schemas.microsoft.com/office/drawing/2014/main" id="{87DA1CD9-3D69-43B1-A538-AD0D8AC9365B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30" name="CuadroTexto 1129">
          <a:extLst>
            <a:ext uri="{FF2B5EF4-FFF2-40B4-BE49-F238E27FC236}">
              <a16:creationId xmlns:a16="http://schemas.microsoft.com/office/drawing/2014/main" id="{6368C3E2-60CD-4F8C-9FE7-0FC43C7E121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31" name="CuadroTexto 1130">
          <a:extLst>
            <a:ext uri="{FF2B5EF4-FFF2-40B4-BE49-F238E27FC236}">
              <a16:creationId xmlns:a16="http://schemas.microsoft.com/office/drawing/2014/main" id="{731877D4-F94D-4708-BC54-229850C2E52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32" name="CuadroTexto 1131">
          <a:extLst>
            <a:ext uri="{FF2B5EF4-FFF2-40B4-BE49-F238E27FC236}">
              <a16:creationId xmlns:a16="http://schemas.microsoft.com/office/drawing/2014/main" id="{5694BDB5-6729-4E2F-B1F2-F838AC2A95C6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33" name="CuadroTexto 1132">
          <a:extLst>
            <a:ext uri="{FF2B5EF4-FFF2-40B4-BE49-F238E27FC236}">
              <a16:creationId xmlns:a16="http://schemas.microsoft.com/office/drawing/2014/main" id="{E997B39E-9C2A-44A2-BD95-FD97A350C83F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34" name="CuadroTexto 1133">
          <a:extLst>
            <a:ext uri="{FF2B5EF4-FFF2-40B4-BE49-F238E27FC236}">
              <a16:creationId xmlns:a16="http://schemas.microsoft.com/office/drawing/2014/main" id="{AC8CCAA3-834C-47C6-8C4D-FB4670A38EC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35" name="CuadroTexto 1134">
          <a:extLst>
            <a:ext uri="{FF2B5EF4-FFF2-40B4-BE49-F238E27FC236}">
              <a16:creationId xmlns:a16="http://schemas.microsoft.com/office/drawing/2014/main" id="{B6BC679C-AFAA-4554-B532-9E1DC659FFD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36" name="CuadroTexto 1135">
          <a:extLst>
            <a:ext uri="{FF2B5EF4-FFF2-40B4-BE49-F238E27FC236}">
              <a16:creationId xmlns:a16="http://schemas.microsoft.com/office/drawing/2014/main" id="{B3611AA7-94DA-4ACD-A8C7-11B10E6C368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37" name="CuadroTexto 1136">
          <a:extLst>
            <a:ext uri="{FF2B5EF4-FFF2-40B4-BE49-F238E27FC236}">
              <a16:creationId xmlns:a16="http://schemas.microsoft.com/office/drawing/2014/main" id="{F69420E8-BD0F-4F1F-A534-53087581D0F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38" name="CuadroTexto 1137">
          <a:extLst>
            <a:ext uri="{FF2B5EF4-FFF2-40B4-BE49-F238E27FC236}">
              <a16:creationId xmlns:a16="http://schemas.microsoft.com/office/drawing/2014/main" id="{3B222182-CCBD-403B-B416-429CD1D6075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39" name="CuadroTexto 1138">
          <a:extLst>
            <a:ext uri="{FF2B5EF4-FFF2-40B4-BE49-F238E27FC236}">
              <a16:creationId xmlns:a16="http://schemas.microsoft.com/office/drawing/2014/main" id="{81017E04-AA8F-4F33-B620-61358DA8F37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40" name="CuadroTexto 1139">
          <a:extLst>
            <a:ext uri="{FF2B5EF4-FFF2-40B4-BE49-F238E27FC236}">
              <a16:creationId xmlns:a16="http://schemas.microsoft.com/office/drawing/2014/main" id="{328F871B-3BD9-46E1-AA9B-ECEE797B56B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41" name="CuadroTexto 1140">
          <a:extLst>
            <a:ext uri="{FF2B5EF4-FFF2-40B4-BE49-F238E27FC236}">
              <a16:creationId xmlns:a16="http://schemas.microsoft.com/office/drawing/2014/main" id="{1B76AE16-9ABB-48F4-BD60-339DF05F760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42" name="CuadroTexto 1141">
          <a:extLst>
            <a:ext uri="{FF2B5EF4-FFF2-40B4-BE49-F238E27FC236}">
              <a16:creationId xmlns:a16="http://schemas.microsoft.com/office/drawing/2014/main" id="{BE550792-CFD2-45FB-8C55-EECE44A330D8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43" name="CuadroTexto 1142">
          <a:extLst>
            <a:ext uri="{FF2B5EF4-FFF2-40B4-BE49-F238E27FC236}">
              <a16:creationId xmlns:a16="http://schemas.microsoft.com/office/drawing/2014/main" id="{22E232F6-7EAB-410A-ACF1-2E1E2B8FA51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44" name="CuadroTexto 1143">
          <a:extLst>
            <a:ext uri="{FF2B5EF4-FFF2-40B4-BE49-F238E27FC236}">
              <a16:creationId xmlns:a16="http://schemas.microsoft.com/office/drawing/2014/main" id="{3E111A16-9673-49C4-ADDA-A329E96E759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45" name="CuadroTexto 1144">
          <a:extLst>
            <a:ext uri="{FF2B5EF4-FFF2-40B4-BE49-F238E27FC236}">
              <a16:creationId xmlns:a16="http://schemas.microsoft.com/office/drawing/2014/main" id="{E68B1E34-F557-4F50-86A0-38ACF14A3B52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46" name="CuadroTexto 1145">
          <a:extLst>
            <a:ext uri="{FF2B5EF4-FFF2-40B4-BE49-F238E27FC236}">
              <a16:creationId xmlns:a16="http://schemas.microsoft.com/office/drawing/2014/main" id="{DA09ABF5-FBB1-4648-94C0-037747998B1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47" name="CuadroTexto 1146">
          <a:extLst>
            <a:ext uri="{FF2B5EF4-FFF2-40B4-BE49-F238E27FC236}">
              <a16:creationId xmlns:a16="http://schemas.microsoft.com/office/drawing/2014/main" id="{278F8E09-E16A-42A2-88E7-955C89C8428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48" name="CuadroTexto 1147">
          <a:extLst>
            <a:ext uri="{FF2B5EF4-FFF2-40B4-BE49-F238E27FC236}">
              <a16:creationId xmlns:a16="http://schemas.microsoft.com/office/drawing/2014/main" id="{3D9D9CB8-2983-4377-92F8-E26B2D97DAD6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49" name="CuadroTexto 1148">
          <a:extLst>
            <a:ext uri="{FF2B5EF4-FFF2-40B4-BE49-F238E27FC236}">
              <a16:creationId xmlns:a16="http://schemas.microsoft.com/office/drawing/2014/main" id="{091B197C-7C93-4E24-AD69-9CCB91CF4E0C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50" name="CuadroTexto 1149">
          <a:extLst>
            <a:ext uri="{FF2B5EF4-FFF2-40B4-BE49-F238E27FC236}">
              <a16:creationId xmlns:a16="http://schemas.microsoft.com/office/drawing/2014/main" id="{60F278A5-3252-46D3-BB5A-CC19EB1A5847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51" name="CuadroTexto 1150">
          <a:extLst>
            <a:ext uri="{FF2B5EF4-FFF2-40B4-BE49-F238E27FC236}">
              <a16:creationId xmlns:a16="http://schemas.microsoft.com/office/drawing/2014/main" id="{80EAC1E1-1C2C-4ACB-89FB-22E1C4C8D38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52" name="CuadroTexto 1151">
          <a:extLst>
            <a:ext uri="{FF2B5EF4-FFF2-40B4-BE49-F238E27FC236}">
              <a16:creationId xmlns:a16="http://schemas.microsoft.com/office/drawing/2014/main" id="{D5D1D5AD-C651-49E3-90C2-6657CEBD54A4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53" name="CuadroTexto 1152">
          <a:extLst>
            <a:ext uri="{FF2B5EF4-FFF2-40B4-BE49-F238E27FC236}">
              <a16:creationId xmlns:a16="http://schemas.microsoft.com/office/drawing/2014/main" id="{632935B0-E608-43CA-A0D8-68A585450FF3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54" name="CuadroTexto 1153">
          <a:extLst>
            <a:ext uri="{FF2B5EF4-FFF2-40B4-BE49-F238E27FC236}">
              <a16:creationId xmlns:a16="http://schemas.microsoft.com/office/drawing/2014/main" id="{65394831-920F-4EF8-B3B7-C82ADA075DB9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55" name="CuadroTexto 1154">
          <a:extLst>
            <a:ext uri="{FF2B5EF4-FFF2-40B4-BE49-F238E27FC236}">
              <a16:creationId xmlns:a16="http://schemas.microsoft.com/office/drawing/2014/main" id="{ADE58455-77C6-4E68-B02E-264CAD6FD6DE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56" name="CuadroTexto 1155">
          <a:extLst>
            <a:ext uri="{FF2B5EF4-FFF2-40B4-BE49-F238E27FC236}">
              <a16:creationId xmlns:a16="http://schemas.microsoft.com/office/drawing/2014/main" id="{DF325F49-4FC0-4813-A404-C217772F352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57" name="CuadroTexto 1156">
          <a:extLst>
            <a:ext uri="{FF2B5EF4-FFF2-40B4-BE49-F238E27FC236}">
              <a16:creationId xmlns:a16="http://schemas.microsoft.com/office/drawing/2014/main" id="{657222D2-BE92-4576-8805-075907D58C7D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58" name="CuadroTexto 1157">
          <a:extLst>
            <a:ext uri="{FF2B5EF4-FFF2-40B4-BE49-F238E27FC236}">
              <a16:creationId xmlns:a16="http://schemas.microsoft.com/office/drawing/2014/main" id="{DEFD904C-2281-44EF-A662-9C7EFBB3C6E1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5</xdr:col>
      <xdr:colOff>398431</xdr:colOff>
      <xdr:row>322</xdr:row>
      <xdr:rowOff>89376</xdr:rowOff>
    </xdr:from>
    <xdr:ext cx="65" cy="172227"/>
    <xdr:sp macro="" textlink="">
      <xdr:nvSpPr>
        <xdr:cNvPr id="1159" name="CuadroTexto 1158">
          <a:extLst>
            <a:ext uri="{FF2B5EF4-FFF2-40B4-BE49-F238E27FC236}">
              <a16:creationId xmlns:a16="http://schemas.microsoft.com/office/drawing/2014/main" id="{BBA1114A-B949-4D54-A0AD-71EFB90A48F0}"/>
            </a:ext>
          </a:extLst>
        </xdr:cNvPr>
        <xdr:cNvSpPr txBox="1"/>
      </xdr:nvSpPr>
      <xdr:spPr>
        <a:xfrm>
          <a:off x="5553137" y="6595755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1</xdr:row>
      <xdr:rowOff>19050</xdr:rowOff>
    </xdr:from>
    <xdr:to>
      <xdr:col>3</xdr:col>
      <xdr:colOff>723900</xdr:colOff>
      <xdr:row>2</xdr:row>
      <xdr:rowOff>38100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019175" y="209550"/>
          <a:ext cx="2333625" cy="2095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604837</xdr:colOff>
      <xdr:row>2</xdr:row>
      <xdr:rowOff>61912</xdr:rowOff>
    </xdr:from>
    <xdr:to>
      <xdr:col>1</xdr:col>
      <xdr:colOff>52387</xdr:colOff>
      <xdr:row>15</xdr:row>
      <xdr:rowOff>9525</xdr:rowOff>
    </xdr:to>
    <xdr:sp macro="" textlink="">
      <xdr:nvSpPr>
        <xdr:cNvPr id="3" name="Flecha: a la derecha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 rot="5400000">
          <a:off x="-407195" y="1454944"/>
          <a:ext cx="2233613" cy="2095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01\metrologia\1-LABORATORIO%20DE%20CALIBRACION\PROGRAMACI&#211;N\LISTADO%20CLIENTES%20ACTUALIZ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 de Clientes"/>
      <sheetName val="Informacion certificados"/>
    </sheetNames>
    <sheetDataSet>
      <sheetData sheetId="0"/>
      <sheetData sheetId="1">
        <row r="2">
          <cell r="A2" t="str">
            <v>Agenquimicos Ltda.</v>
          </cell>
        </row>
        <row r="3">
          <cell r="A3" t="str">
            <v>Agropecuaria Gomez Cabal S.A.S.</v>
          </cell>
        </row>
        <row r="4">
          <cell r="A4" t="str">
            <v>Agroavicola San Marino S.A.</v>
          </cell>
        </row>
        <row r="5">
          <cell r="A5" t="str">
            <v>Alfa Y Omega Instrumentación S.A.S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4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89674-3CD0-4571-944C-F8F9937D84A3}">
  <dimension ref="A2:AA256"/>
  <sheetViews>
    <sheetView topLeftCell="A46" zoomScale="90" zoomScaleNormal="90" workbookViewId="0">
      <selection activeCell="I78" sqref="I78"/>
    </sheetView>
  </sheetViews>
  <sheetFormatPr baseColWidth="10" defaultRowHeight="14.4" x14ac:dyDescent="0.3"/>
  <cols>
    <col min="1" max="1" width="19.33203125" customWidth="1"/>
    <col min="2" max="2" width="31.44140625" customWidth="1"/>
    <col min="3" max="3" width="18.33203125" customWidth="1"/>
    <col min="4" max="4" width="14.109375" customWidth="1"/>
    <col min="5" max="6" width="14.88671875" customWidth="1"/>
    <col min="7" max="7" width="21.109375" customWidth="1"/>
    <col min="8" max="8" width="19.33203125" customWidth="1"/>
    <col min="9" max="9" width="13.5546875" customWidth="1"/>
    <col min="10" max="10" width="19.44140625" customWidth="1"/>
    <col min="11" max="11" width="23.6640625" customWidth="1"/>
    <col min="12" max="12" width="11.5546875" customWidth="1"/>
    <col min="13" max="13" width="20.88671875" customWidth="1"/>
    <col min="14" max="14" width="20.33203125" customWidth="1"/>
    <col min="15" max="15" width="16.5546875" customWidth="1"/>
    <col min="16" max="16" width="15.5546875" customWidth="1"/>
    <col min="17" max="17" width="18.33203125" customWidth="1"/>
    <col min="18" max="19" width="15.88671875" customWidth="1"/>
    <col min="20" max="20" width="22.5546875" customWidth="1"/>
    <col min="21" max="23" width="15.88671875" customWidth="1"/>
    <col min="24" max="24" width="16.33203125" customWidth="1"/>
  </cols>
  <sheetData>
    <row r="2" spans="1:27" x14ac:dyDescent="0.3">
      <c r="B2" s="522" t="s">
        <v>15</v>
      </c>
      <c r="C2" s="523"/>
      <c r="D2" s="524"/>
      <c r="E2" s="2" t="str">
        <f>'TOMA DE DATOS'!F42</f>
        <v>TEC-LAB-PDI-01</v>
      </c>
      <c r="F2" s="54" t="s">
        <v>88</v>
      </c>
      <c r="G2" s="43">
        <v>5.0000000000000001E-4</v>
      </c>
    </row>
    <row r="3" spans="1:27" x14ac:dyDescent="0.3">
      <c r="B3" s="522" t="s">
        <v>16</v>
      </c>
      <c r="C3" s="523"/>
      <c r="D3" s="524"/>
      <c r="E3" s="2" t="str" cm="1">
        <f t="array" ref="E3:F3">'TOMA DE DATOS'!P42:Q42</f>
        <v>Additel</v>
      </c>
      <c r="F3">
        <v>0</v>
      </c>
    </row>
    <row r="4" spans="1:27" x14ac:dyDescent="0.3">
      <c r="B4" s="7" t="s">
        <v>17</v>
      </c>
      <c r="C4" s="7"/>
      <c r="D4" s="7"/>
      <c r="E4" s="2" t="str">
        <f>'TOMA DE DATOS'!R42</f>
        <v>N25121723</v>
      </c>
    </row>
    <row r="5" spans="1:27" x14ac:dyDescent="0.3">
      <c r="B5" s="7" t="s">
        <v>644</v>
      </c>
      <c r="C5" s="7"/>
      <c r="D5" s="7"/>
      <c r="E5" s="8">
        <f>'TOMA DE DATOS'!S42</f>
        <v>46373</v>
      </c>
    </row>
    <row r="6" spans="1:27" x14ac:dyDescent="0.3">
      <c r="B6" s="11" t="s">
        <v>72</v>
      </c>
      <c r="C6" s="38" t="str">
        <f>G98</f>
        <v>psi</v>
      </c>
      <c r="D6" s="11"/>
      <c r="E6" s="12"/>
      <c r="T6" s="10"/>
    </row>
    <row r="7" spans="1:27" x14ac:dyDescent="0.3">
      <c r="A7" s="2" t="s">
        <v>40</v>
      </c>
      <c r="B7" s="6" t="s">
        <v>19</v>
      </c>
      <c r="C7" s="6" t="s">
        <v>67</v>
      </c>
      <c r="D7" s="5" t="s">
        <v>13</v>
      </c>
      <c r="E7" s="5" t="s">
        <v>12</v>
      </c>
      <c r="T7" s="10"/>
    </row>
    <row r="8" spans="1:27" x14ac:dyDescent="0.3">
      <c r="A8" s="2">
        <v>1</v>
      </c>
      <c r="B8" s="128">
        <f>IF(C81="","",C81)</f>
        <v>-1.9992000000000001</v>
      </c>
      <c r="C8" s="128">
        <f>IF(D81="","",D81)</f>
        <v>-1.99915</v>
      </c>
      <c r="D8" s="128">
        <f>IF(B8="","",B8-C8)</f>
        <v>-5.0000000000105516E-5</v>
      </c>
      <c r="E8" s="129">
        <f>IF(F81="","",F81)</f>
        <v>5.1999999999999995E-4</v>
      </c>
    </row>
    <row r="9" spans="1:27" x14ac:dyDescent="0.3">
      <c r="A9" s="2">
        <v>2</v>
      </c>
      <c r="B9" s="128">
        <f t="shared" ref="B9:C19" si="0">IF(C82="","",C82)</f>
        <v>-1.4993000000000001</v>
      </c>
      <c r="C9" s="128">
        <f t="shared" si="0"/>
        <v>-1.4994700000000001</v>
      </c>
      <c r="D9" s="128">
        <f t="shared" ref="D9:D19" si="1">IF(B9="","",B9-C9)</f>
        <v>1.7000000000000348E-4</v>
      </c>
      <c r="E9" s="129">
        <f t="shared" ref="E9:E19" si="2">IF(F82="","",F82)</f>
        <v>5.0000000000000001E-4</v>
      </c>
    </row>
    <row r="10" spans="1:27" x14ac:dyDescent="0.3">
      <c r="A10" s="2">
        <v>3</v>
      </c>
      <c r="B10" s="128">
        <f t="shared" si="0"/>
        <v>-0.99939999999999996</v>
      </c>
      <c r="C10" s="128">
        <f t="shared" si="0"/>
        <v>-0.99951000000000001</v>
      </c>
      <c r="D10" s="128">
        <f t="shared" si="1"/>
        <v>1.100000000000545E-4</v>
      </c>
      <c r="E10" s="129">
        <f t="shared" si="2"/>
        <v>4.8999999999999998E-4</v>
      </c>
    </row>
    <row r="11" spans="1:27" x14ac:dyDescent="0.3">
      <c r="A11" s="2">
        <v>4</v>
      </c>
      <c r="B11" s="128">
        <f t="shared" si="0"/>
        <v>-0.49959999999999999</v>
      </c>
      <c r="C11" s="128">
        <f t="shared" si="0"/>
        <v>-0.49974000000000002</v>
      </c>
      <c r="D11" s="128">
        <f t="shared" si="1"/>
        <v>1.4000000000002899E-4</v>
      </c>
      <c r="E11" s="129">
        <f t="shared" si="2"/>
        <v>4.8999999999999998E-4</v>
      </c>
    </row>
    <row r="12" spans="1:27" x14ac:dyDescent="0.3">
      <c r="A12" s="2">
        <v>5</v>
      </c>
      <c r="B12" s="128">
        <f t="shared" si="0"/>
        <v>2.0000000000000001E-4</v>
      </c>
      <c r="C12" s="128">
        <f t="shared" si="0"/>
        <v>9.0000000000000006E-5</v>
      </c>
      <c r="D12" s="128">
        <f t="shared" si="1"/>
        <v>1.1E-4</v>
      </c>
      <c r="E12" s="129">
        <f t="shared" si="2"/>
        <v>4.8999999999999998E-4</v>
      </c>
    </row>
    <row r="13" spans="1:27" x14ac:dyDescent="0.3">
      <c r="A13" s="2">
        <v>6</v>
      </c>
      <c r="B13" s="128">
        <f t="shared" si="0"/>
        <v>0.49990000000000001</v>
      </c>
      <c r="C13" s="128">
        <f t="shared" si="0"/>
        <v>0.49981999999999999</v>
      </c>
      <c r="D13" s="128">
        <f t="shared" si="1"/>
        <v>8.0000000000024496E-5</v>
      </c>
      <c r="E13" s="129">
        <f t="shared" si="2"/>
        <v>4.8999999999999998E-4</v>
      </c>
    </row>
    <row r="14" spans="1:27" ht="15" customHeight="1" x14ac:dyDescent="0.3">
      <c r="A14" s="2">
        <v>7</v>
      </c>
      <c r="B14" s="128">
        <f t="shared" si="0"/>
        <v>0.99970000000000003</v>
      </c>
      <c r="C14" s="128">
        <f t="shared" si="0"/>
        <v>0.99948999999999999</v>
      </c>
      <c r="D14" s="128">
        <f t="shared" si="1"/>
        <v>2.1000000000004349E-4</v>
      </c>
      <c r="E14" s="129">
        <f t="shared" si="2"/>
        <v>4.8999999999999998E-4</v>
      </c>
      <c r="S14" s="525"/>
      <c r="T14" s="525"/>
    </row>
    <row r="15" spans="1:27" ht="15.75" customHeight="1" x14ac:dyDescent="0.3">
      <c r="A15" s="2">
        <v>8</v>
      </c>
      <c r="B15" s="128">
        <f t="shared" si="0"/>
        <v>1.4994000000000001</v>
      </c>
      <c r="C15" s="128">
        <f t="shared" si="0"/>
        <v>1.4993000000000001</v>
      </c>
      <c r="D15" s="128">
        <f t="shared" si="1"/>
        <v>9.9999999999988987E-5</v>
      </c>
      <c r="E15" s="129">
        <f t="shared" si="2"/>
        <v>4.8999999999999998E-4</v>
      </c>
      <c r="S15" s="517"/>
      <c r="T15" s="517"/>
      <c r="W15" s="517"/>
      <c r="X15" s="517"/>
      <c r="AA15" t="s">
        <v>286</v>
      </c>
    </row>
    <row r="16" spans="1:27" ht="15" customHeight="1" x14ac:dyDescent="0.3">
      <c r="A16" s="2">
        <v>9</v>
      </c>
      <c r="B16" s="128">
        <f t="shared" si="0"/>
        <v>1.9992000000000001</v>
      </c>
      <c r="C16" s="128">
        <f t="shared" si="0"/>
        <v>1.9991300000000001</v>
      </c>
      <c r="D16" s="128">
        <f t="shared" si="1"/>
        <v>7.0000000000014495E-5</v>
      </c>
      <c r="E16" s="129">
        <f t="shared" si="2"/>
        <v>5.0000000000000001E-4</v>
      </c>
      <c r="K16" s="58"/>
      <c r="L16" s="58"/>
      <c r="S16" s="517"/>
      <c r="T16" s="517"/>
      <c r="W16" s="517"/>
      <c r="X16" s="517"/>
    </row>
    <row r="17" spans="1:24" ht="15" customHeight="1" x14ac:dyDescent="0.3">
      <c r="A17" s="2">
        <v>10</v>
      </c>
      <c r="B17" s="128" t="str">
        <f t="shared" si="0"/>
        <v/>
      </c>
      <c r="C17" s="128" t="str">
        <f t="shared" si="0"/>
        <v/>
      </c>
      <c r="D17" s="128" t="str">
        <f t="shared" si="1"/>
        <v/>
      </c>
      <c r="E17" s="129" t="str">
        <f t="shared" si="2"/>
        <v/>
      </c>
      <c r="K17" s="38"/>
      <c r="L17" s="38"/>
      <c r="S17" s="230"/>
      <c r="T17" s="230"/>
      <c r="W17" s="230"/>
      <c r="X17" s="230"/>
    </row>
    <row r="18" spans="1:24" ht="15" customHeight="1" x14ac:dyDescent="0.3">
      <c r="A18" s="2">
        <v>11</v>
      </c>
      <c r="B18" s="128" t="str">
        <f t="shared" si="0"/>
        <v/>
      </c>
      <c r="C18" s="128" t="str">
        <f t="shared" si="0"/>
        <v/>
      </c>
      <c r="D18" s="128" t="str">
        <f t="shared" si="1"/>
        <v/>
      </c>
      <c r="E18" s="129" t="str">
        <f t="shared" si="2"/>
        <v/>
      </c>
      <c r="K18" s="38"/>
      <c r="L18" s="38"/>
      <c r="S18" s="230"/>
      <c r="T18" s="230"/>
      <c r="W18" s="230"/>
      <c r="X18" s="230"/>
    </row>
    <row r="19" spans="1:24" ht="15" customHeight="1" x14ac:dyDescent="0.3">
      <c r="A19" s="2">
        <v>12</v>
      </c>
      <c r="B19" s="128" t="str">
        <f t="shared" si="0"/>
        <v/>
      </c>
      <c r="C19" s="128" t="str">
        <f t="shared" si="0"/>
        <v/>
      </c>
      <c r="D19" s="128" t="str">
        <f t="shared" si="1"/>
        <v/>
      </c>
      <c r="E19" s="129" t="str">
        <f t="shared" si="2"/>
        <v/>
      </c>
      <c r="K19" s="38"/>
      <c r="L19" s="38"/>
      <c r="S19" s="230"/>
      <c r="T19" s="230"/>
      <c r="W19" s="230"/>
      <c r="X19" s="230"/>
    </row>
    <row r="20" spans="1:24" ht="15" customHeight="1" x14ac:dyDescent="0.3">
      <c r="A20" s="1"/>
      <c r="B20" s="227"/>
      <c r="C20" s="231"/>
      <c r="D20" s="227"/>
      <c r="E20" s="232"/>
      <c r="K20" s="38"/>
      <c r="L20" s="38"/>
      <c r="S20" s="230"/>
      <c r="T20" s="230"/>
      <c r="W20" s="230"/>
      <c r="X20" s="230"/>
    </row>
    <row r="21" spans="1:24" ht="15" customHeight="1" x14ac:dyDescent="0.3">
      <c r="A21" s="1"/>
      <c r="B21" s="227"/>
      <c r="C21" s="231"/>
      <c r="D21" s="227"/>
      <c r="E21" s="232"/>
      <c r="K21" s="38"/>
      <c r="L21" s="38"/>
      <c r="S21" s="230"/>
      <c r="T21" s="230"/>
      <c r="W21" s="230"/>
      <c r="X21" s="230"/>
    </row>
    <row r="22" spans="1:24" x14ac:dyDescent="0.3">
      <c r="B22" s="233" t="s">
        <v>346</v>
      </c>
      <c r="C22" s="234"/>
      <c r="D22" s="234"/>
      <c r="E22" s="53"/>
      <c r="G22" t="s">
        <v>347</v>
      </c>
      <c r="T22" s="235"/>
    </row>
    <row r="23" spans="1:24" ht="25.5" customHeight="1" x14ac:dyDescent="0.3">
      <c r="C23" s="337" t="s">
        <v>411</v>
      </c>
      <c r="D23" s="221" t="s">
        <v>394</v>
      </c>
      <c r="E23" s="337" t="s">
        <v>410</v>
      </c>
      <c r="T23" s="235"/>
    </row>
    <row r="24" spans="1:24" x14ac:dyDescent="0.3">
      <c r="C24" s="336" t="str">
        <f>'TOMA DE DATOS'!F20</f>
        <v>InH2O</v>
      </c>
      <c r="D24" s="228" t="str">
        <f>F78</f>
        <v>InH2O</v>
      </c>
      <c r="E24" s="271" t="str">
        <f>'TOMA DE DATOS'!F20</f>
        <v>InH2O</v>
      </c>
      <c r="G24" s="1" t="str">
        <f>F78</f>
        <v>InH2O</v>
      </c>
      <c r="T24" s="235"/>
    </row>
    <row r="25" spans="1:24" x14ac:dyDescent="0.3">
      <c r="A25">
        <f>IF('CALCULO DE INCERTIDUMBRES'!D13="","",'CALCULO DE INCERTIDUMBRES'!D13)</f>
        <v>4.4999999999999997E-3</v>
      </c>
      <c r="B25" s="14" t="s">
        <v>41</v>
      </c>
      <c r="C25" s="322">
        <f>IF('CALCULO DE INCERTIDUMBRES'!D13="","",'CALCULO DE INCERTIDUMBRES'!D13)</f>
        <v>4.4999999999999997E-3</v>
      </c>
      <c r="D25" s="322">
        <f>IF($C$24=$D$24,C25,CONVERSION!$E$31*C25)</f>
        <v>4.4999999999999997E-3</v>
      </c>
      <c r="E25" s="322">
        <f>IF($D$24=$E$24,D25,C25)</f>
        <v>4.4999999999999997E-3</v>
      </c>
      <c r="G25" s="323">
        <f t="shared" ref="G25:G39" si="3">IF(C25="","",H42)</f>
        <v>4.3906123422819774E-3</v>
      </c>
      <c r="T25" s="235"/>
    </row>
    <row r="26" spans="1:24" x14ac:dyDescent="0.3">
      <c r="A26">
        <f>IF('CALCULO DE INCERTIDUMBRES'!D44="","",'CALCULO DE INCERTIDUMBRES'!D44)</f>
        <v>5.0799999999999998E-2</v>
      </c>
      <c r="B26" s="3" t="s">
        <v>42</v>
      </c>
      <c r="C26" s="30">
        <f>IF('CALCULO DE INCERTIDUMBRES'!D44="","",'CALCULO DE INCERTIDUMBRES'!D44)</f>
        <v>5.0799999999999998E-2</v>
      </c>
      <c r="D26" s="30">
        <f>IF($C$24=$D$24,C26,CONVERSION!$E$31*C26)</f>
        <v>5.0799999999999998E-2</v>
      </c>
      <c r="E26" s="30">
        <f t="shared" ref="E26:E39" si="4">IF($D$24=$E$24,D26,C26)</f>
        <v>5.0799999999999998E-2</v>
      </c>
      <c r="G26" s="323">
        <f t="shared" si="3"/>
        <v>5.0697241440159788E-2</v>
      </c>
      <c r="T26" s="235"/>
      <c r="W26" s="518"/>
      <c r="X26" s="518"/>
    </row>
    <row r="27" spans="1:24" x14ac:dyDescent="0.3">
      <c r="A27">
        <f>IF('CALCULO DE INCERTIDUMBRES'!D75="","",'CALCULO DE INCERTIDUMBRES'!D75)</f>
        <v>9.6000000000000002E-2</v>
      </c>
      <c r="B27" s="14" t="s">
        <v>59</v>
      </c>
      <c r="C27" s="322">
        <f>IF('CALCULO DE INCERTIDUMBRES'!D75="","",'CALCULO DE INCERTIDUMBRES'!D75)</f>
        <v>9.6000000000000002E-2</v>
      </c>
      <c r="D27" s="322">
        <f>IF($C$24=$D$24,C27,CONVERSION!$E$31*C27)</f>
        <v>9.6000000000000002E-2</v>
      </c>
      <c r="E27" s="322">
        <f t="shared" si="4"/>
        <v>9.6000000000000002E-2</v>
      </c>
      <c r="G27" s="323">
        <f t="shared" si="3"/>
        <v>9.5903615533679543E-2</v>
      </c>
      <c r="T27" s="235"/>
      <c r="W27" s="518"/>
      <c r="X27" s="518"/>
    </row>
    <row r="28" spans="1:24" x14ac:dyDescent="0.3">
      <c r="A28">
        <f>IF('CALCULO DE INCERTIDUMBRES'!D106="","",'CALCULO DE INCERTIDUMBRES'!D106)</f>
        <v>0.14889999999999998</v>
      </c>
      <c r="B28" s="3" t="s">
        <v>60</v>
      </c>
      <c r="C28" s="30">
        <f>IF('CALCULO DE INCERTIDUMBRES'!D106="","",'CALCULO DE INCERTIDUMBRES'!D106)</f>
        <v>0.14889999999999998</v>
      </c>
      <c r="D28" s="30">
        <f>IF($C$24=$D$24,C28,CONVERSION!$E$31*C28)</f>
        <v>0.14889999999999998</v>
      </c>
      <c r="E28" s="30">
        <f t="shared" si="4"/>
        <v>0.14889999999999998</v>
      </c>
      <c r="G28" s="323">
        <f t="shared" si="3"/>
        <v>0.14881063853421925</v>
      </c>
      <c r="T28" s="235"/>
      <c r="X28" s="1"/>
    </row>
    <row r="29" spans="1:24" x14ac:dyDescent="0.3">
      <c r="A29">
        <f>IF('CALCULO DE INCERTIDUMBRES'!D137="","",'CALCULO DE INCERTIDUMBRES'!D137)</f>
        <v>0.19969999999999999</v>
      </c>
      <c r="B29" s="14" t="s">
        <v>61</v>
      </c>
      <c r="C29" s="322">
        <f>IF('CALCULO DE INCERTIDUMBRES'!D137="","",'CALCULO DE INCERTIDUMBRES'!D137)</f>
        <v>0.19969999999999999</v>
      </c>
      <c r="D29" s="322">
        <f>IF($C$24=$D$24,C29,CONVERSION!$E$31*C29)</f>
        <v>0.19969999999999999</v>
      </c>
      <c r="E29" s="322">
        <f t="shared" si="4"/>
        <v>0.19969999999999999</v>
      </c>
      <c r="G29" s="323">
        <f t="shared" si="3"/>
        <v>0.19961660320864152</v>
      </c>
      <c r="T29" s="235"/>
    </row>
    <row r="30" spans="1:24" x14ac:dyDescent="0.3">
      <c r="A30">
        <f>IF('CALCULO DE INCERTIDUMBRES'!D168="","",'CALCULO DE INCERTIDUMBRES'!D168)</f>
        <v>0.25090000000000001</v>
      </c>
      <c r="B30" s="3" t="s">
        <v>62</v>
      </c>
      <c r="C30" s="30">
        <f>IF('CALCULO DE INCERTIDUMBRES'!D168="","",'CALCULO DE INCERTIDUMBRES'!D168)</f>
        <v>0.25090000000000001</v>
      </c>
      <c r="D30" s="30">
        <f>IF($C$24=$D$24,C30,CONVERSION!$E$31*C30)</f>
        <v>0.25090000000000001</v>
      </c>
      <c r="E30" s="30">
        <f t="shared" si="4"/>
        <v>0.25090000000000001</v>
      </c>
      <c r="G30" s="323">
        <f t="shared" si="3"/>
        <v>0.25082149991936548</v>
      </c>
      <c r="T30" s="235"/>
    </row>
    <row r="31" spans="1:24" x14ac:dyDescent="0.3">
      <c r="A31">
        <f>IF('CALCULO DE INCERTIDUMBRES'!D199="","",'CALCULO DE INCERTIDUMBRES'!D199)</f>
        <v>0</v>
      </c>
      <c r="B31" s="14" t="s">
        <v>63</v>
      </c>
      <c r="C31" s="322">
        <f>IF('CALCULO DE INCERTIDUMBRES'!D199="","",'CALCULO DE INCERTIDUMBRES'!D199)</f>
        <v>0</v>
      </c>
      <c r="D31" s="322">
        <f>IF($C$24=$D$24,C31,CONVERSION!$E$31*C31)</f>
        <v>0</v>
      </c>
      <c r="E31" s="322">
        <f t="shared" si="4"/>
        <v>0</v>
      </c>
      <c r="G31" s="323">
        <f t="shared" si="3"/>
        <v>-1.1002844937034952E-4</v>
      </c>
      <c r="T31" s="235"/>
    </row>
    <row r="32" spans="1:24" x14ac:dyDescent="0.3">
      <c r="A32">
        <f>IF('CALCULO DE INCERTIDUMBRES'!D230="","",'CALCULO DE INCERTIDUMBRES'!D230)</f>
        <v>0</v>
      </c>
      <c r="B32" s="3" t="s">
        <v>64</v>
      </c>
      <c r="C32" s="30">
        <f>IF('CALCULO DE INCERTIDUMBRES'!D230="","",'CALCULO DE INCERTIDUMBRES'!D230)</f>
        <v>0</v>
      </c>
      <c r="D32" s="30">
        <f>IF($C$24=$D$24,C32,CONVERSION!$E$31*C32)</f>
        <v>0</v>
      </c>
      <c r="E32" s="30">
        <f t="shared" si="4"/>
        <v>0</v>
      </c>
      <c r="G32" s="323">
        <f t="shared" si="3"/>
        <v>-1.1002844937034952E-4</v>
      </c>
      <c r="T32" s="235"/>
    </row>
    <row r="33" spans="1:23" x14ac:dyDescent="0.3">
      <c r="A33">
        <f>IF('CALCULO DE INCERTIDUMBRES'!D261="","",'CALCULO DE INCERTIDUMBRES'!D261)</f>
        <v>0</v>
      </c>
      <c r="B33" s="14" t="s">
        <v>65</v>
      </c>
      <c r="C33" s="322">
        <f>IF('CALCULO DE INCERTIDUMBRES'!D261="","",'CALCULO DE INCERTIDUMBRES'!D261)</f>
        <v>0</v>
      </c>
      <c r="D33" s="322">
        <f>IF($C$24=$D$24,C33,CONVERSION!$E$31*C33)</f>
        <v>0</v>
      </c>
      <c r="E33" s="322">
        <f t="shared" si="4"/>
        <v>0</v>
      </c>
      <c r="G33" s="323">
        <f t="shared" si="3"/>
        <v>-1.1002844937034952E-4</v>
      </c>
      <c r="T33" s="235"/>
    </row>
    <row r="34" spans="1:23" x14ac:dyDescent="0.3">
      <c r="A34">
        <f>IF('CALCULO DE INCERTIDUMBRES'!D292="","",'CALCULO DE INCERTIDUMBRES'!D292)</f>
        <v>0</v>
      </c>
      <c r="B34" s="3" t="s">
        <v>85</v>
      </c>
      <c r="C34" s="30">
        <f>IF('CALCULO DE INCERTIDUMBRES'!D292="","",'CALCULO DE INCERTIDUMBRES'!D292)</f>
        <v>0</v>
      </c>
      <c r="D34" s="30">
        <f>IF($C$24=$D$24,C34,CONVERSION!$E$31*C34)</f>
        <v>0</v>
      </c>
      <c r="E34" s="30">
        <f t="shared" si="4"/>
        <v>0</v>
      </c>
      <c r="G34" s="323">
        <f t="shared" si="3"/>
        <v>-1.1002844937034952E-4</v>
      </c>
      <c r="T34" s="235"/>
    </row>
    <row r="35" spans="1:23" x14ac:dyDescent="0.3">
      <c r="A35">
        <f>IF('CALCULO DE INCERTIDUMBRES'!D323="","",'CALCULO DE INCERTIDUMBRES'!D323)</f>
        <v>0</v>
      </c>
      <c r="B35" s="14" t="s">
        <v>348</v>
      </c>
      <c r="C35" s="322">
        <f>IF('CALCULO DE INCERTIDUMBRES'!D323="","",'CALCULO DE INCERTIDUMBRES'!D323)</f>
        <v>0</v>
      </c>
      <c r="D35" s="322">
        <f>IF($C$24=$D$24,C35,CONVERSION!$E$31*C35)</f>
        <v>0</v>
      </c>
      <c r="E35" s="322">
        <f t="shared" si="4"/>
        <v>0</v>
      </c>
      <c r="G35" s="323">
        <f t="shared" si="3"/>
        <v>-1.1002844937034952E-4</v>
      </c>
      <c r="T35" s="235"/>
    </row>
    <row r="36" spans="1:23" x14ac:dyDescent="0.3">
      <c r="A36" t="str">
        <f>IF('CALCULO DE INCERTIDUMBRES'!D24="","",'CALCULO DE INCERTIDUMBRES'!D24)</f>
        <v/>
      </c>
      <c r="B36" s="3" t="s">
        <v>349</v>
      </c>
      <c r="C36" s="30"/>
      <c r="D36" s="30">
        <f>IF($C$24=$D$24,C36,CONVERSION!$E$31*C36)</f>
        <v>0</v>
      </c>
      <c r="E36" s="30">
        <f t="shared" si="4"/>
        <v>0</v>
      </c>
      <c r="G36" s="323" t="str">
        <f t="shared" si="3"/>
        <v/>
      </c>
      <c r="T36" s="235"/>
    </row>
    <row r="37" spans="1:23" x14ac:dyDescent="0.3">
      <c r="A37" t="str">
        <f>IF('CALCULO DE INCERTIDUMBRES'!D25="","",'CALCULO DE INCERTIDUMBRES'!D25)</f>
        <v/>
      </c>
      <c r="B37" s="14" t="s">
        <v>350</v>
      </c>
      <c r="C37" s="322"/>
      <c r="D37" s="322">
        <f>IF($C$24=$D$24,C37,CONVERSION!$E$31*C37)</f>
        <v>0</v>
      </c>
      <c r="E37" s="322">
        <f t="shared" si="4"/>
        <v>0</v>
      </c>
      <c r="G37" s="323" t="str">
        <f t="shared" si="3"/>
        <v/>
      </c>
      <c r="T37" s="235"/>
    </row>
    <row r="38" spans="1:23" x14ac:dyDescent="0.3">
      <c r="A38" t="str">
        <f>IF('CALCULO DE INCERTIDUMBRES'!D26="","",'CALCULO DE INCERTIDUMBRES'!D26)</f>
        <v/>
      </c>
      <c r="B38" s="3" t="s">
        <v>351</v>
      </c>
      <c r="C38" s="30"/>
      <c r="D38" s="30">
        <f>IF($C$24=$D$24,C38,CONVERSION!$E$31*C38)</f>
        <v>0</v>
      </c>
      <c r="E38" s="30">
        <f t="shared" si="4"/>
        <v>0</v>
      </c>
      <c r="G38" s="323" t="str">
        <f t="shared" si="3"/>
        <v/>
      </c>
      <c r="T38" s="235"/>
    </row>
    <row r="39" spans="1:23" x14ac:dyDescent="0.3">
      <c r="A39" t="str">
        <f>IF('CALCULO DE INCERTIDUMBRES'!D27="","",'CALCULO DE INCERTIDUMBRES'!D27)</f>
        <v/>
      </c>
      <c r="B39" s="14" t="s">
        <v>352</v>
      </c>
      <c r="C39" s="322"/>
      <c r="D39" s="322">
        <f>IF($C$24=$D$24,C39,CONVERSION!$E$31*C39)</f>
        <v>0</v>
      </c>
      <c r="E39" s="322">
        <f t="shared" si="4"/>
        <v>0</v>
      </c>
      <c r="G39" s="323" t="str">
        <f t="shared" si="3"/>
        <v/>
      </c>
    </row>
    <row r="40" spans="1:23" ht="31.5" customHeight="1" x14ac:dyDescent="0.3">
      <c r="G40" s="297" t="s">
        <v>353</v>
      </c>
      <c r="H40" s="301"/>
      <c r="I40" s="298"/>
      <c r="J40" s="297" t="s">
        <v>43</v>
      </c>
      <c r="K40" s="298"/>
      <c r="M40" s="290" t="str">
        <f>G40</f>
        <v>Valor interpolado de la indicacion del patron</v>
      </c>
      <c r="N40" s="303"/>
      <c r="O40" s="303"/>
      <c r="P40" s="291"/>
      <c r="Q40" s="292"/>
      <c r="R40" s="296" t="str">
        <f>J40</f>
        <v>Valor interpolado de incertidumbre patron</v>
      </c>
      <c r="U40" s="236"/>
    </row>
    <row r="41" spans="1:23" ht="36" customHeight="1" thickBot="1" x14ac:dyDescent="0.35">
      <c r="B41" s="15" t="s">
        <v>20</v>
      </c>
      <c r="C41" s="237" t="s">
        <v>21</v>
      </c>
      <c r="D41" s="238" t="s">
        <v>354</v>
      </c>
      <c r="E41" s="239" t="s">
        <v>355</v>
      </c>
      <c r="G41" s="299" t="s">
        <v>395</v>
      </c>
      <c r="H41" s="272" t="str">
        <f>CONCATENATE(C23," ",D24)</f>
        <v>Toma Datos IBC InH2O</v>
      </c>
      <c r="I41" s="300" t="s">
        <v>356</v>
      </c>
      <c r="J41" s="240" t="s">
        <v>357</v>
      </c>
      <c r="K41" s="241" t="str">
        <f>H41</f>
        <v>Toma Datos IBC InH2O</v>
      </c>
      <c r="M41" s="294" t="str">
        <f>G41</f>
        <v xml:space="preserve">Valor medido </v>
      </c>
      <c r="N41" s="294"/>
      <c r="O41" s="294"/>
      <c r="P41" s="293" t="str">
        <f>CONCATENATE(E23," ",E24)</f>
        <v>Unidades IBC InH2O</v>
      </c>
      <c r="Q41" s="295" t="str">
        <f>I41</f>
        <v>Correccion</v>
      </c>
      <c r="R41" s="293" t="str">
        <f>P41</f>
        <v>Unidades IBC InH2O</v>
      </c>
      <c r="T41" s="242">
        <f t="shared" ref="T41:T55" si="5">H42-I42</f>
        <v>4.4999999999999997E-3</v>
      </c>
      <c r="U41" s="132"/>
      <c r="V41" s="132"/>
      <c r="W41" s="47"/>
    </row>
    <row r="42" spans="1:23" ht="41.4" x14ac:dyDescent="0.3">
      <c r="B42" s="526"/>
      <c r="C42" s="23" t="s">
        <v>23</v>
      </c>
      <c r="D42" s="24">
        <f>IF(I81="",0,I81)</f>
        <v>-1.1002844937034952E-4</v>
      </c>
      <c r="E42" s="24">
        <f>IF(J81="",0,J81)</f>
        <v>4.9000012378348215E-4</v>
      </c>
      <c r="G42" s="225" t="s">
        <v>332</v>
      </c>
      <c r="H42" s="243">
        <f>$D$42+$D$43*D25+$D$44*D25^2+$D$45*D25^3+$D$46*D25^4+$D$47*D25^5+$D$48*D25^6+$D$49*D25^7+$D$50*D25^8+$D$51*D25^9+$D$52*D25^10+$D$53*D25^11+$D$54*D25^12+$D$55*D25^13+$D$56*D25^14+$D$57*D25^15</f>
        <v>4.3906123422819774E-3</v>
      </c>
      <c r="I42" s="244">
        <f>H42-D25</f>
        <v>-1.0938765771802226E-4</v>
      </c>
      <c r="J42" s="225" t="s">
        <v>358</v>
      </c>
      <c r="K42" s="302">
        <f>$E$42+$E$43*D25+$E$44*D25^2+$E$45*D25^3+$E$46*D25^4+$E$47*D25^5+$E$48*D25^6+$E$49*D25^7+$E$50*D25^8+$E$51*D25^9+$E$52*D25^10+$E$53*D25^11+$E$54*D25^12+$E$55*D25^13+$E$56*D25^14+$E$57*D25^15</f>
        <v>4.8999734598193108E-4</v>
      </c>
      <c r="M42" s="225" t="str">
        <f>G42</f>
        <v>Lectura Corregida Medicion patron punto 1</v>
      </c>
      <c r="N42" s="225"/>
      <c r="O42" s="225"/>
      <c r="P42" s="324">
        <f>IF($D$24=$E$24,H42,CONVERSION!$E$25*H42)</f>
        <v>4.3906123422819774E-3</v>
      </c>
      <c r="Q42" s="244">
        <f>P42-E25</f>
        <v>-1.0938765771802226E-4</v>
      </c>
      <c r="R42" s="339">
        <f>IF($D$24=$E$24,K42,CONVERSION!$E$25*K42)</f>
        <v>4.8999734598193108E-4</v>
      </c>
      <c r="T42" s="242">
        <f t="shared" si="5"/>
        <v>5.0799999999999998E-2</v>
      </c>
      <c r="U42" s="132"/>
      <c r="V42" s="132"/>
      <c r="W42" s="47"/>
    </row>
    <row r="43" spans="1:23" ht="41.4" x14ac:dyDescent="0.3">
      <c r="B43" s="527"/>
      <c r="C43" s="23" t="s">
        <v>22</v>
      </c>
      <c r="D43" s="24">
        <f t="shared" ref="D43:E53" si="6">IF(I82="",0,I82)</f>
        <v>1.0001422394589052</v>
      </c>
      <c r="E43" s="24">
        <f t="shared" si="6"/>
        <v>-6.1899016005074597E-7</v>
      </c>
      <c r="G43" s="225" t="s">
        <v>333</v>
      </c>
      <c r="H43" s="243">
        <f>$D$42+$D$43*D26+$D$44*D26^2+$D$45*D26^3+$D$46*D26^4+$D$47*D26^5+$D$48*D26^6+$D$49*D26^7+$D$50*D26^8+$D$51*D26^9+$D$52*D26^10+$D$53*D26^11+$D$54*D26^12+$D$55*D26^13+$D$56*D26^14+$D$57*D26^15</f>
        <v>5.0697241440159788E-2</v>
      </c>
      <c r="I43" s="244">
        <f t="shared" ref="I43:I56" si="7">H43-D26</f>
        <v>-1.0275855984021032E-4</v>
      </c>
      <c r="J43" s="225" t="s">
        <v>359</v>
      </c>
      <c r="K43" s="302">
        <f t="shared" ref="K43:K56" si="8">$E$42+$E$43*D26+$E$44*D26^2+$E$45*D26^3+$E$46*D26^4+$E$47*D26^5+$E$48*D26^6+$E$49*D26^7+$E$50*D26^8+$E$51*D26^9+$E$52*D26^10+$E$53*D26^11+$E$54*D26^12+$E$55*D26^13+$E$56*D26^14+$E$57*D26^15</f>
        <v>4.8997002643179398E-4</v>
      </c>
      <c r="M43" s="225" t="str">
        <f t="shared" ref="M43:M56" si="9">G43</f>
        <v>Lectura Corregida Medicion patron punto 2</v>
      </c>
      <c r="N43" s="225"/>
      <c r="O43" s="225"/>
      <c r="P43" s="324">
        <f>IF($D$24=$E$24,H43,CONVERSION!$E$25*H43)</f>
        <v>5.0697241440159788E-2</v>
      </c>
      <c r="Q43" s="244">
        <f t="shared" ref="Q43:Q56" si="10">P43-E26</f>
        <v>-1.0275855984021032E-4</v>
      </c>
      <c r="R43" s="339">
        <f>IF($D$24=$E$24,K43,CONVERSION!$E$25*K43)</f>
        <v>4.8997002643179398E-4</v>
      </c>
      <c r="T43" s="242">
        <f t="shared" si="5"/>
        <v>9.6000000000000002E-2</v>
      </c>
      <c r="U43" s="132"/>
      <c r="V43" s="132"/>
      <c r="W43" s="47"/>
    </row>
    <row r="44" spans="1:23" ht="41.4" x14ac:dyDescent="0.3">
      <c r="B44" s="527"/>
      <c r="C44" s="23" t="s">
        <v>24</v>
      </c>
      <c r="D44" s="24">
        <f t="shared" si="6"/>
        <v>3.6992885748536597E-5</v>
      </c>
      <c r="E44" s="24">
        <f t="shared" si="6"/>
        <v>3.6350687905547268E-7</v>
      </c>
      <c r="G44" s="225" t="s">
        <v>334</v>
      </c>
      <c r="H44" s="243">
        <f t="shared" ref="H44:H56" si="11">$D$42+$D$43*D27+$D$44*D27^2+$D$45*D27^3+$D$46*D27^4+$D$47*D27^5+$D$48*D27^6+$D$49*D27^7+$D$50*D27^8+$D$51*D27^9+$D$52*D27^10+$D$53*D27^11+$D$54*D27^12+$D$55*D27^13+$D$56*D27^14+$D$57*D27^15</f>
        <v>9.5903615533679543E-2</v>
      </c>
      <c r="I44" s="244">
        <f t="shared" si="7"/>
        <v>-9.6384466320459383E-5</v>
      </c>
      <c r="J44" s="225" t="s">
        <v>360</v>
      </c>
      <c r="K44" s="302">
        <f t="shared" si="8"/>
        <v>4.8994672024998249E-4</v>
      </c>
      <c r="M44" s="225" t="str">
        <f t="shared" si="9"/>
        <v>Lectura Corregida Medicion patron punto 3</v>
      </c>
      <c r="N44" s="225"/>
      <c r="O44" s="225"/>
      <c r="P44" s="324">
        <f>IF($D$24=$E$24,H44,CONVERSION!$E$25*H44)</f>
        <v>9.5903615533679543E-2</v>
      </c>
      <c r="Q44" s="244">
        <f t="shared" si="10"/>
        <v>-9.6384466320459383E-5</v>
      </c>
      <c r="R44" s="339">
        <f>IF($D$24=$E$24,K44,CONVERSION!$E$25*K44)</f>
        <v>4.8994672024998249E-4</v>
      </c>
      <c r="T44" s="242">
        <f t="shared" si="5"/>
        <v>0.14889999999999998</v>
      </c>
      <c r="U44" s="132"/>
      <c r="V44" s="132"/>
      <c r="W44" s="47"/>
    </row>
    <row r="45" spans="1:23" ht="41.4" x14ac:dyDescent="0.3">
      <c r="B45" s="527"/>
      <c r="C45" s="23" t="s">
        <v>25</v>
      </c>
      <c r="D45" s="24">
        <f t="shared" si="6"/>
        <v>-3.8352741592842521E-4</v>
      </c>
      <c r="E45" s="24">
        <f t="shared" si="6"/>
        <v>3.2256248439535258E-6</v>
      </c>
      <c r="G45" s="225" t="s">
        <v>335</v>
      </c>
      <c r="H45" s="243">
        <f t="shared" si="11"/>
        <v>0.14881063853421925</v>
      </c>
      <c r="I45" s="244">
        <f t="shared" si="7"/>
        <v>-8.9361465780729565E-5</v>
      </c>
      <c r="J45" s="225" t="s">
        <v>361</v>
      </c>
      <c r="K45" s="302">
        <f t="shared" si="8"/>
        <v>4.8992552796232988E-4</v>
      </c>
      <c r="M45" s="225" t="str">
        <f t="shared" si="9"/>
        <v>Lectura Corregida Medicion patron punto 4</v>
      </c>
      <c r="N45" s="225"/>
      <c r="O45" s="225"/>
      <c r="P45" s="324">
        <f>IF($D$24=$E$24,H45,CONVERSION!$E$25*H45)</f>
        <v>0.14881063853421925</v>
      </c>
      <c r="Q45" s="244">
        <f t="shared" si="10"/>
        <v>-8.9361465780729565E-5</v>
      </c>
      <c r="R45" s="339">
        <f>IF($D$24=$E$24,K45,CONVERSION!$E$25*K45)</f>
        <v>4.8992552796232988E-4</v>
      </c>
      <c r="T45" s="242">
        <f t="shared" si="5"/>
        <v>0.19969999999999999</v>
      </c>
      <c r="U45" s="132"/>
      <c r="V45" s="132"/>
      <c r="W45" s="47"/>
    </row>
    <row r="46" spans="1:23" ht="41.4" x14ac:dyDescent="0.3">
      <c r="B46" s="527"/>
      <c r="C46" s="23" t="s">
        <v>26</v>
      </c>
      <c r="D46" s="24">
        <f t="shared" si="6"/>
        <v>-1.7110820955287126E-4</v>
      </c>
      <c r="E46" s="24">
        <f t="shared" si="6"/>
        <v>-1.8884309399632028E-6</v>
      </c>
      <c r="G46" s="225" t="s">
        <v>336</v>
      </c>
      <c r="H46" s="243">
        <f t="shared" si="11"/>
        <v>0.19961660320864152</v>
      </c>
      <c r="I46" s="244">
        <f t="shared" si="7"/>
        <v>-8.3396791358464339E-5</v>
      </c>
      <c r="J46" s="225" t="s">
        <v>362</v>
      </c>
      <c r="K46" s="302">
        <f t="shared" si="8"/>
        <v>4.8991282232657446E-4</v>
      </c>
      <c r="M46" s="225" t="str">
        <f t="shared" si="9"/>
        <v>Lectura Corregida Medicion patron punto 5</v>
      </c>
      <c r="N46" s="225"/>
      <c r="O46" s="225"/>
      <c r="P46" s="324">
        <f>IF($D$24=$E$24,H46,CONVERSION!$E$25*H46)</f>
        <v>0.19961660320864152</v>
      </c>
      <c r="Q46" s="244">
        <f t="shared" si="10"/>
        <v>-8.3396791358464339E-5</v>
      </c>
      <c r="R46" s="339">
        <f>IF($D$24=$E$24,K46,CONVERSION!$E$25*K46)</f>
        <v>4.8991282232657446E-4</v>
      </c>
      <c r="T46" s="242">
        <f t="shared" si="5"/>
        <v>0.25090000000000001</v>
      </c>
      <c r="U46" s="132"/>
      <c r="V46" s="132"/>
      <c r="W46" s="47"/>
    </row>
    <row r="47" spans="1:23" ht="41.4" x14ac:dyDescent="0.3">
      <c r="B47" s="527"/>
      <c r="C47" s="23" t="s">
        <v>27</v>
      </c>
      <c r="D47" s="24">
        <f t="shared" si="6"/>
        <v>2.266494350802728E-4</v>
      </c>
      <c r="E47" s="24">
        <f t="shared" si="6"/>
        <v>-3.1177179374996901E-6</v>
      </c>
      <c r="G47" s="225" t="s">
        <v>337</v>
      </c>
      <c r="H47" s="243">
        <f t="shared" si="11"/>
        <v>0.25082149991936548</v>
      </c>
      <c r="I47" s="244">
        <f t="shared" si="7"/>
        <v>-7.8500080634535951E-5</v>
      </c>
      <c r="J47" s="225" t="s">
        <v>363</v>
      </c>
      <c r="K47" s="302">
        <f t="shared" si="8"/>
        <v>4.8990853765480485E-4</v>
      </c>
      <c r="M47" s="225" t="str">
        <f t="shared" si="9"/>
        <v>Lectura Corregida Medicion patron punto 6</v>
      </c>
      <c r="N47" s="225"/>
      <c r="O47" s="225"/>
      <c r="P47" s="324">
        <f>IF($D$24=$E$24,H47,CONVERSION!$E$25*H47)</f>
        <v>0.25082149991936548</v>
      </c>
      <c r="Q47" s="244">
        <f t="shared" si="10"/>
        <v>-7.8500080634535951E-5</v>
      </c>
      <c r="R47" s="339">
        <f>IF($D$24=$E$24,K47,CONVERSION!$E$25*K47)</f>
        <v>4.8990853765480485E-4</v>
      </c>
      <c r="T47" s="242">
        <f t="shared" si="5"/>
        <v>0</v>
      </c>
      <c r="U47" s="132"/>
      <c r="V47" s="132"/>
      <c r="W47" s="47"/>
    </row>
    <row r="48" spans="1:23" ht="41.4" x14ac:dyDescent="0.3">
      <c r="B48" s="527"/>
      <c r="C48" s="23" t="s">
        <v>325</v>
      </c>
      <c r="D48" s="24">
        <f t="shared" si="6"/>
        <v>9.8130192138910777E-5</v>
      </c>
      <c r="E48" s="24">
        <f t="shared" si="6"/>
        <v>1.7806927706487946E-6</v>
      </c>
      <c r="G48" s="225" t="s">
        <v>338</v>
      </c>
      <c r="H48" s="243">
        <f t="shared" si="11"/>
        <v>-1.1002844937034952E-4</v>
      </c>
      <c r="I48" s="244">
        <f t="shared" si="7"/>
        <v>-1.1002844937034952E-4</v>
      </c>
      <c r="J48" s="225" t="s">
        <v>364</v>
      </c>
      <c r="K48" s="302">
        <f t="shared" si="8"/>
        <v>4.9000012378348215E-4</v>
      </c>
      <c r="M48" s="225" t="str">
        <f t="shared" si="9"/>
        <v>Lectura Corregida Medicion patron punto 7</v>
      </c>
      <c r="N48" s="225"/>
      <c r="O48" s="225"/>
      <c r="P48" s="324">
        <f>IF($D$24=$E$24,H48,CONVERSION!$E$25*H48)</f>
        <v>-1.1002844937034952E-4</v>
      </c>
      <c r="Q48" s="244">
        <f t="shared" si="10"/>
        <v>-1.1002844937034952E-4</v>
      </c>
      <c r="R48" s="339">
        <f>IF($D$24=$E$24,K48,CONVERSION!$E$25*K48)</f>
        <v>4.9000012378348215E-4</v>
      </c>
      <c r="T48" s="242">
        <f t="shared" si="5"/>
        <v>0</v>
      </c>
      <c r="U48" s="132"/>
      <c r="V48" s="132"/>
      <c r="W48" s="47"/>
    </row>
    <row r="49" spans="2:23" ht="41.4" x14ac:dyDescent="0.3">
      <c r="B49" s="527"/>
      <c r="C49" s="23" t="s">
        <v>326</v>
      </c>
      <c r="D49" s="24">
        <f t="shared" si="6"/>
        <v>-3.5396758852026394E-5</v>
      </c>
      <c r="E49" s="24">
        <f t="shared" si="6"/>
        <v>5.0947982972903654E-7</v>
      </c>
      <c r="G49" s="225" t="s">
        <v>339</v>
      </c>
      <c r="H49" s="243">
        <f t="shared" si="11"/>
        <v>-1.1002844937034952E-4</v>
      </c>
      <c r="I49" s="244">
        <f t="shared" si="7"/>
        <v>-1.1002844937034952E-4</v>
      </c>
      <c r="J49" s="225" t="s">
        <v>365</v>
      </c>
      <c r="K49" s="302">
        <f t="shared" si="8"/>
        <v>4.9000012378348215E-4</v>
      </c>
      <c r="M49" s="225" t="str">
        <f t="shared" si="9"/>
        <v>Lectura Corregida Medicion patron punto 8</v>
      </c>
      <c r="N49" s="225"/>
      <c r="O49" s="225"/>
      <c r="P49" s="324">
        <f>IF($D$24=$E$24,H49,CONVERSION!$E$25*H49)</f>
        <v>-1.1002844937034952E-4</v>
      </c>
      <c r="Q49" s="244">
        <f t="shared" si="10"/>
        <v>-1.1002844937034952E-4</v>
      </c>
      <c r="R49" s="339">
        <f>IF($D$24=$E$24,K49,CONVERSION!$E$25*K49)</f>
        <v>4.9000012378348215E-4</v>
      </c>
      <c r="T49" s="242">
        <f t="shared" si="5"/>
        <v>0</v>
      </c>
      <c r="U49" s="132"/>
      <c r="V49" s="132"/>
      <c r="W49" s="47"/>
    </row>
    <row r="50" spans="2:23" ht="41.4" x14ac:dyDescent="0.3">
      <c r="B50" s="527"/>
      <c r="C50" s="23" t="s">
        <v>327</v>
      </c>
      <c r="D50" s="24">
        <f t="shared" si="6"/>
        <v>-1.4028209090207952E-5</v>
      </c>
      <c r="E50" s="24">
        <f t="shared" si="6"/>
        <v>-2.5463205925373889E-7</v>
      </c>
      <c r="G50" s="225" t="s">
        <v>340</v>
      </c>
      <c r="H50" s="243">
        <f t="shared" si="11"/>
        <v>-1.1002844937034952E-4</v>
      </c>
      <c r="I50" s="244">
        <f t="shared" si="7"/>
        <v>-1.1002844937034952E-4</v>
      </c>
      <c r="J50" s="225" t="s">
        <v>366</v>
      </c>
      <c r="K50" s="302">
        <f t="shared" si="8"/>
        <v>4.9000012378348215E-4</v>
      </c>
      <c r="M50" s="225" t="str">
        <f t="shared" si="9"/>
        <v>Lectura Corregida Medicion patron punto 9</v>
      </c>
      <c r="N50" s="225"/>
      <c r="O50" s="225"/>
      <c r="P50" s="324">
        <f>IF($D$24=$E$24,H50,CONVERSION!$E$25*H50)</f>
        <v>-1.1002844937034952E-4</v>
      </c>
      <c r="Q50" s="244">
        <f t="shared" si="10"/>
        <v>-1.1002844937034952E-4</v>
      </c>
      <c r="R50" s="339">
        <f>IF($D$24=$E$24,K50,CONVERSION!$E$25*K50)</f>
        <v>4.9000012378348215E-4</v>
      </c>
      <c r="T50" s="242">
        <f t="shared" si="5"/>
        <v>0</v>
      </c>
      <c r="U50" s="132"/>
      <c r="V50" s="132"/>
      <c r="W50" s="47"/>
    </row>
    <row r="51" spans="2:23" ht="41.4" x14ac:dyDescent="0.3">
      <c r="B51" s="527"/>
      <c r="C51" s="23" t="s">
        <v>328</v>
      </c>
      <c r="D51" s="24">
        <f t="shared" si="6"/>
        <v>0</v>
      </c>
      <c r="E51" s="24">
        <f t="shared" si="6"/>
        <v>0</v>
      </c>
      <c r="G51" s="225" t="s">
        <v>341</v>
      </c>
      <c r="H51" s="243">
        <f t="shared" si="11"/>
        <v>-1.1002844937034952E-4</v>
      </c>
      <c r="I51" s="244">
        <f t="shared" si="7"/>
        <v>-1.1002844937034952E-4</v>
      </c>
      <c r="J51" s="225" t="s">
        <v>367</v>
      </c>
      <c r="K51" s="302">
        <f t="shared" si="8"/>
        <v>4.9000012378348215E-4</v>
      </c>
      <c r="M51" s="225" t="str">
        <f t="shared" si="9"/>
        <v>Lectura Corregida Medicion patron punto 10</v>
      </c>
      <c r="N51" s="225"/>
      <c r="O51" s="225"/>
      <c r="P51" s="324">
        <f>IF($D$24=$E$24,H51,CONVERSION!$E$25*H51)</f>
        <v>-1.1002844937034952E-4</v>
      </c>
      <c r="Q51" s="244">
        <f t="shared" si="10"/>
        <v>-1.1002844937034952E-4</v>
      </c>
      <c r="R51" s="339">
        <f>IF($D$24=$E$24,K51,CONVERSION!$E$25*K51)</f>
        <v>4.9000012378348215E-4</v>
      </c>
      <c r="T51" s="242">
        <f t="shared" si="5"/>
        <v>0</v>
      </c>
      <c r="U51" s="132"/>
      <c r="V51" s="132"/>
    </row>
    <row r="52" spans="2:23" ht="41.4" x14ac:dyDescent="0.3">
      <c r="B52" s="527"/>
      <c r="C52" s="23" t="s">
        <v>329</v>
      </c>
      <c r="D52" s="24">
        <f t="shared" si="6"/>
        <v>0</v>
      </c>
      <c r="E52" s="24">
        <f t="shared" si="6"/>
        <v>0</v>
      </c>
      <c r="G52" s="225" t="s">
        <v>368</v>
      </c>
      <c r="H52" s="243">
        <f t="shared" si="11"/>
        <v>-1.1002844937034952E-4</v>
      </c>
      <c r="I52" s="244">
        <f t="shared" si="7"/>
        <v>-1.1002844937034952E-4</v>
      </c>
      <c r="J52" s="225" t="s">
        <v>369</v>
      </c>
      <c r="K52" s="302">
        <f t="shared" si="8"/>
        <v>4.9000012378348215E-4</v>
      </c>
      <c r="M52" s="225" t="str">
        <f t="shared" si="9"/>
        <v>Lectura Corregida Medicion patron punto 11</v>
      </c>
      <c r="N52" s="225"/>
      <c r="O52" s="225"/>
      <c r="P52" s="324">
        <f>IF($D$24=$E$24,H52,CONVERSION!$E$25*H52)</f>
        <v>-1.1002844937034952E-4</v>
      </c>
      <c r="Q52" s="244">
        <f t="shared" si="10"/>
        <v>-1.1002844937034952E-4</v>
      </c>
      <c r="R52" s="339">
        <f>IF($D$24=$E$24,K52,CONVERSION!$E$25*K52)</f>
        <v>4.9000012378348215E-4</v>
      </c>
      <c r="T52" s="242">
        <f t="shared" si="5"/>
        <v>0</v>
      </c>
      <c r="U52" s="132"/>
      <c r="V52" s="132"/>
    </row>
    <row r="53" spans="2:23" ht="31.5" customHeight="1" x14ac:dyDescent="0.3">
      <c r="B53" s="527"/>
      <c r="C53" s="23" t="s">
        <v>330</v>
      </c>
      <c r="D53" s="24">
        <f t="shared" si="6"/>
        <v>0</v>
      </c>
      <c r="E53" s="24">
        <f t="shared" si="6"/>
        <v>0</v>
      </c>
      <c r="G53" s="225" t="s">
        <v>370</v>
      </c>
      <c r="H53" s="243">
        <f t="shared" si="11"/>
        <v>-1.1002844937034952E-4</v>
      </c>
      <c r="I53" s="244">
        <f t="shared" si="7"/>
        <v>-1.1002844937034952E-4</v>
      </c>
      <c r="J53" s="225" t="s">
        <v>371</v>
      </c>
      <c r="K53" s="302">
        <f t="shared" si="8"/>
        <v>4.9000012378348215E-4</v>
      </c>
      <c r="M53" s="225" t="str">
        <f t="shared" si="9"/>
        <v>Lectura Corregida Medicion patron punto 12</v>
      </c>
      <c r="N53" s="225"/>
      <c r="O53" s="225"/>
      <c r="P53" s="324">
        <f>IF($D$24=$E$24,H53,CONVERSION!$E$25*H53)</f>
        <v>-1.1002844937034952E-4</v>
      </c>
      <c r="Q53" s="244">
        <f t="shared" si="10"/>
        <v>-1.1002844937034952E-4</v>
      </c>
      <c r="R53" s="339">
        <f>IF($D$24=$E$24,K53,CONVERSION!$E$25*K53)</f>
        <v>4.9000012378348215E-4</v>
      </c>
      <c r="T53" s="242">
        <f t="shared" si="5"/>
        <v>0</v>
      </c>
    </row>
    <row r="54" spans="2:23" ht="31.5" customHeight="1" x14ac:dyDescent="0.3">
      <c r="B54" s="527"/>
      <c r="C54" s="23" t="s">
        <v>331</v>
      </c>
      <c r="D54" s="24">
        <f>IF(I97="",0,I97)</f>
        <v>0</v>
      </c>
      <c r="E54" s="24">
        <f>IF(J97="",0,J97)</f>
        <v>0</v>
      </c>
      <c r="G54" s="225" t="s">
        <v>372</v>
      </c>
      <c r="H54" s="243">
        <f t="shared" si="11"/>
        <v>-1.1002844937034952E-4</v>
      </c>
      <c r="I54" s="244">
        <f t="shared" si="7"/>
        <v>-1.1002844937034952E-4</v>
      </c>
      <c r="J54" s="225" t="s">
        <v>373</v>
      </c>
      <c r="K54" s="302">
        <f t="shared" si="8"/>
        <v>4.9000012378348215E-4</v>
      </c>
      <c r="M54" s="225" t="str">
        <f t="shared" si="9"/>
        <v>Lectura Corregida Medicion patron punto 13</v>
      </c>
      <c r="N54" s="225"/>
      <c r="O54" s="225"/>
      <c r="P54" s="324">
        <f>IF($D$24=$E$24,H54,CONVERSION!$E$25*H54)</f>
        <v>-1.1002844937034952E-4</v>
      </c>
      <c r="Q54" s="244">
        <f t="shared" si="10"/>
        <v>-1.1002844937034952E-4</v>
      </c>
      <c r="R54" s="339">
        <f>IF($D$24=$E$24,K54,CONVERSION!$E$25*K54)</f>
        <v>4.9000012378348215E-4</v>
      </c>
      <c r="T54" s="242">
        <f t="shared" si="5"/>
        <v>0</v>
      </c>
    </row>
    <row r="55" spans="2:23" ht="36.75" customHeight="1" x14ac:dyDescent="0.3">
      <c r="B55" s="527"/>
      <c r="C55" s="23" t="s">
        <v>374</v>
      </c>
      <c r="D55" s="24"/>
      <c r="E55" s="224"/>
      <c r="G55" s="225" t="s">
        <v>375</v>
      </c>
      <c r="H55" s="243">
        <f t="shared" si="11"/>
        <v>-1.1002844937034952E-4</v>
      </c>
      <c r="I55" s="244">
        <f t="shared" si="7"/>
        <v>-1.1002844937034952E-4</v>
      </c>
      <c r="J55" s="225" t="s">
        <v>376</v>
      </c>
      <c r="K55" s="302">
        <f t="shared" si="8"/>
        <v>4.9000012378348215E-4</v>
      </c>
      <c r="M55" s="225" t="str">
        <f t="shared" si="9"/>
        <v>Lectura Corregida Medicion patron punto 14</v>
      </c>
      <c r="N55" s="225"/>
      <c r="O55" s="225"/>
      <c r="P55" s="324">
        <f>IF($D$24=$E$24,H55,CONVERSION!$E$25*H55)</f>
        <v>-1.1002844937034952E-4</v>
      </c>
      <c r="Q55" s="244">
        <f t="shared" si="10"/>
        <v>-1.1002844937034952E-4</v>
      </c>
      <c r="R55" s="339">
        <f>IF($D$24=$E$24,K55,CONVERSION!$E$25*K55)</f>
        <v>4.9000012378348215E-4</v>
      </c>
      <c r="T55" s="242">
        <f t="shared" si="5"/>
        <v>0</v>
      </c>
    </row>
    <row r="56" spans="2:23" s="55" customFormat="1" ht="40.5" customHeight="1" x14ac:dyDescent="0.3">
      <c r="B56" s="527"/>
      <c r="C56" s="23" t="s">
        <v>377</v>
      </c>
      <c r="D56" s="24"/>
      <c r="E56" s="224"/>
      <c r="G56" s="225" t="s">
        <v>378</v>
      </c>
      <c r="H56" s="243">
        <f t="shared" si="11"/>
        <v>-1.1002844937034952E-4</v>
      </c>
      <c r="I56" s="244">
        <f t="shared" si="7"/>
        <v>-1.1002844937034952E-4</v>
      </c>
      <c r="J56" s="225" t="s">
        <v>379</v>
      </c>
      <c r="K56" s="302">
        <f t="shared" si="8"/>
        <v>4.9000012378348215E-4</v>
      </c>
      <c r="M56" s="225" t="str">
        <f t="shared" si="9"/>
        <v>Lectura Corregida Medicion patron punto 15</v>
      </c>
      <c r="N56" s="225"/>
      <c r="O56" s="225"/>
      <c r="P56" s="324">
        <f>IF($D$24=$E$24,H56,CONVERSION!$E$25*H56)</f>
        <v>-1.1002844937034952E-4</v>
      </c>
      <c r="Q56" s="244">
        <f t="shared" si="10"/>
        <v>-1.1002844937034952E-4</v>
      </c>
      <c r="R56" s="339">
        <f>IF($D$24=$E$24,K56,CONVERSION!$E$25*K56)</f>
        <v>4.9000012378348215E-4</v>
      </c>
    </row>
    <row r="57" spans="2:23" s="55" customFormat="1" ht="39" customHeight="1" x14ac:dyDescent="0.3">
      <c r="B57" s="527"/>
      <c r="C57" s="23" t="s">
        <v>380</v>
      </c>
      <c r="D57" s="24"/>
      <c r="E57" s="224"/>
    </row>
    <row r="60" spans="2:23" x14ac:dyDescent="0.3">
      <c r="C60" s="9" t="s">
        <v>381</v>
      </c>
      <c r="D60" s="9"/>
    </row>
    <row r="61" spans="2:23" x14ac:dyDescent="0.3">
      <c r="K61" t="str">
        <f>H41</f>
        <v>Toma Datos IBC InH2O</v>
      </c>
      <c r="M61" t="str">
        <f>P41</f>
        <v>Unidades IBC InH2O</v>
      </c>
    </row>
    <row r="62" spans="2:23" ht="28.8" x14ac:dyDescent="0.3">
      <c r="C62" s="22" t="str">
        <f>B7</f>
        <v>Presion indicacion</v>
      </c>
      <c r="D62" s="22" t="str">
        <f>C7</f>
        <v>Presion Standar</v>
      </c>
      <c r="E62" s="13" t="s">
        <v>382</v>
      </c>
      <c r="F62" s="22" t="s">
        <v>28</v>
      </c>
      <c r="G62" s="13" t="s">
        <v>29</v>
      </c>
      <c r="H62" s="13" t="s">
        <v>383</v>
      </c>
      <c r="I62" s="13" t="s">
        <v>30</v>
      </c>
      <c r="J62" s="13"/>
      <c r="K62" s="14"/>
      <c r="L62" s="288"/>
      <c r="M62" s="14"/>
      <c r="N62" s="9"/>
      <c r="O62" s="9"/>
    </row>
    <row r="63" spans="2:23" x14ac:dyDescent="0.3">
      <c r="B63">
        <f t="shared" ref="B63:B74" si="12">A8</f>
        <v>1</v>
      </c>
      <c r="C63" s="128">
        <f t="shared" ref="C63:D74" si="13">IF(B8="","",B8)</f>
        <v>-1.9992000000000001</v>
      </c>
      <c r="D63" s="223">
        <f t="shared" si="13"/>
        <v>-1.99915</v>
      </c>
      <c r="E63" s="245">
        <f t="shared" ref="E63:E74" si="14">IF(C63="","",$D$42+$D$43*B8+$D$44*B8^2+$D$45*B8^3+$D$46*B8^4+$D$47*B8^5+$D$48*B8^6+$D$49*B8^7+$D$50*B8^8+$D$51*B8^9+$D$52*B8^10+$D$53*B8^11+$D$54*B8^12+$D$55*B8^13+$D$56*B8^14+$D$57*B8^15)</f>
        <v>-1.9991500000000275</v>
      </c>
      <c r="F63" s="129">
        <f>IF(C63="","",D63-E63)</f>
        <v>2.7533531010703882E-14</v>
      </c>
      <c r="G63" s="2">
        <f>IF(C63="","",POWER(F63,2))</f>
        <v>7.5809532991739235E-28</v>
      </c>
      <c r="H63" s="528">
        <f>SUM(G63:G74)</f>
        <v>1.2829443082970386E-27</v>
      </c>
      <c r="I63" s="531">
        <f>(COUNT(C63:C74)-1)</f>
        <v>8</v>
      </c>
      <c r="J63" s="526">
        <f>SQRT(H63/I63)</f>
        <v>1.2663650284855858E-14</v>
      </c>
      <c r="K63" s="526">
        <f>J63/SQRT(COUNT(C63:C74)-1)</f>
        <v>4.477276495498265E-15</v>
      </c>
      <c r="M63" s="513">
        <f>IF($D$24=$E$24,K63,CONVERSION!$E$25*K63)</f>
        <v>4.477276495498265E-15</v>
      </c>
      <c r="N63" s="132"/>
      <c r="O63" s="132"/>
    </row>
    <row r="64" spans="2:23" x14ac:dyDescent="0.3">
      <c r="B64">
        <f t="shared" si="12"/>
        <v>2</v>
      </c>
      <c r="C64" s="128">
        <f t="shared" si="13"/>
        <v>-1.4993000000000001</v>
      </c>
      <c r="D64" s="223">
        <f t="shared" si="13"/>
        <v>-1.4994700000000001</v>
      </c>
      <c r="E64" s="245">
        <f t="shared" si="14"/>
        <v>-1.4994700000000156</v>
      </c>
      <c r="F64" s="129">
        <f t="shared" ref="F64:F74" si="15">IF(C64="","",D64-E64)</f>
        <v>1.5543122344752192E-14</v>
      </c>
      <c r="G64" s="2">
        <f t="shared" ref="G64:G74" si="16">IF(C64="","",POWER(F64,2))</f>
        <v>2.4158865222393487E-28</v>
      </c>
      <c r="H64" s="529"/>
      <c r="I64" s="532"/>
      <c r="J64" s="527"/>
      <c r="K64" s="527"/>
      <c r="M64" s="513"/>
      <c r="N64" s="132"/>
      <c r="O64" s="132"/>
    </row>
    <row r="65" spans="2:25" x14ac:dyDescent="0.3">
      <c r="B65">
        <f t="shared" si="12"/>
        <v>3</v>
      </c>
      <c r="C65" s="128">
        <f t="shared" si="13"/>
        <v>-0.99939999999999996</v>
      </c>
      <c r="D65" s="223">
        <f t="shared" si="13"/>
        <v>-0.99951000000000001</v>
      </c>
      <c r="E65" s="245">
        <f t="shared" si="14"/>
        <v>-0.999510000000008</v>
      </c>
      <c r="F65" s="129">
        <f t="shared" si="15"/>
        <v>7.9936057773011271E-15</v>
      </c>
      <c r="G65" s="2">
        <f t="shared" si="16"/>
        <v>6.3897733322901956E-29</v>
      </c>
      <c r="H65" s="529"/>
      <c r="I65" s="532"/>
      <c r="J65" s="527"/>
      <c r="K65" s="527"/>
      <c r="M65" s="513"/>
      <c r="N65" s="132"/>
      <c r="O65" s="132"/>
    </row>
    <row r="66" spans="2:25" x14ac:dyDescent="0.3">
      <c r="B66">
        <f t="shared" si="12"/>
        <v>4</v>
      </c>
      <c r="C66" s="128">
        <f t="shared" si="13"/>
        <v>-0.49959999999999999</v>
      </c>
      <c r="D66" s="223">
        <f t="shared" si="13"/>
        <v>-0.49974000000000002</v>
      </c>
      <c r="E66" s="245">
        <f t="shared" si="14"/>
        <v>-0.49974000000000235</v>
      </c>
      <c r="F66" s="129">
        <f t="shared" si="15"/>
        <v>2.3314683517128287E-15</v>
      </c>
      <c r="G66" s="2">
        <f t="shared" si="16"/>
        <v>5.4357446750385345E-30</v>
      </c>
      <c r="H66" s="529"/>
      <c r="I66" s="532"/>
      <c r="J66" s="527"/>
      <c r="K66" s="527"/>
      <c r="M66" s="513"/>
      <c r="N66" s="132"/>
      <c r="O66" s="132"/>
    </row>
    <row r="67" spans="2:25" x14ac:dyDescent="0.3">
      <c r="B67">
        <f t="shared" si="12"/>
        <v>5</v>
      </c>
      <c r="C67" s="128">
        <f t="shared" si="13"/>
        <v>2.0000000000000001E-4</v>
      </c>
      <c r="D67" s="223">
        <f t="shared" si="13"/>
        <v>9.0000000000000006E-5</v>
      </c>
      <c r="E67" s="245">
        <f t="shared" si="14"/>
        <v>8.9999999998078461E-5</v>
      </c>
      <c r="F67" s="129">
        <f t="shared" si="15"/>
        <v>1.9215450628232156E-15</v>
      </c>
      <c r="G67" s="2">
        <f t="shared" si="16"/>
        <v>3.6923354284602755E-30</v>
      </c>
      <c r="H67" s="529"/>
      <c r="I67" s="532"/>
      <c r="J67" s="527"/>
      <c r="K67" s="527"/>
      <c r="M67" s="513"/>
      <c r="N67" s="132"/>
      <c r="O67" s="132"/>
    </row>
    <row r="68" spans="2:25" x14ac:dyDescent="0.3">
      <c r="B68">
        <f t="shared" si="12"/>
        <v>6</v>
      </c>
      <c r="C68" s="128">
        <f t="shared" si="13"/>
        <v>0.49990000000000001</v>
      </c>
      <c r="D68" s="223">
        <f t="shared" si="13"/>
        <v>0.49981999999999999</v>
      </c>
      <c r="E68" s="245">
        <f t="shared" si="14"/>
        <v>0.49981999999999382</v>
      </c>
      <c r="F68" s="129">
        <f t="shared" si="15"/>
        <v>6.1617377866696188E-15</v>
      </c>
      <c r="G68" s="2">
        <f t="shared" si="16"/>
        <v>3.7967012551672213E-29</v>
      </c>
      <c r="H68" s="529"/>
      <c r="I68" s="532"/>
      <c r="J68" s="527"/>
      <c r="K68" s="527"/>
      <c r="M68" s="513"/>
      <c r="N68" s="132"/>
      <c r="O68" s="132"/>
    </row>
    <row r="69" spans="2:25" x14ac:dyDescent="0.3">
      <c r="B69">
        <f t="shared" si="12"/>
        <v>7</v>
      </c>
      <c r="C69" s="128">
        <f t="shared" si="13"/>
        <v>0.99970000000000003</v>
      </c>
      <c r="D69" s="223">
        <f t="shared" si="13"/>
        <v>0.99948999999999999</v>
      </c>
      <c r="E69" s="245">
        <f t="shared" si="14"/>
        <v>0.99948999999998978</v>
      </c>
      <c r="F69" s="129">
        <f t="shared" si="15"/>
        <v>1.021405182655144E-14</v>
      </c>
      <c r="G69" s="2">
        <f t="shared" si="16"/>
        <v>1.0432685471547881E-28</v>
      </c>
      <c r="H69" s="529"/>
      <c r="I69" s="532"/>
      <c r="J69" s="527"/>
      <c r="K69" s="527"/>
      <c r="M69" s="513"/>
      <c r="N69" s="132"/>
      <c r="O69" s="132"/>
    </row>
    <row r="70" spans="2:25" x14ac:dyDescent="0.3">
      <c r="B70">
        <f t="shared" si="12"/>
        <v>8</v>
      </c>
      <c r="C70" s="128">
        <f t="shared" si="13"/>
        <v>1.4994000000000001</v>
      </c>
      <c r="D70" s="223">
        <f t="shared" si="13"/>
        <v>1.4993000000000001</v>
      </c>
      <c r="E70" s="245">
        <f t="shared" si="14"/>
        <v>1.4992999999999919</v>
      </c>
      <c r="F70" s="129">
        <f t="shared" si="15"/>
        <v>8.2156503822261584E-15</v>
      </c>
      <c r="G70" s="2">
        <f t="shared" si="16"/>
        <v>6.7496911202972823E-29</v>
      </c>
      <c r="H70" s="529"/>
      <c r="I70" s="532"/>
      <c r="J70" s="527"/>
      <c r="K70" s="527"/>
      <c r="M70" s="513"/>
      <c r="N70" s="132"/>
      <c r="O70" s="132"/>
    </row>
    <row r="71" spans="2:25" x14ac:dyDescent="0.3">
      <c r="B71">
        <f t="shared" si="12"/>
        <v>9</v>
      </c>
      <c r="C71" s="128">
        <f t="shared" si="13"/>
        <v>1.9992000000000001</v>
      </c>
      <c r="D71" s="223">
        <f t="shared" si="13"/>
        <v>1.9991300000000001</v>
      </c>
      <c r="E71" s="245">
        <f t="shared" si="14"/>
        <v>1.9991300000000007</v>
      </c>
      <c r="F71" s="129">
        <f t="shared" si="15"/>
        <v>-6.6613381477509392E-16</v>
      </c>
      <c r="G71" s="2">
        <f t="shared" si="16"/>
        <v>4.4373425918681914E-31</v>
      </c>
      <c r="H71" s="529"/>
      <c r="I71" s="532"/>
      <c r="J71" s="527"/>
      <c r="K71" s="527"/>
      <c r="M71" s="513"/>
      <c r="N71" s="132"/>
      <c r="O71" s="132"/>
    </row>
    <row r="72" spans="2:25" x14ac:dyDescent="0.3">
      <c r="B72">
        <f t="shared" si="12"/>
        <v>10</v>
      </c>
      <c r="C72" s="128" t="str">
        <f t="shared" si="13"/>
        <v/>
      </c>
      <c r="D72" s="223" t="str">
        <f t="shared" si="13"/>
        <v/>
      </c>
      <c r="E72" s="245" t="str">
        <f t="shared" si="14"/>
        <v/>
      </c>
      <c r="F72" s="129" t="str">
        <f t="shared" si="15"/>
        <v/>
      </c>
      <c r="G72" s="2" t="str">
        <f t="shared" si="16"/>
        <v/>
      </c>
      <c r="H72" s="529"/>
      <c r="I72" s="532"/>
      <c r="J72" s="527"/>
      <c r="K72" s="527"/>
      <c r="M72" s="513"/>
      <c r="N72" s="132"/>
      <c r="O72" s="132"/>
    </row>
    <row r="73" spans="2:25" x14ac:dyDescent="0.3">
      <c r="B73">
        <f t="shared" si="12"/>
        <v>11</v>
      </c>
      <c r="C73" s="128" t="str">
        <f t="shared" si="13"/>
        <v/>
      </c>
      <c r="D73" s="223" t="str">
        <f t="shared" si="13"/>
        <v/>
      </c>
      <c r="E73" s="245" t="str">
        <f t="shared" si="14"/>
        <v/>
      </c>
      <c r="F73" s="129" t="str">
        <f t="shared" si="15"/>
        <v/>
      </c>
      <c r="G73" s="2" t="str">
        <f t="shared" si="16"/>
        <v/>
      </c>
      <c r="H73" s="529"/>
      <c r="I73" s="532"/>
      <c r="J73" s="527"/>
      <c r="K73" s="527"/>
      <c r="M73" s="513"/>
      <c r="N73" s="132"/>
      <c r="O73" s="132"/>
    </row>
    <row r="74" spans="2:25" x14ac:dyDescent="0.3">
      <c r="B74">
        <f t="shared" si="12"/>
        <v>12</v>
      </c>
      <c r="C74" s="128" t="str">
        <f t="shared" si="13"/>
        <v/>
      </c>
      <c r="D74" s="223" t="str">
        <f t="shared" si="13"/>
        <v/>
      </c>
      <c r="E74" s="245" t="str">
        <f t="shared" si="14"/>
        <v/>
      </c>
      <c r="F74" s="129" t="str">
        <f t="shared" si="15"/>
        <v/>
      </c>
      <c r="G74" s="2" t="str">
        <f t="shared" si="16"/>
        <v/>
      </c>
      <c r="H74" s="530"/>
      <c r="I74" s="533"/>
      <c r="J74" s="534"/>
      <c r="K74" s="534"/>
      <c r="L74" s="289"/>
      <c r="M74" s="513"/>
      <c r="N74" s="132"/>
      <c r="O74" s="132"/>
    </row>
    <row r="76" spans="2:25" ht="15" thickBot="1" x14ac:dyDescent="0.35"/>
    <row r="77" spans="2:25" x14ac:dyDescent="0.3">
      <c r="B77" s="519" t="s">
        <v>384</v>
      </c>
      <c r="C77" s="520"/>
      <c r="D77" s="520"/>
      <c r="E77" s="520"/>
      <c r="F77" s="520"/>
      <c r="G77" s="521"/>
      <c r="H77" s="273" t="s">
        <v>21</v>
      </c>
      <c r="I77" s="274"/>
      <c r="J77" s="274"/>
      <c r="K77" s="283"/>
      <c r="L77" s="220" t="s">
        <v>396</v>
      </c>
      <c r="M77" s="288"/>
      <c r="N77" s="288"/>
      <c r="O77" s="288"/>
      <c r="P77" s="288"/>
      <c r="Q77" s="288"/>
      <c r="R77" s="288"/>
      <c r="S77" s="288"/>
      <c r="T77" s="288"/>
      <c r="U77" s="288"/>
      <c r="V77" s="288"/>
      <c r="W77" s="305"/>
    </row>
    <row r="78" spans="2:25" x14ac:dyDescent="0.3">
      <c r="B78" s="246" t="s">
        <v>143</v>
      </c>
      <c r="C78" s="247" t="str">
        <f>IF($B$80=$B$99,G98,IF($B$80=$B$112,G111,IF($B$80=$B$125,G124,IF($B$80=$B$138,G137,IF($B$80=$B$151,G150,IF($B$80=$B$164,G163,IF($B$80=$B$181,G180)))))))</f>
        <v>InH2O</v>
      </c>
      <c r="D78" s="248"/>
      <c r="E78" s="249" t="s">
        <v>385</v>
      </c>
      <c r="F78" s="247" t="str">
        <f>IF($B$80=$B$99,G98,IF($B$80=$B$112,G111,IF($B$80=$B$125,G124,IF($B$80=$B$138,G137,IF($B$80=$B$151,G150,IF($B$80=$B$164,G163,IF($B$80=$B$181,G180,"")))))))</f>
        <v>InH2O</v>
      </c>
      <c r="G78" s="250"/>
      <c r="H78" s="246" t="s">
        <v>143</v>
      </c>
      <c r="I78" s="247"/>
      <c r="J78" s="248"/>
      <c r="K78" s="284"/>
      <c r="L78" s="284"/>
      <c r="P78" s="2" t="s">
        <v>622</v>
      </c>
      <c r="Q78" s="2" t="s">
        <v>623</v>
      </c>
      <c r="R78" s="1"/>
      <c r="S78" s="1"/>
      <c r="T78" s="1"/>
      <c r="W78" s="306"/>
    </row>
    <row r="79" spans="2:25" x14ac:dyDescent="0.3">
      <c r="B79" s="251"/>
      <c r="C79" s="248"/>
      <c r="D79" s="248"/>
      <c r="E79" s="248"/>
      <c r="F79" s="248"/>
      <c r="G79" s="250"/>
      <c r="H79" s="251"/>
      <c r="I79" s="248"/>
      <c r="J79" s="248"/>
      <c r="K79" s="284"/>
      <c r="L79" s="284"/>
      <c r="P79" s="349">
        <f>YEAR(VLOOKUP(B80,TRAZABILIDAD!A3:T20,5,FALSE))</f>
        <v>2025</v>
      </c>
      <c r="Q79" s="349">
        <f>YEAR(VLOOKUP(B80,TRAZABILIDAD!A3:T20,19,FALSE))</f>
        <v>2024</v>
      </c>
      <c r="R79" s="346">
        <v>2021</v>
      </c>
      <c r="S79" s="2">
        <v>2023</v>
      </c>
      <c r="T79" s="2">
        <v>2024</v>
      </c>
      <c r="U79" s="2">
        <v>2025</v>
      </c>
      <c r="V79" s="2">
        <v>2026</v>
      </c>
      <c r="W79" s="2">
        <v>2027</v>
      </c>
      <c r="X79" s="2">
        <v>2028</v>
      </c>
      <c r="Y79" s="2">
        <v>2029</v>
      </c>
    </row>
    <row r="80" spans="2:25" x14ac:dyDescent="0.3">
      <c r="B80" s="252" t="str">
        <f>'TOMA DE DATOS'!F42</f>
        <v>TEC-LAB-PDI-01</v>
      </c>
      <c r="C80" s="253" t="s">
        <v>386</v>
      </c>
      <c r="D80" s="253" t="s">
        <v>387</v>
      </c>
      <c r="E80" s="253" t="s">
        <v>388</v>
      </c>
      <c r="F80" s="253" t="s">
        <v>389</v>
      </c>
      <c r="G80" s="254"/>
      <c r="H80" s="252" t="str">
        <f>B80</f>
        <v>TEC-LAB-PDI-01</v>
      </c>
      <c r="I80" s="255" t="s">
        <v>354</v>
      </c>
      <c r="J80" s="237" t="s">
        <v>355</v>
      </c>
      <c r="K80" s="229"/>
      <c r="L80" s="284"/>
      <c r="M80" s="54" t="str">
        <f>H41</f>
        <v>Toma Datos IBC InH2O</v>
      </c>
      <c r="N80" s="304" t="str">
        <f>P41</f>
        <v>Unidades IBC InH2O</v>
      </c>
      <c r="O80" s="38"/>
      <c r="P80" s="2"/>
      <c r="Q80" s="2"/>
      <c r="R80" s="2"/>
      <c r="S80" s="2"/>
      <c r="T80" s="2"/>
      <c r="U80" s="3"/>
      <c r="V80" s="3"/>
      <c r="W80" s="3"/>
      <c r="X80" s="3"/>
      <c r="Y80" s="3"/>
    </row>
    <row r="81" spans="1:25" x14ac:dyDescent="0.3">
      <c r="A81" t="str">
        <f>B99</f>
        <v>TEC-LAB-PI-01</v>
      </c>
      <c r="B81" s="256">
        <v>1</v>
      </c>
      <c r="C81" s="312">
        <f>IF(IF($B$80=$B$99,C99,
IF($B$80=$B$112,C112,
IF($B$80=$B$125,C125,
IF($B$80=$B$138,C138,
IF($B$80=$B$151,C151,
IF($B$80=$B$164,C164,
IF($B$80=$B$181,C181
)))))))="","",
IF($B$80=$B$99,C99,
IF($B$80=$B$112,C112,
IF($B$80=$B$125,C125,
IF($B$80=$B$138,C138,
IF($B$80=$B$151,C151,
IF($B$80=$B$164,C164,
IF($B$80=$B$181,C181
))))))))</f>
        <v>-1.9992000000000001</v>
      </c>
      <c r="D81" s="312">
        <f>IF(IF($B$80=$B$99,D99,IF($B$80=$B$112,D112,IF($B$80=$B$125,D125,IF($B$80=$B$138,D138,IF($B$80=$B$151,D151,IF($B$80=$B$164,D164,IF($B$80=$B$181,D181)))))))="","",IF($B$80=$B$99,D99,IF($B$80=$B$112,D112,IF($B$80=$B$125,D125,IF($B$80=$B$138,D138,IF($B$80=$B$151,D151,IF($B$80=$B$164,D164,IF($B$80=$B$181,D181))))))))</f>
        <v>-1.99915</v>
      </c>
      <c r="E81" s="312">
        <f>IF(IF($B$80=$B$99,E99,IF($B$80=$B$112,E112,IF($B$80=$B$125,E125,IF($B$80=$B$138,E138,IF($B$80=$B$151,E151,IF($B$80=$B$164,E164,IF($B$80=$B$181,E181)))))))="","",IF($B$80=$B$99,E99,IF($B$80=$B$112,E112,IF($B$80=$B$125,E125,IF($B$80=$B$138,E138,IF($B$80=$B$151,E151,IF($B$80=$B$164,E164,IF($B$80=$B$181,E181))))))))</f>
        <v>-1E-4</v>
      </c>
      <c r="F81" s="312">
        <f>IF(IF($B$80=$B$99,F99,IF($B$80=$B$112,F112,IF($B$80=$B$125,F125,IF($B$80=$B$138,F138,IF($B$80=$B$151,F151,IF($B$80=$B$164,F164,IF($B$80=$B$181,F181)))))))="","",IF($B$80=$B$99,F99,IF($B$80=$B$112,F112,IF($B$80=$B$125,F125,IF($B$80=$B$138,F138,IF($B$80=$B$151,F151,IF($B$80=$B$164,F164,IF($B$80=$B$181,F181))))))))</f>
        <v>5.1999999999999995E-4</v>
      </c>
      <c r="G81" s="257"/>
      <c r="H81" s="256">
        <f>B81</f>
        <v>1</v>
      </c>
      <c r="I81" s="313">
        <f>IF(IF($B$80=$B$99,I99,IF($B$80=$B$112,I112,IF($B$80=$B$125,I125,IF($B$80=$B$138,I138,IF($B$80=$B$151,I151,IF($B$80=$B$164,I164,IF($B$80=$B$181,I181)))))))="","",IF($B$80=$B$99,I99,IF($B$80=$B$112,I112,IF($B$80=$B$125,I125,IF($B$80=$B$138,I138,IF($B$80=$B$151,I151,IF($B$80=$B$164,I164,IF($B$80=$B$181,I181))))))))</f>
        <v>-1.1002844937034952E-4</v>
      </c>
      <c r="J81" s="314">
        <f>IF(IF($B$80=$B$99,J99,IF($B$80=$B$112,J112,IF($B$80=$B$125,J125,IF($B$80=$B$138,J138,IF($B$80=$B$151,J151,IF($B$80=$B$164,J164,IF($B$80=$B$181,J181)))))))="","",IF($B$80=$B$99,J99,IF($B$80=$B$112,J112,IF($B$80=$B$125,J125,IF($B$80=$B$138,J138,IF($B$80=$B$151,J151,IF($B$80=$B$164,J164,IF($B$80=$B$181,J181))))))))</f>
        <v>4.9000012378348215E-4</v>
      </c>
      <c r="K81" s="285"/>
      <c r="L81" s="284"/>
      <c r="M81" s="30">
        <f>IF(P81="","",P81-Q81)</f>
        <v>0</v>
      </c>
      <c r="N81" s="350">
        <f>IF(P81="","",IF($D$24=$E$24,M81,CONVERSION!$E$25*M81))</f>
        <v>0</v>
      </c>
      <c r="O81" s="1">
        <f>IF(P81="","",ABS(N81))</f>
        <v>0</v>
      </c>
      <c r="P81" s="30" t="b">
        <f>IF(P$79=$R$79,R81,IF(P$79=$S$79,S81,IF(P$79=$T$79,T81,IF(P$79=$U$79,U81,IF(P$79=$V$79,V81,IF(P$79=$W$79,W81))))))</f>
        <v>0</v>
      </c>
      <c r="Q81" s="30" t="b">
        <f>IF(Q$79=$R$79,R81,IF(Q$79=$S$79,S81,IF(Q$79=$T$79,T81,IF(Q$79=$U$79,U81,IF(Q$79=$V$79,V81,IF(Q$79=$W$79,W81))))))</f>
        <v>0</v>
      </c>
      <c r="R81" s="311" t="b">
        <f t="shared" ref="R81:W91" si="17">IF(IF($B$80=$B$99,R99,IF($B$80=$B$112,R112,IF($B$80=$B$125,R125,IF($B$80=$B$138,R138,IF($B$80=$B$151,R151,IF($B$80=$B$164,R164))))))="","",IF($B$80=$B$99,R99,IF($B$80=$B$112,R112,IF($B$80=$B$125,R125,IF($B$80=$B$138,R138,IF($B$80=$B$151,R151,IF($B$80=$B$164,R164)))))))</f>
        <v>0</v>
      </c>
      <c r="S81" s="311" t="b">
        <f t="shared" si="17"/>
        <v>0</v>
      </c>
      <c r="T81" s="348" t="b">
        <f t="shared" si="17"/>
        <v>0</v>
      </c>
      <c r="U81" s="311" t="b">
        <f t="shared" si="17"/>
        <v>0</v>
      </c>
      <c r="V81" s="311" t="b">
        <f t="shared" si="17"/>
        <v>0</v>
      </c>
      <c r="W81" s="311" t="b">
        <f t="shared" si="17"/>
        <v>0</v>
      </c>
      <c r="X81" s="311" t="b">
        <f t="shared" ref="X81:Y81" si="18">IF(IF($B$80=$B$99,X99,IF($B$80=$B$112,X112,IF($B$80=$B$125,X125,IF($B$80=$B$138,X138,IF($B$80=$B$151,X151,IF($B$80=$B$164,X164))))))="","",IF($B$80=$B$99,X99,IF($B$80=$B$112,X112,IF($B$80=$B$125,X125,IF($B$80=$B$138,X138,IF($B$80=$B$151,X151,IF($B$80=$B$164,X164)))))))</f>
        <v>0</v>
      </c>
      <c r="Y81" s="311" t="b">
        <f t="shared" si="18"/>
        <v>0</v>
      </c>
    </row>
    <row r="82" spans="1:25" x14ac:dyDescent="0.3">
      <c r="A82" t="str">
        <f>B112</f>
        <v>TEC-LAB-PDI-03</v>
      </c>
      <c r="B82" s="256">
        <v>2</v>
      </c>
      <c r="C82" s="312">
        <f t="shared" ref="C82:C91" si="19">IF(IF($B$80=$B$99,C100,
IF($B$80=$B$112,C113,
IF($B$80=$B$125,C126,
IF($B$80=$B$138,C139,
IF($B$80=$B$151,C152,
IF($B$80=$B$164,C165,
IF($B$80=$B$181,C182
)))))))="","",
IF($B$80=$B$99,C100,
IF($B$80=$B$112,C113,
IF($B$80=$B$125,C126,
IF($B$80=$B$138,C139,
IF($B$80=$B$151,C152,
IF($B$80=$B$164,C165,
IF($B$80=$B$181,C182
))))))))</f>
        <v>-1.4993000000000001</v>
      </c>
      <c r="D82" s="312">
        <f t="shared" ref="D82:F91" si="20">IF(IF($B$80=$B$99,D100,IF($B$80=$B$112,D113,IF($B$80=$B$125,D126,IF($B$80=$B$138,D139,IF($B$80=$B$151,D152,IF($B$80=$B$164,D165,IF($B$80=$B$181,D182)))))))="","",IF($B$80=$B$99,D100,IF($B$80=$B$112,D113,IF($B$80=$B$125,D126,IF($B$80=$B$138,D139,IF($B$80=$B$151,D152,IF($B$80=$B$164,D165,IF($B$80=$B$181,D182))))))))</f>
        <v>-1.4994700000000001</v>
      </c>
      <c r="E82" s="312">
        <f t="shared" si="20"/>
        <v>2.0000000000000001E-4</v>
      </c>
      <c r="F82" s="312">
        <f t="shared" si="20"/>
        <v>5.0000000000000001E-4</v>
      </c>
      <c r="G82" s="257"/>
      <c r="H82" s="256">
        <f t="shared" ref="H82:H91" si="21">B82</f>
        <v>2</v>
      </c>
      <c r="I82" s="313">
        <f t="shared" ref="I82:J91" si="22">IF(IF($B$80=$B$99,I100,IF($B$80=$B$112,I113,IF($B$80=$B$125,I126,IF($B$80=$B$138,I139,IF($B$80=$B$151,I152,IF($B$80=$B$164,I165,IF($B$80=$B$181,I182)))))))="","",IF($B$80=$B$99,I100,IF($B$80=$B$112,I113,IF($B$80=$B$125,I126,IF($B$80=$B$138,I139,IF($B$80=$B$151,I152,IF($B$80=$B$164,I165,IF($B$80=$B$181,I182))))))))</f>
        <v>1.0001422394589052</v>
      </c>
      <c r="J82" s="314">
        <f t="shared" si="22"/>
        <v>-6.1899016005074597E-7</v>
      </c>
      <c r="K82" s="285"/>
      <c r="L82" s="284"/>
      <c r="M82" s="30">
        <f t="shared" ref="M82:M91" si="23">IF(P82="","",P82-Q82)</f>
        <v>0</v>
      </c>
      <c r="N82" s="350">
        <f>IF(P82="","",IF($D$24=$E$24,M82,CONVERSION!$E$25*M82))</f>
        <v>0</v>
      </c>
      <c r="O82" s="1">
        <f t="shared" ref="O82:O91" si="24">IF(P82="","",ABS(N82))</f>
        <v>0</v>
      </c>
      <c r="P82" s="30" t="b">
        <f t="shared" ref="P82:P91" si="25">IF($P$79=$R$79,R82,IF($P$79=$S$79,S82,IF($P$79=$T$79,T82,IF($P$79=$U$79,U82,IF($P$79=$V$79,V82,IF($P$79=$W$79,W82))))))</f>
        <v>0</v>
      </c>
      <c r="Q82" s="30" t="b">
        <f t="shared" ref="Q82:Q91" si="26">IF(Q$79=$R$79,R82,IF(Q$79=$S$79,S82,IF(Q$79=$T$79,T82,IF(Q$79=$U$79,U82,IF(Q$79=$V$79,V82,IF(Q$79=$W$79,W82))))))</f>
        <v>0</v>
      </c>
      <c r="R82" s="311" t="b">
        <f t="shared" si="17"/>
        <v>0</v>
      </c>
      <c r="S82" s="311" t="b">
        <f t="shared" si="17"/>
        <v>0</v>
      </c>
      <c r="T82" s="348" t="b">
        <f t="shared" si="17"/>
        <v>0</v>
      </c>
      <c r="U82" s="311" t="b">
        <f t="shared" si="17"/>
        <v>0</v>
      </c>
      <c r="V82" s="311" t="b">
        <f t="shared" si="17"/>
        <v>0</v>
      </c>
      <c r="W82" s="311" t="b">
        <f t="shared" si="17"/>
        <v>0</v>
      </c>
      <c r="X82" s="311" t="b">
        <f t="shared" ref="X82:Y82" si="27">IF(IF($B$80=$B$99,X100,IF($B$80=$B$112,X113,IF($B$80=$B$125,X126,IF($B$80=$B$138,X139,IF($B$80=$B$151,X152,IF($B$80=$B$164,X165))))))="","",IF($B$80=$B$99,X100,IF($B$80=$B$112,X113,IF($B$80=$B$125,X126,IF($B$80=$B$138,X139,IF($B$80=$B$151,X152,IF($B$80=$B$164,X165)))))))</f>
        <v>0</v>
      </c>
      <c r="Y82" s="311" t="b">
        <f t="shared" si="27"/>
        <v>0</v>
      </c>
    </row>
    <row r="83" spans="1:25" x14ac:dyDescent="0.3">
      <c r="A83" t="str">
        <f>B125</f>
        <v>TEC-LAB-PDI-02</v>
      </c>
      <c r="B83" s="256">
        <v>3</v>
      </c>
      <c r="C83" s="312">
        <f t="shared" si="19"/>
        <v>-0.99939999999999996</v>
      </c>
      <c r="D83" s="312">
        <f t="shared" si="20"/>
        <v>-0.99951000000000001</v>
      </c>
      <c r="E83" s="312">
        <f t="shared" si="20"/>
        <v>2.0000000000000001E-4</v>
      </c>
      <c r="F83" s="312">
        <f t="shared" si="20"/>
        <v>4.8999999999999998E-4</v>
      </c>
      <c r="G83" s="257"/>
      <c r="H83" s="256">
        <f t="shared" si="21"/>
        <v>3</v>
      </c>
      <c r="I83" s="313">
        <f t="shared" si="22"/>
        <v>3.6992885748536597E-5</v>
      </c>
      <c r="J83" s="314">
        <f t="shared" si="22"/>
        <v>3.6350687905547268E-7</v>
      </c>
      <c r="K83" s="285"/>
      <c r="L83" s="284"/>
      <c r="M83" s="30">
        <f t="shared" si="23"/>
        <v>0</v>
      </c>
      <c r="N83" s="350">
        <f>IF(P83="","",IF($D$24=$E$24,M83,CONVERSION!$E$25*M83))</f>
        <v>0</v>
      </c>
      <c r="O83" s="1">
        <f t="shared" si="24"/>
        <v>0</v>
      </c>
      <c r="P83" s="30" t="b">
        <f t="shared" si="25"/>
        <v>0</v>
      </c>
      <c r="Q83" s="30" t="b">
        <f t="shared" si="26"/>
        <v>0</v>
      </c>
      <c r="R83" s="311" t="b">
        <f t="shared" si="17"/>
        <v>0</v>
      </c>
      <c r="S83" s="311" t="b">
        <f t="shared" si="17"/>
        <v>0</v>
      </c>
      <c r="T83" s="348" t="b">
        <f t="shared" si="17"/>
        <v>0</v>
      </c>
      <c r="U83" s="311" t="b">
        <f t="shared" si="17"/>
        <v>0</v>
      </c>
      <c r="V83" s="311" t="b">
        <f t="shared" si="17"/>
        <v>0</v>
      </c>
      <c r="W83" s="311" t="b">
        <f t="shared" si="17"/>
        <v>0</v>
      </c>
      <c r="X83" s="311" t="b">
        <f t="shared" ref="X83:Y83" si="28">IF(IF($B$80=$B$99,X101,IF($B$80=$B$112,X114,IF($B$80=$B$125,X127,IF($B$80=$B$138,X140,IF($B$80=$B$151,X153,IF($B$80=$B$164,X166))))))="","",IF($B$80=$B$99,X101,IF($B$80=$B$112,X114,IF($B$80=$B$125,X127,IF($B$80=$B$138,X140,IF($B$80=$B$151,X153,IF($B$80=$B$164,X166)))))))</f>
        <v>0</v>
      </c>
      <c r="Y83" s="311" t="b">
        <f t="shared" si="28"/>
        <v>0</v>
      </c>
    </row>
    <row r="84" spans="1:25" x14ac:dyDescent="0.3">
      <c r="A84" t="str">
        <f>B138</f>
        <v>TEC-LAB-PS-03-</v>
      </c>
      <c r="B84" s="256">
        <v>4</v>
      </c>
      <c r="C84" s="312">
        <f t="shared" si="19"/>
        <v>-0.49959999999999999</v>
      </c>
      <c r="D84" s="312">
        <f t="shared" si="20"/>
        <v>-0.49974000000000002</v>
      </c>
      <c r="E84" s="312">
        <f t="shared" si="20"/>
        <v>2.0000000000000001E-4</v>
      </c>
      <c r="F84" s="312">
        <f t="shared" si="20"/>
        <v>4.8999999999999998E-4</v>
      </c>
      <c r="G84" s="257"/>
      <c r="H84" s="256">
        <f t="shared" si="21"/>
        <v>4</v>
      </c>
      <c r="I84" s="313">
        <f t="shared" si="22"/>
        <v>-3.8352741592842521E-4</v>
      </c>
      <c r="J84" s="314">
        <f t="shared" si="22"/>
        <v>3.2256248439535258E-6</v>
      </c>
      <c r="K84" s="285"/>
      <c r="L84" s="284"/>
      <c r="M84" s="30">
        <f t="shared" si="23"/>
        <v>0</v>
      </c>
      <c r="N84" s="350">
        <f>IF(P84="","",IF($D$24=$E$24,M84,CONVERSION!$E$25*M84))</f>
        <v>0</v>
      </c>
      <c r="O84" s="1">
        <f t="shared" si="24"/>
        <v>0</v>
      </c>
      <c r="P84" s="30" t="b">
        <f t="shared" si="25"/>
        <v>0</v>
      </c>
      <c r="Q84" s="30" t="b">
        <f t="shared" si="26"/>
        <v>0</v>
      </c>
      <c r="R84" s="311" t="b">
        <f t="shared" si="17"/>
        <v>0</v>
      </c>
      <c r="S84" s="311" t="b">
        <f t="shared" si="17"/>
        <v>0</v>
      </c>
      <c r="T84" s="348" t="b">
        <f t="shared" si="17"/>
        <v>0</v>
      </c>
      <c r="U84" s="311" t="b">
        <f t="shared" si="17"/>
        <v>0</v>
      </c>
      <c r="V84" s="311" t="b">
        <f t="shared" si="17"/>
        <v>0</v>
      </c>
      <c r="W84" s="311" t="b">
        <f t="shared" si="17"/>
        <v>0</v>
      </c>
      <c r="X84" s="311" t="b">
        <f t="shared" ref="X84:Y84" si="29">IF(IF($B$80=$B$99,X102,IF($B$80=$B$112,X115,IF($B$80=$B$125,X128,IF($B$80=$B$138,X141,IF($B$80=$B$151,X154,IF($B$80=$B$164,X167))))))="","",IF($B$80=$B$99,X102,IF($B$80=$B$112,X115,IF($B$80=$B$125,X128,IF($B$80=$B$138,X141,IF($B$80=$B$151,X154,IF($B$80=$B$164,X167)))))))</f>
        <v>0</v>
      </c>
      <c r="Y84" s="311" t="b">
        <f t="shared" si="29"/>
        <v>0</v>
      </c>
    </row>
    <row r="85" spans="1:25" x14ac:dyDescent="0.3">
      <c r="A85" t="str">
        <f>B151</f>
        <v>TEC-LAB-PS-03+</v>
      </c>
      <c r="B85" s="256">
        <v>5</v>
      </c>
      <c r="C85" s="312">
        <f t="shared" si="19"/>
        <v>2.0000000000000001E-4</v>
      </c>
      <c r="D85" s="312">
        <f t="shared" si="20"/>
        <v>9.0000000000000006E-5</v>
      </c>
      <c r="E85" s="312">
        <f t="shared" si="20"/>
        <v>1E-4</v>
      </c>
      <c r="F85" s="312">
        <f t="shared" si="20"/>
        <v>4.8999999999999998E-4</v>
      </c>
      <c r="G85" s="257"/>
      <c r="H85" s="256">
        <f t="shared" si="21"/>
        <v>5</v>
      </c>
      <c r="I85" s="313">
        <f t="shared" si="22"/>
        <v>-1.7110820955287126E-4</v>
      </c>
      <c r="J85" s="314">
        <f t="shared" si="22"/>
        <v>-1.8884309399632028E-6</v>
      </c>
      <c r="K85" s="285"/>
      <c r="L85" s="284"/>
      <c r="M85" s="30">
        <f t="shared" si="23"/>
        <v>0</v>
      </c>
      <c r="N85" s="350">
        <f>IF(P85="","",IF($D$24=$E$24,M85,CONVERSION!$E$25*M85))</f>
        <v>0</v>
      </c>
      <c r="O85" s="1">
        <f t="shared" si="24"/>
        <v>0</v>
      </c>
      <c r="P85" s="30" t="b">
        <f t="shared" si="25"/>
        <v>0</v>
      </c>
      <c r="Q85" s="30" t="b">
        <f t="shared" si="26"/>
        <v>0</v>
      </c>
      <c r="R85" s="311" t="b">
        <f t="shared" si="17"/>
        <v>0</v>
      </c>
      <c r="S85" s="311" t="b">
        <f t="shared" si="17"/>
        <v>0</v>
      </c>
      <c r="T85" s="348" t="b">
        <f t="shared" si="17"/>
        <v>0</v>
      </c>
      <c r="U85" s="311" t="b">
        <f t="shared" si="17"/>
        <v>0</v>
      </c>
      <c r="V85" s="311" t="b">
        <f t="shared" si="17"/>
        <v>0</v>
      </c>
      <c r="W85" s="311" t="b">
        <f t="shared" si="17"/>
        <v>0</v>
      </c>
      <c r="X85" s="311" t="b">
        <f t="shared" ref="X85:Y85" si="30">IF(IF($B$80=$B$99,X103,IF($B$80=$B$112,X116,IF($B$80=$B$125,X129,IF($B$80=$B$138,X142,IF($B$80=$B$151,X155,IF($B$80=$B$164,X168))))))="","",IF($B$80=$B$99,X103,IF($B$80=$B$112,X116,IF($B$80=$B$125,X129,IF($B$80=$B$138,X142,IF($B$80=$B$151,X155,IF($B$80=$B$164,X168)))))))</f>
        <v>0</v>
      </c>
      <c r="Y85" s="311" t="b">
        <f t="shared" si="30"/>
        <v>0</v>
      </c>
    </row>
    <row r="86" spans="1:25" x14ac:dyDescent="0.3">
      <c r="A86" t="str">
        <f>B164</f>
        <v>TEC-LAB-PS-10</v>
      </c>
      <c r="B86" s="256">
        <v>6</v>
      </c>
      <c r="C86" s="312">
        <f t="shared" si="19"/>
        <v>0.49990000000000001</v>
      </c>
      <c r="D86" s="312">
        <f t="shared" si="20"/>
        <v>0.49981999999999999</v>
      </c>
      <c r="E86" s="312">
        <f t="shared" si="20"/>
        <v>1E-4</v>
      </c>
      <c r="F86" s="312">
        <f t="shared" si="20"/>
        <v>4.8999999999999998E-4</v>
      </c>
      <c r="G86" s="258"/>
      <c r="H86" s="256">
        <f t="shared" si="21"/>
        <v>6</v>
      </c>
      <c r="I86" s="313">
        <f t="shared" si="22"/>
        <v>2.266494350802728E-4</v>
      </c>
      <c r="J86" s="314">
        <f t="shared" si="22"/>
        <v>-3.1177179374996901E-6</v>
      </c>
      <c r="K86" s="285"/>
      <c r="L86" s="284"/>
      <c r="M86" s="30">
        <f t="shared" si="23"/>
        <v>0</v>
      </c>
      <c r="N86" s="350">
        <f>IF(P86="","",IF($D$24=$E$24,M86,CONVERSION!$E$25*M86))</f>
        <v>0</v>
      </c>
      <c r="O86" s="1">
        <f t="shared" si="24"/>
        <v>0</v>
      </c>
      <c r="P86" s="30" t="b">
        <f t="shared" si="25"/>
        <v>0</v>
      </c>
      <c r="Q86" s="30" t="b">
        <f t="shared" si="26"/>
        <v>0</v>
      </c>
      <c r="R86" s="311" t="b">
        <f t="shared" si="17"/>
        <v>0</v>
      </c>
      <c r="S86" s="311" t="b">
        <f t="shared" si="17"/>
        <v>0</v>
      </c>
      <c r="T86" s="348" t="b">
        <f t="shared" si="17"/>
        <v>0</v>
      </c>
      <c r="U86" s="311" t="b">
        <f t="shared" si="17"/>
        <v>0</v>
      </c>
      <c r="V86" s="311" t="b">
        <f t="shared" si="17"/>
        <v>0</v>
      </c>
      <c r="W86" s="311" t="b">
        <f t="shared" si="17"/>
        <v>0</v>
      </c>
      <c r="X86" s="311" t="b">
        <f t="shared" ref="X86:Y86" si="31">IF(IF($B$80=$B$99,X104,IF($B$80=$B$112,X117,IF($B$80=$B$125,X130,IF($B$80=$B$138,X143,IF($B$80=$B$151,X156,IF($B$80=$B$164,X169))))))="","",IF($B$80=$B$99,X104,IF($B$80=$B$112,X117,IF($B$80=$B$125,X130,IF($B$80=$B$138,X143,IF($B$80=$B$151,X156,IF($B$80=$B$164,X169)))))))</f>
        <v>0</v>
      </c>
      <c r="Y86" s="311" t="b">
        <f t="shared" si="31"/>
        <v>0</v>
      </c>
    </row>
    <row r="87" spans="1:25" x14ac:dyDescent="0.3">
      <c r="B87" s="256">
        <v>7</v>
      </c>
      <c r="C87" s="312">
        <f t="shared" si="19"/>
        <v>0.99970000000000003</v>
      </c>
      <c r="D87" s="312">
        <f t="shared" si="20"/>
        <v>0.99948999999999999</v>
      </c>
      <c r="E87" s="312">
        <f t="shared" si="20"/>
        <v>2.9999999999999997E-4</v>
      </c>
      <c r="F87" s="312">
        <f t="shared" si="20"/>
        <v>4.8999999999999998E-4</v>
      </c>
      <c r="G87" s="250"/>
      <c r="H87" s="256">
        <f t="shared" si="21"/>
        <v>7</v>
      </c>
      <c r="I87" s="313">
        <f t="shared" si="22"/>
        <v>9.8130192138910777E-5</v>
      </c>
      <c r="J87" s="314">
        <f t="shared" si="22"/>
        <v>1.7806927706487946E-6</v>
      </c>
      <c r="K87" s="285"/>
      <c r="L87" s="284"/>
      <c r="M87" s="30">
        <f t="shared" si="23"/>
        <v>0</v>
      </c>
      <c r="N87" s="350">
        <f>IF(P87="","",IF($D$24=$E$24,M87,CONVERSION!$E$25*M87))</f>
        <v>0</v>
      </c>
      <c r="O87" s="1">
        <f t="shared" si="24"/>
        <v>0</v>
      </c>
      <c r="P87" s="30" t="b">
        <f t="shared" si="25"/>
        <v>0</v>
      </c>
      <c r="Q87" s="30" t="b">
        <f t="shared" si="26"/>
        <v>0</v>
      </c>
      <c r="R87" s="311" t="b">
        <f t="shared" si="17"/>
        <v>0</v>
      </c>
      <c r="S87" s="311" t="b">
        <f t="shared" si="17"/>
        <v>0</v>
      </c>
      <c r="T87" s="348" t="b">
        <f t="shared" si="17"/>
        <v>0</v>
      </c>
      <c r="U87" s="311" t="b">
        <f t="shared" si="17"/>
        <v>0</v>
      </c>
      <c r="V87" s="311" t="b">
        <f t="shared" si="17"/>
        <v>0</v>
      </c>
      <c r="W87" s="311" t="b">
        <f t="shared" si="17"/>
        <v>0</v>
      </c>
      <c r="X87" s="311" t="b">
        <f t="shared" ref="X87:Y87" si="32">IF(IF($B$80=$B$99,X105,IF($B$80=$B$112,X118,IF($B$80=$B$125,X131,IF($B$80=$B$138,X144,IF($B$80=$B$151,X157,IF($B$80=$B$164,X170))))))="","",IF($B$80=$B$99,X105,IF($B$80=$B$112,X118,IF($B$80=$B$125,X131,IF($B$80=$B$138,X144,IF($B$80=$B$151,X157,IF($B$80=$B$164,X170)))))))</f>
        <v>0</v>
      </c>
      <c r="Y87" s="311" t="b">
        <f t="shared" si="32"/>
        <v>0</v>
      </c>
    </row>
    <row r="88" spans="1:25" x14ac:dyDescent="0.3">
      <c r="B88" s="256">
        <v>8</v>
      </c>
      <c r="C88" s="312">
        <f t="shared" si="19"/>
        <v>1.4994000000000001</v>
      </c>
      <c r="D88" s="312">
        <f t="shared" si="20"/>
        <v>1.4993000000000001</v>
      </c>
      <c r="E88" s="312">
        <f t="shared" si="20"/>
        <v>1E-4</v>
      </c>
      <c r="F88" s="312">
        <f t="shared" si="20"/>
        <v>4.8999999999999998E-4</v>
      </c>
      <c r="G88" s="250"/>
      <c r="H88" s="256">
        <f t="shared" si="21"/>
        <v>8</v>
      </c>
      <c r="I88" s="313">
        <f t="shared" si="22"/>
        <v>-3.5396758852026394E-5</v>
      </c>
      <c r="J88" s="314">
        <f t="shared" si="22"/>
        <v>5.0947982972903654E-7</v>
      </c>
      <c r="K88" s="285"/>
      <c r="L88" s="284"/>
      <c r="M88" s="30">
        <f t="shared" si="23"/>
        <v>0</v>
      </c>
      <c r="N88" s="350">
        <f>IF(P88="","",IF($D$24=$E$24,M88,CONVERSION!$E$25*M88))</f>
        <v>0</v>
      </c>
      <c r="O88" s="1">
        <f t="shared" si="24"/>
        <v>0</v>
      </c>
      <c r="P88" s="30" t="b">
        <f t="shared" si="25"/>
        <v>0</v>
      </c>
      <c r="Q88" s="30" t="b">
        <f t="shared" si="26"/>
        <v>0</v>
      </c>
      <c r="R88" s="311" t="b">
        <f t="shared" si="17"/>
        <v>0</v>
      </c>
      <c r="S88" s="311" t="b">
        <f t="shared" si="17"/>
        <v>0</v>
      </c>
      <c r="T88" s="348" t="b">
        <f t="shared" si="17"/>
        <v>0</v>
      </c>
      <c r="U88" s="311" t="b">
        <f t="shared" si="17"/>
        <v>0</v>
      </c>
      <c r="V88" s="311" t="b">
        <f t="shared" si="17"/>
        <v>0</v>
      </c>
      <c r="W88" s="311" t="b">
        <f t="shared" si="17"/>
        <v>0</v>
      </c>
      <c r="X88" s="311" t="b">
        <f t="shared" ref="X88:Y88" si="33">IF(IF($B$80=$B$99,X106,IF($B$80=$B$112,X119,IF($B$80=$B$125,X132,IF($B$80=$B$138,X145,IF($B$80=$B$151,X158,IF($B$80=$B$164,X171))))))="","",IF($B$80=$B$99,X106,IF($B$80=$B$112,X119,IF($B$80=$B$125,X132,IF($B$80=$B$138,X145,IF($B$80=$B$151,X158,IF($B$80=$B$164,X171)))))))</f>
        <v>0</v>
      </c>
      <c r="Y88" s="311" t="b">
        <f t="shared" si="33"/>
        <v>0</v>
      </c>
    </row>
    <row r="89" spans="1:25" x14ac:dyDescent="0.3">
      <c r="B89" s="256">
        <v>9</v>
      </c>
      <c r="C89" s="312">
        <f t="shared" si="19"/>
        <v>1.9992000000000001</v>
      </c>
      <c r="D89" s="312">
        <f t="shared" si="20"/>
        <v>1.9991300000000001</v>
      </c>
      <c r="E89" s="312">
        <f t="shared" si="20"/>
        <v>0</v>
      </c>
      <c r="F89" s="312">
        <f t="shared" si="20"/>
        <v>5.0000000000000001E-4</v>
      </c>
      <c r="G89" s="250"/>
      <c r="H89" s="256">
        <f t="shared" si="21"/>
        <v>9</v>
      </c>
      <c r="I89" s="313">
        <f t="shared" si="22"/>
        <v>-1.4028209090207952E-5</v>
      </c>
      <c r="J89" s="314">
        <f t="shared" si="22"/>
        <v>-2.5463205925373889E-7</v>
      </c>
      <c r="K89" s="285"/>
      <c r="L89" s="284"/>
      <c r="M89" s="30">
        <f t="shared" si="23"/>
        <v>0</v>
      </c>
      <c r="N89" s="350">
        <f>IF(P89="","",IF($D$24=$E$24,M89,CONVERSION!$E$25*M89))</f>
        <v>0</v>
      </c>
      <c r="O89" s="1">
        <f t="shared" si="24"/>
        <v>0</v>
      </c>
      <c r="P89" s="30" t="b">
        <f t="shared" si="25"/>
        <v>0</v>
      </c>
      <c r="Q89" s="30" t="b">
        <f t="shared" si="26"/>
        <v>0</v>
      </c>
      <c r="R89" s="311" t="b">
        <f t="shared" si="17"/>
        <v>0</v>
      </c>
      <c r="S89" s="311" t="b">
        <f t="shared" si="17"/>
        <v>0</v>
      </c>
      <c r="T89" s="348" t="b">
        <f t="shared" si="17"/>
        <v>0</v>
      </c>
      <c r="U89" s="311" t="b">
        <f t="shared" si="17"/>
        <v>0</v>
      </c>
      <c r="V89" s="311" t="b">
        <f t="shared" si="17"/>
        <v>0</v>
      </c>
      <c r="W89" s="311" t="b">
        <f t="shared" si="17"/>
        <v>0</v>
      </c>
      <c r="X89" s="311" t="b">
        <f t="shared" ref="X89:Y89" si="34">IF(IF($B$80=$B$99,X107,IF($B$80=$B$112,X120,IF($B$80=$B$125,X133,IF($B$80=$B$138,X146,IF($B$80=$B$151,X159,IF($B$80=$B$164,X172))))))="","",IF($B$80=$B$99,X107,IF($B$80=$B$112,X120,IF($B$80=$B$125,X133,IF($B$80=$B$138,X146,IF($B$80=$B$151,X159,IF($B$80=$B$164,X172)))))))</f>
        <v>0</v>
      </c>
      <c r="Y89" s="311" t="b">
        <f t="shared" si="34"/>
        <v>0</v>
      </c>
    </row>
    <row r="90" spans="1:25" x14ac:dyDescent="0.3">
      <c r="B90" s="256">
        <v>10</v>
      </c>
      <c r="C90" s="312" t="str">
        <f t="shared" si="19"/>
        <v/>
      </c>
      <c r="D90" s="312" t="str">
        <f t="shared" si="20"/>
        <v/>
      </c>
      <c r="E90" s="312" t="str">
        <f t="shared" si="20"/>
        <v/>
      </c>
      <c r="F90" s="312" t="str">
        <f t="shared" si="20"/>
        <v/>
      </c>
      <c r="G90" s="250"/>
      <c r="H90" s="256">
        <f t="shared" si="21"/>
        <v>10</v>
      </c>
      <c r="I90" s="313" t="str">
        <f t="shared" si="22"/>
        <v/>
      </c>
      <c r="J90" s="314" t="str">
        <f t="shared" si="22"/>
        <v/>
      </c>
      <c r="K90" s="285"/>
      <c r="L90" s="284"/>
      <c r="M90" s="30">
        <f t="shared" si="23"/>
        <v>0</v>
      </c>
      <c r="N90" s="350">
        <f>IF(P90="","",IF($D$24=$E$24,M90,CONVERSION!$E$25*M90))</f>
        <v>0</v>
      </c>
      <c r="O90" s="1">
        <f t="shared" si="24"/>
        <v>0</v>
      </c>
      <c r="P90" s="30" t="b">
        <f t="shared" si="25"/>
        <v>0</v>
      </c>
      <c r="Q90" s="30" t="b">
        <f t="shared" si="26"/>
        <v>0</v>
      </c>
      <c r="R90" s="311" t="b">
        <f t="shared" si="17"/>
        <v>0</v>
      </c>
      <c r="S90" s="311" t="b">
        <f t="shared" si="17"/>
        <v>0</v>
      </c>
      <c r="T90" s="311" t="b">
        <f t="shared" si="17"/>
        <v>0</v>
      </c>
      <c r="U90" s="311" t="b">
        <f t="shared" si="17"/>
        <v>0</v>
      </c>
      <c r="V90" s="311" t="b">
        <f t="shared" si="17"/>
        <v>0</v>
      </c>
      <c r="W90" s="311" t="b">
        <f t="shared" si="17"/>
        <v>0</v>
      </c>
      <c r="X90" s="311" t="b">
        <f t="shared" ref="X90:Y90" si="35">IF(IF($B$80=$B$99,X108,IF($B$80=$B$112,X121,IF($B$80=$B$125,X134,IF($B$80=$B$138,X147,IF($B$80=$B$151,X160,IF($B$80=$B$164,X173))))))="","",IF($B$80=$B$99,X108,IF($B$80=$B$112,X121,IF($B$80=$B$125,X134,IF($B$80=$B$138,X147,IF($B$80=$B$151,X160,IF($B$80=$B$164,X173)))))))</f>
        <v>0</v>
      </c>
      <c r="Y90" s="311" t="b">
        <f t="shared" si="35"/>
        <v>0</v>
      </c>
    </row>
    <row r="91" spans="1:25" x14ac:dyDescent="0.3">
      <c r="B91" s="256">
        <v>11</v>
      </c>
      <c r="C91" s="312" t="str">
        <f t="shared" si="19"/>
        <v/>
      </c>
      <c r="D91" s="312" t="str">
        <f t="shared" si="20"/>
        <v/>
      </c>
      <c r="E91" s="312" t="str">
        <f t="shared" si="20"/>
        <v/>
      </c>
      <c r="F91" s="312" t="str">
        <f t="shared" si="20"/>
        <v/>
      </c>
      <c r="G91" s="250"/>
      <c r="H91" s="256">
        <f t="shared" si="21"/>
        <v>11</v>
      </c>
      <c r="I91" s="313" t="str">
        <f t="shared" si="22"/>
        <v/>
      </c>
      <c r="J91" s="314" t="str">
        <f t="shared" si="22"/>
        <v/>
      </c>
      <c r="K91" s="285"/>
      <c r="L91" s="284"/>
      <c r="M91" s="30">
        <f t="shared" si="23"/>
        <v>0</v>
      </c>
      <c r="N91" s="350">
        <f>IF(P91="","",IF($D$24=$E$24,M91,CONVERSION!$E$25*M91))</f>
        <v>0</v>
      </c>
      <c r="O91" s="1">
        <f t="shared" si="24"/>
        <v>0</v>
      </c>
      <c r="P91" s="30" t="b">
        <f t="shared" si="25"/>
        <v>0</v>
      </c>
      <c r="Q91" s="30" t="b">
        <f t="shared" si="26"/>
        <v>0</v>
      </c>
      <c r="R91" s="311" t="b">
        <f t="shared" si="17"/>
        <v>0</v>
      </c>
      <c r="S91" s="311" t="b">
        <f t="shared" si="17"/>
        <v>0</v>
      </c>
      <c r="T91" s="311" t="b">
        <f t="shared" si="17"/>
        <v>0</v>
      </c>
      <c r="U91" s="311" t="b">
        <f t="shared" si="17"/>
        <v>0</v>
      </c>
      <c r="V91" s="311" t="b">
        <f t="shared" si="17"/>
        <v>0</v>
      </c>
      <c r="W91" s="311" t="b">
        <f t="shared" si="17"/>
        <v>0</v>
      </c>
      <c r="X91" s="311" t="b">
        <f t="shared" ref="X91:Y91" si="36">IF(IF($B$80=$B$99,X109,IF($B$80=$B$112,X122,IF($B$80=$B$125,X135,IF($B$80=$B$138,X148,IF($B$80=$B$151,X161,IF($B$80=$B$164,X174))))))="","",IF($B$80=$B$99,X109,IF($B$80=$B$112,X122,IF($B$80=$B$125,X135,IF($B$80=$B$138,X148,IF($B$80=$B$151,X161,IF($B$80=$B$164,X174)))))))</f>
        <v>0</v>
      </c>
      <c r="Y91" s="311" t="b">
        <f t="shared" si="36"/>
        <v>0</v>
      </c>
    </row>
    <row r="92" spans="1:25" ht="15" thickBot="1" x14ac:dyDescent="0.35">
      <c r="B92" s="259"/>
      <c r="C92" s="260"/>
      <c r="D92" s="260"/>
      <c r="E92" s="260"/>
      <c r="F92" s="260"/>
      <c r="G92" s="261"/>
      <c r="H92" s="259"/>
      <c r="I92" s="260"/>
      <c r="J92" s="260"/>
      <c r="K92" s="284"/>
      <c r="L92" s="54" t="s">
        <v>81</v>
      </c>
      <c r="M92" s="128">
        <f>MAX(M81:M91)</f>
        <v>0</v>
      </c>
      <c r="N92" s="318">
        <f>IF(MAX(N81:N91)=0,MIN(N81:N91),MAX(N81:N91))</f>
        <v>0</v>
      </c>
      <c r="O92">
        <f>MAX(ABS(N81),ABS(N82),ABS(N83),ABS(N84),ABS(N85),ABS(N86),ABS(N87),ABS(N88),ABS(N89),ABS(N90),ABS(N91))</f>
        <v>0</v>
      </c>
      <c r="W92" s="306"/>
    </row>
    <row r="93" spans="1:25" x14ac:dyDescent="0.3">
      <c r="B93" s="248"/>
      <c r="C93" s="248"/>
      <c r="D93" s="248"/>
      <c r="E93" s="248"/>
      <c r="F93" s="248"/>
      <c r="G93" s="248"/>
      <c r="H93" s="248"/>
      <c r="I93" s="248"/>
      <c r="J93" s="248"/>
      <c r="K93" s="284"/>
      <c r="L93" s="54" t="s">
        <v>82</v>
      </c>
      <c r="M93" s="128">
        <f>M92/(2*SQRT(3))</f>
        <v>0</v>
      </c>
      <c r="N93" s="319">
        <f>IFERROR(N92/(2*SQRT(3)),0)</f>
        <v>0</v>
      </c>
      <c r="O93" s="1"/>
      <c r="W93" s="306"/>
    </row>
    <row r="94" spans="1:25" x14ac:dyDescent="0.3">
      <c r="B94" s="248"/>
      <c r="C94" s="248"/>
      <c r="D94" s="248"/>
      <c r="E94" s="248"/>
      <c r="F94" s="248"/>
      <c r="G94" s="248"/>
      <c r="H94" s="248"/>
      <c r="I94" s="248"/>
      <c r="J94" s="248"/>
      <c r="K94" s="284"/>
      <c r="L94" s="284"/>
      <c r="N94" s="353">
        <f>N92/(2*SQRT(3))</f>
        <v>0</v>
      </c>
      <c r="O94" s="1"/>
      <c r="W94" s="306"/>
    </row>
    <row r="95" spans="1:25" x14ac:dyDescent="0.3">
      <c r="A95" s="317"/>
      <c r="B95" s="248"/>
      <c r="C95" s="248"/>
      <c r="D95" s="248"/>
      <c r="E95" s="248"/>
      <c r="F95" s="248"/>
      <c r="G95" s="248"/>
      <c r="H95" s="248"/>
      <c r="I95" s="248"/>
      <c r="J95" s="248"/>
      <c r="K95" s="284"/>
      <c r="L95" s="307"/>
      <c r="M95" s="1"/>
      <c r="N95" s="353">
        <f>IF(MAX(N81:N91)=0,MIN(N81:N91),MAX(N81:N91))</f>
        <v>0</v>
      </c>
      <c r="O95" s="1"/>
      <c r="W95" s="306"/>
    </row>
    <row r="96" spans="1:25" x14ac:dyDescent="0.3">
      <c r="A96" s="317"/>
      <c r="B96" s="248"/>
      <c r="C96" s="248"/>
      <c r="D96" s="248"/>
      <c r="E96" s="248"/>
      <c r="F96" s="248"/>
      <c r="G96" s="248"/>
      <c r="H96" s="248"/>
      <c r="I96" s="248"/>
      <c r="J96" s="248"/>
      <c r="K96" s="284"/>
      <c r="L96" s="307"/>
      <c r="M96" s="1"/>
      <c r="O96" s="1"/>
      <c r="W96" s="306"/>
    </row>
    <row r="97" spans="1:25" x14ac:dyDescent="0.3">
      <c r="A97" s="317"/>
      <c r="B97" s="248"/>
      <c r="C97" s="248"/>
      <c r="D97" s="248"/>
      <c r="E97" s="248"/>
      <c r="F97" s="248"/>
      <c r="G97" s="248"/>
      <c r="H97" s="248"/>
      <c r="I97" s="248"/>
      <c r="J97" s="248"/>
      <c r="K97" s="284"/>
      <c r="L97" s="284"/>
      <c r="S97" s="1" t="s">
        <v>631</v>
      </c>
      <c r="T97" s="1" t="s">
        <v>631</v>
      </c>
      <c r="U97" s="1" t="s">
        <v>632</v>
      </c>
      <c r="W97" s="306"/>
    </row>
    <row r="98" spans="1:25" x14ac:dyDescent="0.3">
      <c r="A98" s="317"/>
      <c r="B98" s="262" t="s">
        <v>634</v>
      </c>
      <c r="C98" s="253" t="s">
        <v>386</v>
      </c>
      <c r="D98" s="253" t="s">
        <v>387</v>
      </c>
      <c r="E98" s="253" t="s">
        <v>390</v>
      </c>
      <c r="F98" s="253" t="s">
        <v>389</v>
      </c>
      <c r="G98" s="253" t="s">
        <v>68</v>
      </c>
      <c r="H98" s="263" t="str">
        <f>B98</f>
        <v>Cert  FCal 12629  Vig 2025-04-24</v>
      </c>
      <c r="I98" s="255" t="s">
        <v>354</v>
      </c>
      <c r="J98" s="237" t="s">
        <v>355</v>
      </c>
      <c r="K98" s="229"/>
      <c r="L98" s="229"/>
      <c r="M98" s="1"/>
      <c r="N98" s="1"/>
      <c r="O98" s="1"/>
      <c r="P98" s="1"/>
      <c r="Q98" s="1"/>
      <c r="R98" s="2">
        <v>2021</v>
      </c>
      <c r="S98" s="2">
        <v>2023</v>
      </c>
      <c r="T98" s="2">
        <v>2024</v>
      </c>
      <c r="U98" s="2">
        <v>2025</v>
      </c>
      <c r="V98" s="2">
        <v>2026</v>
      </c>
      <c r="W98" s="2">
        <v>2027</v>
      </c>
      <c r="X98" s="2">
        <v>2028</v>
      </c>
      <c r="Y98" s="2">
        <v>2029</v>
      </c>
    </row>
    <row r="99" spans="1:25" x14ac:dyDescent="0.3">
      <c r="A99" s="317"/>
      <c r="B99" s="514" t="s">
        <v>305</v>
      </c>
      <c r="C99" s="267">
        <v>1E-300</v>
      </c>
      <c r="D99" s="369">
        <v>0</v>
      </c>
      <c r="E99" s="265">
        <v>0</v>
      </c>
      <c r="F99" s="265">
        <v>5.7999999999999996E-3</v>
      </c>
      <c r="G99" s="266">
        <v>1</v>
      </c>
      <c r="H99" s="514" t="str">
        <f>B99</f>
        <v>TEC-LAB-PI-01</v>
      </c>
      <c r="I99" s="270">
        <v>-9.9675958792246815E-301</v>
      </c>
      <c r="J99" s="370">
        <v>5.7999999999999996E-3</v>
      </c>
      <c r="K99" s="279"/>
      <c r="L99" s="286"/>
      <c r="M99" s="280"/>
      <c r="N99" s="280"/>
      <c r="O99" s="280"/>
      <c r="P99" s="512" t="str">
        <f>B99</f>
        <v>TEC-LAB-PI-01</v>
      </c>
      <c r="Q99" s="345"/>
      <c r="R99" s="30">
        <v>0</v>
      </c>
      <c r="S99" s="30">
        <v>0</v>
      </c>
      <c r="T99" s="30">
        <v>0</v>
      </c>
      <c r="U99" s="128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3">
      <c r="A100" s="317"/>
      <c r="B100" s="515"/>
      <c r="C100" s="267">
        <v>24.998000000000001</v>
      </c>
      <c r="D100" s="369">
        <v>25</v>
      </c>
      <c r="E100" s="265">
        <v>-2E-3</v>
      </c>
      <c r="F100" s="265">
        <v>1.2E-2</v>
      </c>
      <c r="G100" s="266">
        <v>2</v>
      </c>
      <c r="H100" s="515"/>
      <c r="I100" s="370">
        <v>0.99675958792247277</v>
      </c>
      <c r="J100" s="370">
        <v>-6.1876162252639793E-3</v>
      </c>
      <c r="L100" s="284"/>
      <c r="M100" s="280"/>
      <c r="N100" s="280"/>
      <c r="O100" s="280"/>
      <c r="P100" s="512"/>
      <c r="Q100" s="345"/>
      <c r="R100" s="30">
        <v>0</v>
      </c>
      <c r="S100" s="30">
        <v>8.0000000000000002E-3</v>
      </c>
      <c r="T100" s="30"/>
      <c r="U100" s="128">
        <v>-2E-3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3">
      <c r="A101" s="317"/>
      <c r="B101" s="515"/>
      <c r="C101" s="267">
        <v>49.995100000000001</v>
      </c>
      <c r="D101" s="369">
        <v>50</v>
      </c>
      <c r="E101" s="265">
        <v>-4.8999999999999998E-3</v>
      </c>
      <c r="F101" s="265">
        <v>8.6999999999999994E-3</v>
      </c>
      <c r="G101" s="266">
        <v>3</v>
      </c>
      <c r="H101" s="515"/>
      <c r="I101" s="370">
        <v>3.3768922523552247E-4</v>
      </c>
      <c r="J101" s="370">
        <v>7.1618217899242407E-4</v>
      </c>
      <c r="K101" s="279"/>
      <c r="L101" s="286"/>
      <c r="M101" s="280"/>
      <c r="N101" s="280"/>
      <c r="O101" s="280"/>
      <c r="P101" s="512"/>
      <c r="Q101" s="345"/>
      <c r="R101" s="30">
        <v>-0.01</v>
      </c>
      <c r="S101" s="30">
        <v>5.0000000000000001E-3</v>
      </c>
      <c r="T101" s="30">
        <v>8.0000000000026716E-3</v>
      </c>
      <c r="U101" s="128">
        <v>-4.8999999999999998E-3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3">
      <c r="A102" s="317"/>
      <c r="B102" s="515"/>
      <c r="C102" s="267">
        <v>74.995099999999994</v>
      </c>
      <c r="D102" s="369">
        <v>75</v>
      </c>
      <c r="E102" s="265">
        <v>-4.8999999999999998E-3</v>
      </c>
      <c r="F102" s="265">
        <v>9.2999999999999992E-3</v>
      </c>
      <c r="G102" s="266">
        <v>4</v>
      </c>
      <c r="H102" s="515"/>
      <c r="I102" s="370">
        <v>-1.3440799205911228E-5</v>
      </c>
      <c r="J102" s="370">
        <v>-3.1230307001930243E-5</v>
      </c>
      <c r="K102" s="279"/>
      <c r="L102" s="286"/>
      <c r="M102" s="280"/>
      <c r="N102" s="280"/>
      <c r="O102" s="280"/>
      <c r="P102" s="512"/>
      <c r="Q102" s="345"/>
      <c r="R102" s="30">
        <v>0</v>
      </c>
      <c r="S102" s="30">
        <v>0</v>
      </c>
      <c r="T102" s="30">
        <v>4.9999999999954525E-3</v>
      </c>
      <c r="U102" s="128">
        <v>-4.8999999999999998E-3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3">
      <c r="A103" s="317"/>
      <c r="B103" s="515"/>
      <c r="C103" s="267">
        <v>99.99</v>
      </c>
      <c r="D103" s="369">
        <v>100</v>
      </c>
      <c r="E103" s="265">
        <v>-0.01</v>
      </c>
      <c r="F103" s="265">
        <v>1.4E-2</v>
      </c>
      <c r="G103" s="266">
        <v>5</v>
      </c>
      <c r="H103" s="515"/>
      <c r="I103" s="370">
        <v>2.8318163485943115E-7</v>
      </c>
      <c r="J103" s="370">
        <v>7.0787733248870823E-7</v>
      </c>
      <c r="L103" s="284"/>
      <c r="M103" s="280"/>
      <c r="N103" s="280"/>
      <c r="O103" s="280"/>
      <c r="P103" s="512"/>
      <c r="Q103" s="345"/>
      <c r="R103" s="30">
        <v>-0.02</v>
      </c>
      <c r="S103" s="30">
        <v>-0.01</v>
      </c>
      <c r="T103" s="30"/>
      <c r="U103" s="128">
        <v>-0.01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3">
      <c r="A104" s="317"/>
      <c r="B104" s="515"/>
      <c r="C104" s="267">
        <v>124.985</v>
      </c>
      <c r="D104" s="369">
        <v>125</v>
      </c>
      <c r="E104" s="265">
        <v>-1.4999999999999999E-2</v>
      </c>
      <c r="F104" s="265">
        <v>1.0999999999999999E-2</v>
      </c>
      <c r="G104" s="266">
        <v>6</v>
      </c>
      <c r="H104" s="515"/>
      <c r="I104" s="370">
        <v>-3.5490966371088462E-9</v>
      </c>
      <c r="J104" s="370">
        <v>-9.4087260760321113E-9</v>
      </c>
      <c r="K104" s="279"/>
      <c r="L104" s="286"/>
      <c r="M104" s="280"/>
      <c r="N104" s="280"/>
      <c r="O104" s="280"/>
      <c r="P104" s="512"/>
      <c r="Q104" s="345"/>
      <c r="R104" s="30">
        <v>0</v>
      </c>
      <c r="S104" s="30">
        <v>-1.2E-2</v>
      </c>
      <c r="T104" s="30">
        <v>0</v>
      </c>
      <c r="U104" s="128">
        <v>-1.4999999999999999E-2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3">
      <c r="A105" s="317"/>
      <c r="B105" s="515"/>
      <c r="C105" s="267">
        <v>149.97800000000001</v>
      </c>
      <c r="D105" s="369">
        <v>150</v>
      </c>
      <c r="E105" s="265">
        <v>-2.1999999999999999E-2</v>
      </c>
      <c r="F105" s="265">
        <v>1.4999999999999999E-2</v>
      </c>
      <c r="G105" s="266">
        <v>7</v>
      </c>
      <c r="H105" s="515"/>
      <c r="I105" s="370">
        <v>2.7797241259277385E-11</v>
      </c>
      <c r="J105" s="370">
        <v>7.7231092172332325E-11</v>
      </c>
      <c r="K105" s="279"/>
      <c r="L105" s="286"/>
      <c r="M105" s="280"/>
      <c r="N105" s="280"/>
      <c r="O105" s="280"/>
      <c r="P105" s="512"/>
      <c r="Q105" s="345"/>
      <c r="R105" s="30">
        <v>-0.02</v>
      </c>
      <c r="S105" s="30">
        <v>-1.4999999999999999E-2</v>
      </c>
      <c r="T105" s="30">
        <v>-9.9999999999909051E-3</v>
      </c>
      <c r="U105" s="128">
        <v>-2.1999999999999999E-2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3">
      <c r="A106" s="317"/>
      <c r="B106" s="515"/>
      <c r="C106" s="267">
        <v>174.97300000000001</v>
      </c>
      <c r="D106" s="369">
        <v>175</v>
      </c>
      <c r="E106" s="265">
        <v>-2.7E-2</v>
      </c>
      <c r="F106" s="265">
        <v>1.4E-2</v>
      </c>
      <c r="G106" s="266">
        <v>8</v>
      </c>
      <c r="H106" s="515"/>
      <c r="I106" s="370">
        <v>-1.3720075039239329E-13</v>
      </c>
      <c r="J106" s="370">
        <v>-3.9582691334467432E-13</v>
      </c>
      <c r="K106" s="281"/>
      <c r="L106" s="287"/>
      <c r="M106" s="280"/>
      <c r="N106" s="280"/>
      <c r="O106" s="280"/>
      <c r="P106" s="512"/>
      <c r="Q106" s="345"/>
      <c r="R106" s="30">
        <v>0</v>
      </c>
      <c r="S106" s="30">
        <v>-0.02</v>
      </c>
      <c r="T106" s="30">
        <v>-2.0000000000010232E-2</v>
      </c>
      <c r="U106" s="128">
        <v>-2.7E-2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3">
      <c r="A107" s="317"/>
      <c r="B107" s="515"/>
      <c r="C107" s="267">
        <v>224.97</v>
      </c>
      <c r="D107" s="369">
        <v>225</v>
      </c>
      <c r="E107" s="265">
        <v>-0.03</v>
      </c>
      <c r="F107" s="265">
        <v>1.7999999999999999E-2</v>
      </c>
      <c r="G107" s="266">
        <v>9</v>
      </c>
      <c r="H107" s="515"/>
      <c r="I107" s="370">
        <v>4.1399377568592043E-16</v>
      </c>
      <c r="J107" s="370">
        <v>1.2315221617864236E-15</v>
      </c>
      <c r="K107" s="281"/>
      <c r="L107" s="287"/>
      <c r="M107" s="280"/>
      <c r="N107" s="280"/>
      <c r="O107" s="280"/>
      <c r="P107" s="512"/>
      <c r="Q107" s="345"/>
      <c r="R107" s="30">
        <v>-0.03</v>
      </c>
      <c r="S107" s="30">
        <v>-3.6999999999999998E-2</v>
      </c>
      <c r="T107" s="30">
        <v>-1.4999999999986358E-2</v>
      </c>
      <c r="U107" s="128">
        <v>-0.03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3">
      <c r="A108" s="317"/>
      <c r="B108" s="515"/>
      <c r="C108" s="267">
        <v>259.96499999999997</v>
      </c>
      <c r="D108" s="369">
        <v>260</v>
      </c>
      <c r="E108" s="265">
        <v>-3.5000000000000003E-2</v>
      </c>
      <c r="F108" s="265">
        <v>0.02</v>
      </c>
      <c r="G108" s="266">
        <v>10</v>
      </c>
      <c r="H108" s="515"/>
      <c r="I108" s="370">
        <v>-6.9628416595848033E-19</v>
      </c>
      <c r="J108" s="370">
        <v>-2.124230948370922E-18</v>
      </c>
      <c r="K108" s="281"/>
      <c r="L108" s="287"/>
      <c r="M108" s="280"/>
      <c r="N108" s="280"/>
      <c r="O108" s="280"/>
      <c r="P108" s="512"/>
      <c r="Q108" s="345"/>
      <c r="R108" s="3"/>
      <c r="S108" s="3"/>
      <c r="T108" s="368">
        <v>-1.999999999998181E-2</v>
      </c>
      <c r="U108" s="128">
        <v>-3.5000000000000003E-2</v>
      </c>
      <c r="V108" s="3"/>
      <c r="W108" s="3"/>
      <c r="X108" s="3"/>
      <c r="Y108" s="3"/>
    </row>
    <row r="109" spans="1:25" x14ac:dyDescent="0.3">
      <c r="A109" s="317"/>
      <c r="B109" s="516"/>
      <c r="C109" s="267">
        <v>299.95499999999998</v>
      </c>
      <c r="D109" s="369">
        <v>300</v>
      </c>
      <c r="E109" s="265">
        <v>-4.4999999999999998E-2</v>
      </c>
      <c r="F109" s="265">
        <v>2.4E-2</v>
      </c>
      <c r="G109" s="266">
        <v>11</v>
      </c>
      <c r="H109" s="516"/>
      <c r="I109" s="370">
        <v>4.993320967524539E-22</v>
      </c>
      <c r="J109" s="370">
        <v>1.555824217686553E-21</v>
      </c>
      <c r="K109" s="281"/>
      <c r="L109" s="287"/>
      <c r="M109" s="280"/>
      <c r="N109" s="280"/>
      <c r="O109" s="280"/>
      <c r="P109" s="512"/>
      <c r="Q109" s="345"/>
      <c r="R109" s="3"/>
      <c r="S109" s="3"/>
      <c r="T109" s="3">
        <v>-3.6999999999977717E-2</v>
      </c>
      <c r="U109" s="128">
        <v>-4.4999999999999998E-2</v>
      </c>
      <c r="V109" s="3"/>
      <c r="W109" s="3"/>
      <c r="X109" s="3"/>
      <c r="Y109" s="3"/>
    </row>
    <row r="110" spans="1:25" x14ac:dyDescent="0.3">
      <c r="A110" s="317"/>
      <c r="B110" s="248"/>
      <c r="C110" s="248"/>
      <c r="D110" s="248"/>
      <c r="E110" s="248"/>
      <c r="F110" s="248"/>
      <c r="G110" s="254"/>
      <c r="H110" s="248"/>
      <c r="I110" s="248"/>
      <c r="J110" s="248"/>
      <c r="K110" s="284"/>
      <c r="L110" s="284"/>
      <c r="M110" s="1"/>
      <c r="N110" s="1"/>
      <c r="O110" s="1"/>
      <c r="T110" s="1" t="s">
        <v>627</v>
      </c>
      <c r="U110" s="1" t="s">
        <v>628</v>
      </c>
      <c r="X110" s="306"/>
      <c r="Y110" s="306"/>
    </row>
    <row r="111" spans="1:25" x14ac:dyDescent="0.3">
      <c r="A111" s="317" t="s">
        <v>397</v>
      </c>
      <c r="B111" s="262" t="s">
        <v>629</v>
      </c>
      <c r="C111" s="253" t="s">
        <v>386</v>
      </c>
      <c r="D111" s="253" t="s">
        <v>387</v>
      </c>
      <c r="E111" s="253" t="s">
        <v>390</v>
      </c>
      <c r="F111" s="253" t="s">
        <v>389</v>
      </c>
      <c r="G111" s="253" t="s">
        <v>107</v>
      </c>
      <c r="H111" s="263" t="str">
        <f>B111</f>
        <v>7a TEC-LAB-PDI-03 Additel  -2 a 2 In H2O FCal 2025-03-17 Cert C2803-25</v>
      </c>
      <c r="I111" s="255" t="s">
        <v>354</v>
      </c>
      <c r="J111" s="237" t="s">
        <v>355</v>
      </c>
      <c r="K111" s="229"/>
      <c r="L111" s="229"/>
      <c r="M111" s="1"/>
      <c r="N111" s="1"/>
      <c r="O111" s="1"/>
      <c r="R111" s="2">
        <f>R98</f>
        <v>2021</v>
      </c>
      <c r="S111" s="2">
        <f t="shared" ref="S111:Y111" si="37">S98</f>
        <v>2023</v>
      </c>
      <c r="T111" s="2">
        <f t="shared" si="37"/>
        <v>2024</v>
      </c>
      <c r="U111" s="2">
        <f t="shared" si="37"/>
        <v>2025</v>
      </c>
      <c r="V111" s="2">
        <f t="shared" si="37"/>
        <v>2026</v>
      </c>
      <c r="W111" s="2">
        <f t="shared" si="37"/>
        <v>2027</v>
      </c>
      <c r="X111" s="2">
        <f t="shared" si="37"/>
        <v>2028</v>
      </c>
      <c r="Y111" s="2">
        <f t="shared" si="37"/>
        <v>2029</v>
      </c>
    </row>
    <row r="112" spans="1:25" x14ac:dyDescent="0.3">
      <c r="A112" s="317"/>
      <c r="B112" s="514" t="s">
        <v>324</v>
      </c>
      <c r="C112" s="267">
        <v>-1.9979</v>
      </c>
      <c r="D112" s="315">
        <v>-2.0007999999999999</v>
      </c>
      <c r="E112" s="267">
        <f>D112-C112</f>
        <v>-2.8999999999999027E-3</v>
      </c>
      <c r="F112" s="315">
        <v>4.0000000000000002E-4</v>
      </c>
      <c r="G112" s="266">
        <v>1</v>
      </c>
      <c r="H112" s="514" t="str">
        <f>B112</f>
        <v>TEC-LAB-PDI-03</v>
      </c>
      <c r="I112" s="270">
        <v>-3.9867005026946134E-4</v>
      </c>
      <c r="J112" s="275">
        <v>3.9006886579759901E-4</v>
      </c>
      <c r="K112" s="286"/>
      <c r="L112" s="286"/>
      <c r="M112" s="280"/>
      <c r="N112" s="280"/>
      <c r="O112" s="280"/>
      <c r="P112" s="512" t="str">
        <f>B112</f>
        <v>TEC-LAB-PDI-03</v>
      </c>
      <c r="Q112" s="345"/>
      <c r="R112" s="2">
        <v>0</v>
      </c>
      <c r="S112" s="2">
        <v>0</v>
      </c>
      <c r="T112" s="2">
        <v>5.8000000000024698E-4</v>
      </c>
      <c r="U112" s="2">
        <v>-2.8999999999999998E-3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3">
      <c r="A113" s="317"/>
      <c r="B113" s="515"/>
      <c r="C113" s="267">
        <v>-1.4986999999999999</v>
      </c>
      <c r="D113" s="315">
        <v>-1.5007999999999999</v>
      </c>
      <c r="E113" s="267">
        <f t="shared" ref="E113:E121" si="38">D113-C113</f>
        <v>-2.0999999999999908E-3</v>
      </c>
      <c r="F113" s="315">
        <v>3.8999999999999999E-4</v>
      </c>
      <c r="G113" s="266">
        <v>2</v>
      </c>
      <c r="H113" s="515"/>
      <c r="I113" s="270">
        <v>1.0033265945368706</v>
      </c>
      <c r="J113" s="275">
        <v>1.7228119331973914E-4</v>
      </c>
      <c r="K113" s="286"/>
      <c r="L113" s="286"/>
      <c r="M113" s="280"/>
      <c r="N113" s="280"/>
      <c r="O113" s="280"/>
      <c r="P113" s="512"/>
      <c r="Q113" s="345"/>
      <c r="R113" s="2">
        <v>0</v>
      </c>
      <c r="S113" s="2">
        <v>0</v>
      </c>
      <c r="T113" s="2">
        <v>5.3999999999998494E-4</v>
      </c>
      <c r="U113" s="2">
        <v>-2.0999999999999999E-3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3">
      <c r="A114" s="317"/>
      <c r="B114" s="515"/>
      <c r="C114" s="267">
        <v>-0.99919999999999998</v>
      </c>
      <c r="D114" s="315">
        <v>-1.0007999999999999</v>
      </c>
      <c r="E114" s="267">
        <f t="shared" si="38"/>
        <v>-1.5999999999999348E-3</v>
      </c>
      <c r="F114" s="315">
        <v>3.8999999999999999E-4</v>
      </c>
      <c r="G114" s="266">
        <v>3</v>
      </c>
      <c r="H114" s="515"/>
      <c r="I114" s="270">
        <v>4.298082150562192E-3</v>
      </c>
      <c r="J114" s="275">
        <v>2.9149725722424927E-4</v>
      </c>
      <c r="K114" s="286"/>
      <c r="L114" s="286"/>
      <c r="M114" s="280"/>
      <c r="N114" s="280"/>
      <c r="O114" s="280"/>
      <c r="P114" s="512"/>
      <c r="Q114" s="345"/>
      <c r="R114" s="2">
        <v>0</v>
      </c>
      <c r="S114" s="2">
        <v>0</v>
      </c>
      <c r="T114" s="2">
        <v>5.3999999999998494E-4</v>
      </c>
      <c r="U114" s="2">
        <v>-1.6000000000000001E-3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3">
      <c r="A115" s="317"/>
      <c r="B115" s="515"/>
      <c r="C115" s="267">
        <v>-0.49990000000000001</v>
      </c>
      <c r="D115" s="315">
        <v>-0.50080000000000002</v>
      </c>
      <c r="E115" s="267">
        <f t="shared" si="38"/>
        <v>-9.000000000000119E-4</v>
      </c>
      <c r="F115" s="315">
        <v>4.0999999999999999E-4</v>
      </c>
      <c r="G115" s="266">
        <v>4</v>
      </c>
      <c r="H115" s="515"/>
      <c r="I115" s="270">
        <v>-4.3118158126299877E-3</v>
      </c>
      <c r="J115" s="275">
        <v>-6.2675840701659864E-4</v>
      </c>
      <c r="K115" s="286"/>
      <c r="L115" s="286"/>
      <c r="M115" s="280"/>
      <c r="N115" s="280"/>
      <c r="O115" s="280"/>
      <c r="P115" s="512"/>
      <c r="Q115" s="345"/>
      <c r="R115" s="2">
        <v>0</v>
      </c>
      <c r="S115" s="2">
        <v>0</v>
      </c>
      <c r="T115" s="2">
        <v>4.6999999999997044E-4</v>
      </c>
      <c r="U115" s="2">
        <v>-8.9999999999999998E-4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3">
      <c r="A116" s="317"/>
      <c r="B116" s="515"/>
      <c r="C116" s="267">
        <v>-4.0000000000000002E-4</v>
      </c>
      <c r="D116" s="315">
        <v>-8.0000000000000004E-4</v>
      </c>
      <c r="E116" s="267">
        <f t="shared" si="38"/>
        <v>-4.0000000000000002E-4</v>
      </c>
      <c r="F116" s="315">
        <v>3.8999999999999999E-4</v>
      </c>
      <c r="G116" s="266">
        <v>5</v>
      </c>
      <c r="H116" s="515"/>
      <c r="I116" s="270">
        <v>-5.8119278092774243E-3</v>
      </c>
      <c r="J116" s="275">
        <v>-4.1105600674411794E-4</v>
      </c>
      <c r="K116" s="286"/>
      <c r="L116" s="286"/>
      <c r="M116" s="280"/>
      <c r="N116" s="280"/>
      <c r="O116" s="280"/>
      <c r="P116" s="512"/>
      <c r="Q116" s="345"/>
      <c r="R116" s="2">
        <v>0</v>
      </c>
      <c r="S116" s="2">
        <v>0</v>
      </c>
      <c r="T116" s="366">
        <v>1.4999999999999999E-4</v>
      </c>
      <c r="U116" s="2">
        <v>-4.0000000000000002E-4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3">
      <c r="A117" s="317"/>
      <c r="B117" s="515"/>
      <c r="C117" s="267">
        <v>0.49869999999999998</v>
      </c>
      <c r="D117" s="315">
        <v>0.50029999999999997</v>
      </c>
      <c r="E117" s="267">
        <f t="shared" si="38"/>
        <v>1.5999999999999903E-3</v>
      </c>
      <c r="F117" s="315">
        <v>4.6999999999999999E-4</v>
      </c>
      <c r="G117" s="266">
        <v>6</v>
      </c>
      <c r="H117" s="515"/>
      <c r="I117" s="270">
        <v>4.5289410378555606E-3</v>
      </c>
      <c r="J117" s="275">
        <v>7.9447164671478442E-4</v>
      </c>
      <c r="K117" s="287"/>
      <c r="L117" s="287"/>
      <c r="M117" s="280"/>
      <c r="N117" s="280"/>
      <c r="O117" s="280"/>
      <c r="P117" s="512"/>
      <c r="Q117" s="345"/>
      <c r="R117" s="2">
        <v>0</v>
      </c>
      <c r="S117" s="2">
        <v>0</v>
      </c>
      <c r="T117" s="2">
        <v>2.4999999999997247E-4</v>
      </c>
      <c r="U117" s="2">
        <v>1.6000000000000001E-3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3">
      <c r="A118" s="317"/>
      <c r="B118" s="515"/>
      <c r="C118" s="267">
        <v>0.998</v>
      </c>
      <c r="D118" s="315">
        <v>1.0003</v>
      </c>
      <c r="E118" s="267">
        <f t="shared" si="38"/>
        <v>2.2999999999999687E-3</v>
      </c>
      <c r="F118" s="315">
        <v>4.6999999999999999E-4</v>
      </c>
      <c r="G118" s="266">
        <v>7</v>
      </c>
      <c r="H118" s="515"/>
      <c r="I118" s="270">
        <v>2.616063438099038E-3</v>
      </c>
      <c r="J118" s="275">
        <v>1.8407739718350987E-4</v>
      </c>
      <c r="K118" s="287"/>
      <c r="L118" s="287"/>
      <c r="M118" s="280"/>
      <c r="N118" s="280"/>
      <c r="O118" s="280"/>
      <c r="P118" s="512"/>
      <c r="Q118" s="345"/>
      <c r="R118" s="2">
        <v>0</v>
      </c>
      <c r="S118" s="2">
        <v>0</v>
      </c>
      <c r="T118" s="2">
        <v>2.0999999999993246E-4</v>
      </c>
      <c r="U118" s="2">
        <v>2.3E-3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3">
      <c r="A119" s="317"/>
      <c r="B119" s="515"/>
      <c r="C119" s="267">
        <v>1.1978</v>
      </c>
      <c r="D119" s="315">
        <v>1.2002999999999999</v>
      </c>
      <c r="E119" s="267">
        <f t="shared" si="38"/>
        <v>2.4999999999999467E-3</v>
      </c>
      <c r="F119" s="315">
        <v>5.0000000000000001E-4</v>
      </c>
      <c r="G119" s="266">
        <v>8</v>
      </c>
      <c r="H119" s="515"/>
      <c r="I119" s="270">
        <v>-1.826139686512851E-3</v>
      </c>
      <c r="J119" s="275">
        <v>-3.4576942181341699E-4</v>
      </c>
      <c r="K119" s="287"/>
      <c r="L119" s="287"/>
      <c r="M119" s="280"/>
      <c r="N119" s="280"/>
      <c r="O119" s="280"/>
      <c r="P119" s="512"/>
      <c r="Q119" s="345"/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3">
      <c r="A120" s="317"/>
      <c r="B120" s="515"/>
      <c r="C120" s="267">
        <v>1.4971000000000001</v>
      </c>
      <c r="D120" s="315">
        <v>1.5003</v>
      </c>
      <c r="E120" s="267">
        <f t="shared" si="38"/>
        <v>3.1999999999998696E-3</v>
      </c>
      <c r="F120" s="315">
        <v>4.6999999999999999E-4</v>
      </c>
      <c r="G120" s="266">
        <v>9</v>
      </c>
      <c r="H120" s="515"/>
      <c r="I120" s="270">
        <v>-3.5463924219246087E-4</v>
      </c>
      <c r="J120" s="275">
        <v>-2.4648560953232814E-5</v>
      </c>
      <c r="K120" s="287"/>
      <c r="L120" s="287"/>
      <c r="M120" s="280"/>
      <c r="N120" s="280"/>
      <c r="O120" s="280"/>
      <c r="P120" s="512"/>
      <c r="Q120" s="345"/>
      <c r="R120" s="2">
        <v>0</v>
      </c>
      <c r="S120" s="2">
        <v>0</v>
      </c>
      <c r="T120" s="2">
        <v>9.9999999998434674E-6</v>
      </c>
      <c r="U120" s="2">
        <v>3.2000000000000002E-3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3">
      <c r="A121" s="317"/>
      <c r="B121" s="515"/>
      <c r="C121" s="267">
        <v>1.9964</v>
      </c>
      <c r="D121" s="315">
        <v>2.0003000000000002</v>
      </c>
      <c r="E121" s="267">
        <f t="shared" si="38"/>
        <v>3.9000000000002366E-3</v>
      </c>
      <c r="F121" s="315">
        <v>5.0000000000000001E-4</v>
      </c>
      <c r="G121" s="266">
        <v>10</v>
      </c>
      <c r="H121" s="515"/>
      <c r="I121" s="270">
        <v>2.3465164315817494E-4</v>
      </c>
      <c r="J121" s="275">
        <v>4.6043437346092737E-5</v>
      </c>
      <c r="K121" s="287"/>
      <c r="L121" s="287"/>
      <c r="M121" s="280"/>
      <c r="N121" s="280"/>
      <c r="O121" s="280"/>
      <c r="P121" s="512"/>
      <c r="Q121" s="345"/>
      <c r="R121" s="3"/>
      <c r="S121" s="3"/>
      <c r="T121" s="2">
        <v>-1.100000000000545E-4</v>
      </c>
      <c r="U121" s="2">
        <v>3.8999999999999998E-3</v>
      </c>
      <c r="V121" s="3"/>
      <c r="W121" s="3"/>
      <c r="X121" s="3"/>
      <c r="Y121" s="3"/>
    </row>
    <row r="122" spans="1:25" x14ac:dyDescent="0.3">
      <c r="A122" s="317"/>
      <c r="B122" s="516"/>
      <c r="C122" s="268"/>
      <c r="D122" s="268"/>
      <c r="E122" s="264"/>
      <c r="F122" s="264"/>
      <c r="G122" s="266"/>
      <c r="H122" s="516"/>
      <c r="I122" s="268"/>
      <c r="J122" s="276"/>
      <c r="K122" s="287"/>
      <c r="L122" s="287"/>
      <c r="M122" s="280"/>
      <c r="N122" s="280"/>
      <c r="O122" s="280"/>
      <c r="P122" s="512"/>
      <c r="Q122" s="345"/>
      <c r="R122" s="3"/>
      <c r="S122" s="3"/>
      <c r="T122" s="3"/>
      <c r="U122" s="3"/>
      <c r="V122" s="3"/>
      <c r="W122" s="3"/>
      <c r="X122" s="3"/>
      <c r="Y122" s="3"/>
    </row>
    <row r="123" spans="1:25" x14ac:dyDescent="0.3">
      <c r="A123" s="317"/>
      <c r="B123" s="248"/>
      <c r="C123" s="248"/>
      <c r="D123" s="248"/>
      <c r="E123" s="248"/>
      <c r="F123" s="248"/>
      <c r="G123" s="248"/>
      <c r="H123" s="248"/>
      <c r="I123" s="248"/>
      <c r="J123" s="248"/>
      <c r="K123" s="284"/>
      <c r="L123" s="284"/>
      <c r="T123" s="1" t="s">
        <v>635</v>
      </c>
      <c r="U123" s="1" t="s">
        <v>633</v>
      </c>
      <c r="X123" s="306"/>
      <c r="Y123" s="306"/>
    </row>
    <row r="124" spans="1:25" x14ac:dyDescent="0.3">
      <c r="A124" s="317" t="s">
        <v>397</v>
      </c>
      <c r="B124" s="269" t="s">
        <v>399</v>
      </c>
      <c r="C124" s="253" t="s">
        <v>386</v>
      </c>
      <c r="D124" s="253" t="s">
        <v>387</v>
      </c>
      <c r="E124" s="253" t="s">
        <v>390</v>
      </c>
      <c r="F124" s="253" t="s">
        <v>389</v>
      </c>
      <c r="G124" s="253" t="s">
        <v>107</v>
      </c>
      <c r="H124" s="269" t="str">
        <f>B124</f>
        <v>FCal 2024-04-29  Cert TLM-P-4818</v>
      </c>
      <c r="I124" s="255" t="s">
        <v>354</v>
      </c>
      <c r="J124" s="237" t="s">
        <v>355</v>
      </c>
      <c r="K124" s="229"/>
      <c r="L124" s="229"/>
      <c r="M124" s="1"/>
      <c r="N124" s="1"/>
      <c r="O124" s="1"/>
      <c r="R124" s="2">
        <f>R98</f>
        <v>2021</v>
      </c>
      <c r="S124" s="2">
        <f t="shared" ref="S124:Y124" si="39">S98</f>
        <v>2023</v>
      </c>
      <c r="T124" s="2">
        <f t="shared" si="39"/>
        <v>2024</v>
      </c>
      <c r="U124" s="2">
        <f t="shared" si="39"/>
        <v>2025</v>
      </c>
      <c r="V124" s="2">
        <f t="shared" si="39"/>
        <v>2026</v>
      </c>
      <c r="W124" s="2">
        <f t="shared" si="39"/>
        <v>2027</v>
      </c>
      <c r="X124" s="2">
        <f t="shared" si="39"/>
        <v>2028</v>
      </c>
      <c r="Y124" s="2">
        <f t="shared" si="39"/>
        <v>2029</v>
      </c>
    </row>
    <row r="125" spans="1:25" x14ac:dyDescent="0.3">
      <c r="A125" s="317"/>
      <c r="B125" s="514" t="s">
        <v>343</v>
      </c>
      <c r="C125" s="267">
        <v>-4</v>
      </c>
      <c r="D125" s="265">
        <v>-4.0115999999999996</v>
      </c>
      <c r="E125" s="267">
        <f>D125-C125</f>
        <v>-1.1599999999999611E-2</v>
      </c>
      <c r="F125" s="267">
        <v>1.2999999999999999E-2</v>
      </c>
      <c r="G125" s="266">
        <v>1</v>
      </c>
      <c r="H125" s="514" t="str">
        <f>B125</f>
        <v>TEC-LAB-PDI-02</v>
      </c>
      <c r="I125" s="270">
        <v>-2.7268449007067501E-9</v>
      </c>
      <c r="J125" s="275">
        <v>3.1999999999998245E-3</v>
      </c>
      <c r="K125" s="287"/>
      <c r="L125" s="287"/>
      <c r="M125" s="280"/>
      <c r="N125" s="280"/>
      <c r="O125" s="280"/>
      <c r="P125" s="512" t="str">
        <f>B125</f>
        <v>TEC-LAB-PDI-02</v>
      </c>
      <c r="Q125" s="345"/>
      <c r="R125" s="2">
        <v>0</v>
      </c>
      <c r="S125" s="2">
        <v>0</v>
      </c>
      <c r="T125" s="128">
        <v>-1.7999999999999794E-2</v>
      </c>
      <c r="U125" s="371">
        <v>-1.1599999999999611E-2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3">
      <c r="A126" s="317"/>
      <c r="B126" s="515"/>
      <c r="C126" s="267">
        <v>-3.5</v>
      </c>
      <c r="D126" s="265">
        <v>-3.5108000000000001</v>
      </c>
      <c r="E126" s="267">
        <f t="shared" ref="E126:E135" si="40">D126-C126</f>
        <v>-1.0800000000000143E-2</v>
      </c>
      <c r="F126" s="267">
        <v>1.2999999999999999E-2</v>
      </c>
      <c r="G126" s="266">
        <v>2</v>
      </c>
      <c r="H126" s="515"/>
      <c r="I126" s="270">
        <v>1.0027267853257409</v>
      </c>
      <c r="J126" s="275">
        <v>2.853891168524969E-16</v>
      </c>
      <c r="K126" s="287"/>
      <c r="L126" s="287"/>
      <c r="M126" s="280"/>
      <c r="N126" s="280"/>
      <c r="O126" s="280"/>
      <c r="P126" s="512"/>
      <c r="Q126" s="345"/>
      <c r="R126" s="2">
        <v>0</v>
      </c>
      <c r="S126" s="2">
        <v>0</v>
      </c>
      <c r="T126" s="128">
        <v>-1.5000000000000124E-2</v>
      </c>
      <c r="U126" s="371">
        <v>-1.0800000000000143E-2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3">
      <c r="A127" s="317"/>
      <c r="B127" s="515"/>
      <c r="C127" s="267">
        <v>-3</v>
      </c>
      <c r="D127" s="265">
        <v>-3.0083000000000002</v>
      </c>
      <c r="E127" s="267">
        <f t="shared" si="40"/>
        <v>-8.3000000000001961E-3</v>
      </c>
      <c r="F127" s="267">
        <v>1.2999999999999999E-2</v>
      </c>
      <c r="G127" s="266">
        <v>3</v>
      </c>
      <c r="H127" s="515"/>
      <c r="I127" s="270">
        <v>-2.0945068171490909E-3</v>
      </c>
      <c r="J127" s="275">
        <v>5.8791414141510189E-4</v>
      </c>
      <c r="K127" s="287"/>
      <c r="L127" s="287"/>
      <c r="M127" s="280"/>
      <c r="N127" s="280"/>
      <c r="O127" s="280"/>
      <c r="P127" s="512"/>
      <c r="Q127" s="345"/>
      <c r="R127" s="2">
        <v>0</v>
      </c>
      <c r="S127" s="2">
        <v>0</v>
      </c>
      <c r="T127" s="128">
        <v>-9.9999999999997868E-3</v>
      </c>
      <c r="U127" s="371">
        <v>-8.3000000000001961E-3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3">
      <c r="A128" s="317"/>
      <c r="B128" s="515"/>
      <c r="C128" s="267">
        <v>-2</v>
      </c>
      <c r="D128" s="265">
        <v>-2.0049000000000001</v>
      </c>
      <c r="E128" s="267">
        <f t="shared" si="40"/>
        <v>-4.9000000000001265E-3</v>
      </c>
      <c r="F128" s="265">
        <v>3.2000000000000002E-3</v>
      </c>
      <c r="G128" s="266">
        <v>4</v>
      </c>
      <c r="H128" s="515"/>
      <c r="I128" s="270">
        <v>-1.3081963715175088E-3</v>
      </c>
      <c r="J128" s="275">
        <v>1.6290137641594704E-17</v>
      </c>
      <c r="K128" s="287"/>
      <c r="L128" s="287"/>
      <c r="M128" s="280"/>
      <c r="N128" s="280"/>
      <c r="O128" s="280"/>
      <c r="P128" s="512"/>
      <c r="Q128" s="345"/>
      <c r="R128" s="2">
        <v>0</v>
      </c>
      <c r="S128" s="2">
        <v>0</v>
      </c>
      <c r="T128" s="128">
        <v>-8.0000000000000071E-3</v>
      </c>
      <c r="U128" s="371">
        <v>-4.9000000000001265E-3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3">
      <c r="A129" s="317"/>
      <c r="B129" s="515"/>
      <c r="C129" s="267">
        <v>-1</v>
      </c>
      <c r="D129" s="265">
        <v>-1.0034000000000001</v>
      </c>
      <c r="E129" s="267">
        <f t="shared" si="40"/>
        <v>-3.4000000000000696E-3</v>
      </c>
      <c r="F129" s="265">
        <v>3.2000000000000002E-3</v>
      </c>
      <c r="G129" s="266">
        <v>5</v>
      </c>
      <c r="H129" s="515"/>
      <c r="I129" s="270">
        <v>3.3170609605477283E-4</v>
      </c>
      <c r="J129" s="275">
        <v>-8.1040053310922589E-4</v>
      </c>
      <c r="K129" s="287"/>
      <c r="L129" s="287"/>
      <c r="M129" s="280"/>
      <c r="N129" s="280"/>
      <c r="O129" s="280"/>
      <c r="P129" s="512"/>
      <c r="Q129" s="345"/>
      <c r="R129" s="2">
        <v>0</v>
      </c>
      <c r="S129" s="2">
        <v>0</v>
      </c>
      <c r="T129" s="128">
        <v>-4.9999999999998934E-3</v>
      </c>
      <c r="U129" s="371">
        <v>-3.4000000000000696E-3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3">
      <c r="A130" s="317"/>
      <c r="B130" s="515"/>
      <c r="C130" s="267">
        <v>9.9999999999999995E-7</v>
      </c>
      <c r="D130" s="265">
        <v>9.9999999999999995E-7</v>
      </c>
      <c r="E130" s="267">
        <f t="shared" si="40"/>
        <v>0</v>
      </c>
      <c r="F130" s="265">
        <v>3.2000000000000002E-3</v>
      </c>
      <c r="G130" s="266">
        <v>6</v>
      </c>
      <c r="H130" s="515"/>
      <c r="I130" s="270">
        <v>1.9206144781077142E-4</v>
      </c>
      <c r="J130" s="275">
        <v>-1.1953328951652686E-17</v>
      </c>
      <c r="K130" s="287"/>
      <c r="L130" s="287"/>
      <c r="M130" s="280"/>
      <c r="N130" s="280"/>
      <c r="O130" s="280"/>
      <c r="P130" s="512"/>
      <c r="Q130" s="345"/>
      <c r="R130" s="2">
        <v>0</v>
      </c>
      <c r="S130" s="2">
        <v>0</v>
      </c>
      <c r="T130" s="128">
        <v>-3.0010000000000002E-3</v>
      </c>
      <c r="U130" s="371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3">
      <c r="A131" s="317"/>
      <c r="B131" s="515"/>
      <c r="C131" s="267">
        <v>1</v>
      </c>
      <c r="D131" s="265">
        <v>0.99980000000000002</v>
      </c>
      <c r="E131" s="267">
        <f t="shared" si="40"/>
        <v>-1.9999999999997797E-4</v>
      </c>
      <c r="F131" s="265">
        <v>3.2000000000000002E-3</v>
      </c>
      <c r="G131" s="266">
        <v>7</v>
      </c>
      <c r="H131" s="515"/>
      <c r="I131" s="270">
        <v>-3.9498129102825442E-5</v>
      </c>
      <c r="J131" s="275">
        <v>2.4383922558928031E-4</v>
      </c>
      <c r="K131" s="287"/>
      <c r="L131" s="287"/>
      <c r="M131" s="280"/>
      <c r="N131" s="280"/>
      <c r="O131" s="280"/>
      <c r="P131" s="512"/>
      <c r="Q131" s="345"/>
      <c r="R131" s="2">
        <v>0</v>
      </c>
      <c r="S131" s="2">
        <v>0</v>
      </c>
      <c r="T131" s="128">
        <v>-4.0000000000000036E-3</v>
      </c>
      <c r="U131" s="371">
        <v>-1.9999999999997797E-4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3">
      <c r="A132" s="317"/>
      <c r="B132" s="515"/>
      <c r="C132" s="267">
        <v>2</v>
      </c>
      <c r="D132" s="265">
        <v>1.9947999999999999</v>
      </c>
      <c r="E132" s="267">
        <f t="shared" si="40"/>
        <v>-5.2000000000000934E-3</v>
      </c>
      <c r="F132" s="265">
        <v>3.2000000000000002E-3</v>
      </c>
      <c r="G132" s="266">
        <v>8</v>
      </c>
      <c r="H132" s="515"/>
      <c r="I132" s="270">
        <v>-1.0856874606869193E-5</v>
      </c>
      <c r="J132" s="275">
        <v>1.1621292036329001E-18</v>
      </c>
      <c r="K132" s="287"/>
      <c r="L132" s="287"/>
      <c r="M132" s="280"/>
      <c r="N132" s="280"/>
      <c r="O132" s="280"/>
      <c r="P132" s="512"/>
      <c r="Q132" s="345"/>
      <c r="R132" s="2">
        <v>0</v>
      </c>
      <c r="S132" s="2">
        <v>0</v>
      </c>
      <c r="T132" s="128">
        <v>-4.0000000000000036E-3</v>
      </c>
      <c r="U132" s="371">
        <v>-5.2000000000000934E-3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3">
      <c r="A133" s="317"/>
      <c r="B133" s="515"/>
      <c r="C133" s="267">
        <v>3</v>
      </c>
      <c r="D133" s="265">
        <v>2.9914000000000001</v>
      </c>
      <c r="E133" s="267">
        <f t="shared" si="40"/>
        <v>-8.599999999999941E-3</v>
      </c>
      <c r="F133" s="267">
        <v>1.2999999999999999E-2</v>
      </c>
      <c r="G133" s="266">
        <v>9</v>
      </c>
      <c r="H133" s="515"/>
      <c r="I133" s="270">
        <v>2.3544298216167598E-6</v>
      </c>
      <c r="J133" s="275">
        <v>-2.1971801346804963E-5</v>
      </c>
      <c r="K133" s="287"/>
      <c r="L133" s="287"/>
      <c r="M133" s="280"/>
      <c r="N133" s="280"/>
      <c r="O133" s="280"/>
      <c r="P133" s="512"/>
      <c r="Q133" s="345"/>
      <c r="R133" s="2">
        <v>0</v>
      </c>
      <c r="S133" s="2">
        <v>0</v>
      </c>
      <c r="T133" s="128">
        <v>-4.9999999999998934E-3</v>
      </c>
      <c r="U133" s="371">
        <v>-8.599999999999941E-3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3">
      <c r="A134" s="317"/>
      <c r="B134" s="515"/>
      <c r="C134" s="267">
        <v>3.5</v>
      </c>
      <c r="D134" s="265">
        <v>3.4906999999999999</v>
      </c>
      <c r="E134" s="267">
        <f t="shared" si="40"/>
        <v>-9.300000000000086E-3</v>
      </c>
      <c r="F134" s="267">
        <v>1.2999999999999999E-2</v>
      </c>
      <c r="G134" s="266">
        <v>10</v>
      </c>
      <c r="H134" s="515"/>
      <c r="I134" s="270">
        <v>2.0647253980590025E-7</v>
      </c>
      <c r="J134" s="275">
        <v>-3.3246043179731288E-20</v>
      </c>
      <c r="K134" s="287"/>
      <c r="L134" s="287"/>
      <c r="M134" s="280"/>
      <c r="N134" s="280"/>
      <c r="O134" s="280"/>
      <c r="P134" s="512"/>
      <c r="Q134" s="345"/>
      <c r="R134" s="3"/>
      <c r="S134" s="3"/>
      <c r="T134" s="128">
        <v>-7.0000000000001172E-3</v>
      </c>
      <c r="U134" s="371">
        <v>-9.300000000000086E-3</v>
      </c>
      <c r="V134" s="3"/>
      <c r="W134" s="3"/>
      <c r="X134" s="3"/>
      <c r="Y134" s="3"/>
    </row>
    <row r="135" spans="1:25" x14ac:dyDescent="0.3">
      <c r="A135" s="317"/>
      <c r="B135" s="516"/>
      <c r="C135" s="267">
        <v>4</v>
      </c>
      <c r="D135" s="265">
        <v>3.9885999999999999</v>
      </c>
      <c r="E135" s="267">
        <f t="shared" si="40"/>
        <v>-1.1400000000000077E-2</v>
      </c>
      <c r="F135" s="267">
        <v>1.2999999999999999E-2</v>
      </c>
      <c r="G135" s="266">
        <v>11</v>
      </c>
      <c r="H135" s="516"/>
      <c r="I135" s="270">
        <v>-5.2852844975639224E-8</v>
      </c>
      <c r="J135" s="275">
        <v>6.1896745230087173E-7</v>
      </c>
      <c r="K135" s="287"/>
      <c r="L135" s="287"/>
      <c r="M135" s="280"/>
      <c r="N135" s="280"/>
      <c r="O135" s="280"/>
      <c r="P135" s="512"/>
      <c r="Q135" s="345"/>
      <c r="R135" s="3"/>
      <c r="S135" s="3"/>
      <c r="T135" s="128">
        <v>-5.9999999999997833E-3</v>
      </c>
      <c r="U135" s="371">
        <v>-1.1400000000000077E-2</v>
      </c>
      <c r="V135" s="3"/>
      <c r="W135" s="3"/>
      <c r="X135" s="3"/>
      <c r="Y135" s="3"/>
    </row>
    <row r="136" spans="1:25" x14ac:dyDescent="0.3">
      <c r="A136" s="317"/>
      <c r="B136" s="248"/>
      <c r="C136" s="248"/>
      <c r="D136" s="248"/>
      <c r="E136" s="248"/>
      <c r="F136" s="248"/>
      <c r="G136" s="248"/>
      <c r="H136" s="248"/>
      <c r="I136" s="248"/>
      <c r="J136" s="248"/>
      <c r="K136" s="284"/>
      <c r="L136" s="284"/>
      <c r="X136" s="306"/>
      <c r="Y136" s="306"/>
    </row>
    <row r="137" spans="1:25" x14ac:dyDescent="0.3">
      <c r="A137" s="317" t="s">
        <v>397</v>
      </c>
      <c r="B137" s="269" t="s">
        <v>401</v>
      </c>
      <c r="C137" s="253" t="s">
        <v>386</v>
      </c>
      <c r="D137" s="253" t="s">
        <v>387</v>
      </c>
      <c r="E137" s="253" t="s">
        <v>390</v>
      </c>
      <c r="F137" s="253" t="s">
        <v>389</v>
      </c>
      <c r="G137" s="253" t="s">
        <v>68</v>
      </c>
      <c r="H137" s="269" t="str">
        <f>B137</f>
        <v>Cert 9347  FCal 2023-01-12</v>
      </c>
      <c r="I137" s="255" t="s">
        <v>354</v>
      </c>
      <c r="J137" s="237" t="s">
        <v>355</v>
      </c>
      <c r="K137" s="229"/>
      <c r="L137" s="229"/>
      <c r="M137" s="1"/>
      <c r="N137" s="1"/>
      <c r="O137" s="1"/>
      <c r="R137" s="2">
        <f>R111</f>
        <v>2021</v>
      </c>
      <c r="S137" s="2">
        <f t="shared" ref="S137:Y137" si="41">S111</f>
        <v>2023</v>
      </c>
      <c r="T137" s="2">
        <f t="shared" si="41"/>
        <v>2024</v>
      </c>
      <c r="U137" s="2">
        <f t="shared" si="41"/>
        <v>2025</v>
      </c>
      <c r="V137" s="2">
        <f t="shared" si="41"/>
        <v>2026</v>
      </c>
      <c r="W137" s="2">
        <f t="shared" si="41"/>
        <v>2027</v>
      </c>
      <c r="X137" s="2">
        <f t="shared" si="41"/>
        <v>2028</v>
      </c>
      <c r="Y137" s="2">
        <f t="shared" si="41"/>
        <v>2029</v>
      </c>
    </row>
    <row r="138" spans="1:25" x14ac:dyDescent="0.3">
      <c r="A138" s="317"/>
      <c r="B138" s="514" t="s">
        <v>403</v>
      </c>
      <c r="C138" s="268">
        <v>1.0000000000000001E-101</v>
      </c>
      <c r="D138" s="265">
        <v>0</v>
      </c>
      <c r="E138" s="267">
        <f t="shared" ref="E138:E146" si="42">D138-C138</f>
        <v>-1.0000000000000001E-101</v>
      </c>
      <c r="F138" s="265">
        <v>6.4000000000000003E-3</v>
      </c>
      <c r="G138" s="266">
        <v>1</v>
      </c>
      <c r="H138" s="514" t="str">
        <f>B138</f>
        <v>TEC-LAB-PS-03-</v>
      </c>
      <c r="I138" s="270">
        <v>-1.0986125035929311E-101</v>
      </c>
      <c r="J138" s="275">
        <v>6.4000000000000003E-3</v>
      </c>
      <c r="K138" s="287"/>
      <c r="L138" s="287"/>
      <c r="M138" s="280">
        <v>0</v>
      </c>
      <c r="N138" s="280"/>
      <c r="O138" s="280"/>
      <c r="P138" s="512" t="str">
        <f>B138</f>
        <v>TEC-LAB-PS-03-</v>
      </c>
      <c r="Q138" s="345"/>
      <c r="R138" s="2" t="s">
        <v>209</v>
      </c>
      <c r="S138" s="2">
        <v>-1.0000000000000001E-101</v>
      </c>
      <c r="T138" s="2" t="s">
        <v>209</v>
      </c>
      <c r="U138" s="30">
        <v>-1.0000000000000001E-101</v>
      </c>
      <c r="V138" s="2"/>
      <c r="W138" s="2"/>
      <c r="X138" s="2"/>
      <c r="Y138" s="2"/>
    </row>
    <row r="139" spans="1:25" x14ac:dyDescent="0.3">
      <c r="A139" s="317"/>
      <c r="B139" s="515"/>
      <c r="C139" s="268">
        <v>-1</v>
      </c>
      <c r="D139" s="265">
        <v>-0.98599999999999999</v>
      </c>
      <c r="E139" s="267">
        <f t="shared" si="42"/>
        <v>1.4000000000000012E-2</v>
      </c>
      <c r="F139" s="265">
        <v>6.4999999999999997E-3</v>
      </c>
      <c r="G139" s="266">
        <v>2</v>
      </c>
      <c r="H139" s="515"/>
      <c r="I139" s="270">
        <v>1.0986125035929335</v>
      </c>
      <c r="J139" s="275">
        <v>1.7577360092701045E-2</v>
      </c>
      <c r="K139" s="287"/>
      <c r="L139" s="287"/>
      <c r="M139" s="280">
        <v>-1.4E-2</v>
      </c>
      <c r="N139" s="280"/>
      <c r="O139" s="280"/>
      <c r="P139" s="512"/>
      <c r="Q139" s="345"/>
      <c r="R139" s="2" t="s">
        <v>209</v>
      </c>
      <c r="S139" s="2">
        <v>8.1999999999999851E-3</v>
      </c>
      <c r="T139" s="2" t="s">
        <v>209</v>
      </c>
      <c r="U139" s="30">
        <v>-1.4E-2</v>
      </c>
      <c r="V139" s="2"/>
      <c r="W139" s="2"/>
      <c r="X139" s="2"/>
      <c r="Y139" s="2"/>
    </row>
    <row r="140" spans="1:25" x14ac:dyDescent="0.3">
      <c r="A140" s="317"/>
      <c r="B140" s="515"/>
      <c r="C140" s="268">
        <v>-3</v>
      </c>
      <c r="D140" s="265">
        <v>-2.9630999999999998</v>
      </c>
      <c r="E140" s="267">
        <f t="shared" si="42"/>
        <v>3.6900000000000155E-2</v>
      </c>
      <c r="F140" s="265">
        <v>6.7999999999999996E-3</v>
      </c>
      <c r="G140" s="266">
        <v>3</v>
      </c>
      <c r="H140" s="515"/>
      <c r="I140" s="270">
        <v>0.22566458042673787</v>
      </c>
      <c r="J140" s="275">
        <v>3.9424186250448176E-2</v>
      </c>
      <c r="K140" s="287"/>
      <c r="L140" s="287"/>
      <c r="M140" s="280">
        <v>-3.6900000000000002E-2</v>
      </c>
      <c r="N140" s="280"/>
      <c r="O140" s="280"/>
      <c r="P140" s="512"/>
      <c r="Q140" s="345"/>
      <c r="R140" s="2" t="s">
        <v>209</v>
      </c>
      <c r="S140" s="2">
        <v>2.8000000000000025E-2</v>
      </c>
      <c r="T140" s="2" t="s">
        <v>209</v>
      </c>
      <c r="U140" s="30">
        <v>-3.6900000000000002E-2</v>
      </c>
      <c r="V140" s="2"/>
      <c r="W140" s="2"/>
      <c r="X140" s="2"/>
      <c r="Y140" s="2"/>
    </row>
    <row r="141" spans="1:25" x14ac:dyDescent="0.3">
      <c r="A141" s="317"/>
      <c r="B141" s="515"/>
      <c r="C141" s="268">
        <v>-4</v>
      </c>
      <c r="D141" s="265">
        <v>-3.9622000000000002</v>
      </c>
      <c r="E141" s="267">
        <f t="shared" si="42"/>
        <v>3.7799999999999834E-2</v>
      </c>
      <c r="F141" s="265">
        <v>7.6E-3</v>
      </c>
      <c r="G141" s="266">
        <v>4</v>
      </c>
      <c r="H141" s="515"/>
      <c r="I141" s="270">
        <v>0.15769910507069174</v>
      </c>
      <c r="J141" s="275">
        <v>3.2385631620108088E-2</v>
      </c>
      <c r="K141" s="287"/>
      <c r="L141" s="287"/>
      <c r="M141" s="280">
        <v>-3.78E-2</v>
      </c>
      <c r="N141" s="280"/>
      <c r="O141" s="280"/>
      <c r="P141" s="512"/>
      <c r="Q141" s="345"/>
      <c r="R141" s="2" t="s">
        <v>209</v>
      </c>
      <c r="S141" s="2">
        <v>3.5000000000000142E-2</v>
      </c>
      <c r="T141" s="2" t="s">
        <v>209</v>
      </c>
      <c r="U141" s="30">
        <v>-3.78E-2</v>
      </c>
      <c r="V141" s="2"/>
      <c r="W141" s="2"/>
      <c r="X141" s="2"/>
      <c r="Y141" s="2"/>
    </row>
    <row r="142" spans="1:25" x14ac:dyDescent="0.3">
      <c r="A142" s="317"/>
      <c r="B142" s="515"/>
      <c r="C142" s="268">
        <v>-5</v>
      </c>
      <c r="D142" s="265">
        <v>-4.95</v>
      </c>
      <c r="E142" s="267">
        <f t="shared" si="42"/>
        <v>4.9999999999999822E-2</v>
      </c>
      <c r="F142" s="265">
        <v>6.7000000000000002E-3</v>
      </c>
      <c r="G142" s="266">
        <v>5</v>
      </c>
      <c r="H142" s="515"/>
      <c r="I142" s="270">
        <v>5.3665117900111303E-2</v>
      </c>
      <c r="J142" s="275">
        <v>1.3278729120316366E-2</v>
      </c>
      <c r="K142" s="287"/>
      <c r="L142" s="287"/>
      <c r="M142" s="280">
        <v>-0.05</v>
      </c>
      <c r="N142" s="280"/>
      <c r="O142" s="280"/>
      <c r="P142" s="512"/>
      <c r="Q142" s="345"/>
      <c r="R142" s="2" t="s">
        <v>209</v>
      </c>
      <c r="S142" s="2">
        <v>4.0199999999999569E-2</v>
      </c>
      <c r="T142" s="2" t="s">
        <v>209</v>
      </c>
      <c r="U142" s="30">
        <v>-0.05</v>
      </c>
      <c r="V142" s="2"/>
      <c r="W142" s="2"/>
      <c r="X142" s="2"/>
      <c r="Y142" s="2"/>
    </row>
    <row r="143" spans="1:25" x14ac:dyDescent="0.3">
      <c r="A143" s="317"/>
      <c r="B143" s="515"/>
      <c r="C143" s="268">
        <v>-7</v>
      </c>
      <c r="D143" s="265">
        <v>-6.9478</v>
      </c>
      <c r="E143" s="267">
        <f t="shared" si="42"/>
        <v>5.2200000000000024E-2</v>
      </c>
      <c r="F143" s="265">
        <v>6.7999999999999996E-3</v>
      </c>
      <c r="G143" s="266">
        <v>6</v>
      </c>
      <c r="H143" s="515"/>
      <c r="I143" s="270">
        <v>1.0005671118827497E-2</v>
      </c>
      <c r="J143" s="275">
        <v>2.9905964312648826E-3</v>
      </c>
      <c r="K143" s="287"/>
      <c r="L143" s="287"/>
      <c r="M143" s="280">
        <v>-5.2200000000000003E-2</v>
      </c>
      <c r="N143" s="280"/>
      <c r="O143" s="280"/>
      <c r="P143" s="512"/>
      <c r="Q143" s="345"/>
      <c r="R143" s="2" t="s">
        <v>209</v>
      </c>
      <c r="S143" s="2">
        <v>4.8700000000000188E-2</v>
      </c>
      <c r="T143" s="2" t="s">
        <v>209</v>
      </c>
      <c r="U143" s="30">
        <v>-5.2200000000000003E-2</v>
      </c>
      <c r="V143" s="2"/>
      <c r="W143" s="2"/>
      <c r="X143" s="2"/>
      <c r="Y143" s="2"/>
    </row>
    <row r="144" spans="1:25" x14ac:dyDescent="0.3">
      <c r="A144" s="317"/>
      <c r="B144" s="515"/>
      <c r="C144" s="268">
        <v>-8</v>
      </c>
      <c r="D144" s="265">
        <v>-7.9459999999999997</v>
      </c>
      <c r="E144" s="267">
        <f t="shared" si="42"/>
        <v>5.400000000000027E-2</v>
      </c>
      <c r="F144" s="265">
        <v>1.2999999999999999E-2</v>
      </c>
      <c r="G144" s="266">
        <v>7</v>
      </c>
      <c r="H144" s="515"/>
      <c r="I144" s="270">
        <v>1.0434109422043265E-3</v>
      </c>
      <c r="J144" s="275">
        <v>3.743889473846548E-4</v>
      </c>
      <c r="K144" s="287"/>
      <c r="L144" s="287"/>
      <c r="M144" s="280">
        <v>-5.3999999999999999E-2</v>
      </c>
      <c r="N144" s="280"/>
      <c r="O144" s="280"/>
      <c r="P144" s="512"/>
      <c r="Q144" s="345"/>
      <c r="R144" s="2" t="s">
        <v>209</v>
      </c>
      <c r="S144" s="2">
        <v>5.5200000000000138E-2</v>
      </c>
      <c r="T144" s="2" t="s">
        <v>209</v>
      </c>
      <c r="U144" s="30">
        <v>-5.3999999999999999E-2</v>
      </c>
      <c r="V144" s="2"/>
      <c r="W144" s="2"/>
      <c r="X144" s="2"/>
      <c r="Y144" s="2"/>
    </row>
    <row r="145" spans="1:25" x14ac:dyDescent="0.3">
      <c r="A145" s="317"/>
      <c r="B145" s="515"/>
      <c r="C145" s="268">
        <v>-9</v>
      </c>
      <c r="D145" s="265">
        <v>-8.9341000000000008</v>
      </c>
      <c r="E145" s="267">
        <f t="shared" si="42"/>
        <v>6.5899999999999181E-2</v>
      </c>
      <c r="F145" s="265">
        <v>6.7999999999999996E-3</v>
      </c>
      <c r="G145" s="266">
        <v>8</v>
      </c>
      <c r="H145" s="515"/>
      <c r="I145" s="270">
        <v>5.7107004286857145E-5</v>
      </c>
      <c r="J145" s="275">
        <v>2.4356791895550428E-5</v>
      </c>
      <c r="K145" s="287"/>
      <c r="L145" s="287"/>
      <c r="M145" s="280">
        <v>-6.59E-2</v>
      </c>
      <c r="N145" s="280"/>
      <c r="O145" s="280"/>
      <c r="P145" s="512"/>
      <c r="Q145" s="345"/>
      <c r="R145" s="2" t="s">
        <v>209</v>
      </c>
      <c r="S145" s="2">
        <v>6.3599999999999213E-2</v>
      </c>
      <c r="T145" s="2" t="s">
        <v>209</v>
      </c>
      <c r="U145" s="30">
        <v>-6.59E-2</v>
      </c>
      <c r="V145" s="2"/>
      <c r="W145" s="2"/>
      <c r="X145" s="2"/>
      <c r="Y145" s="2"/>
    </row>
    <row r="146" spans="1:25" x14ac:dyDescent="0.3">
      <c r="A146" s="317"/>
      <c r="B146" s="515"/>
      <c r="C146" s="268">
        <v>-10.199999999999999</v>
      </c>
      <c r="D146" s="265">
        <v>-10.140499999999999</v>
      </c>
      <c r="E146" s="267">
        <f t="shared" si="42"/>
        <v>5.9499999999999886E-2</v>
      </c>
      <c r="F146" s="265">
        <v>6.4999999999999997E-3</v>
      </c>
      <c r="G146" s="266">
        <v>9</v>
      </c>
      <c r="H146" s="515"/>
      <c r="I146" s="270">
        <v>1.277564001175598E-6</v>
      </c>
      <c r="J146" s="275">
        <v>6.4061774892892776E-7</v>
      </c>
      <c r="K146" s="287"/>
      <c r="L146" s="287"/>
      <c r="M146" s="280">
        <v>-5.9499999999999997E-2</v>
      </c>
      <c r="N146" s="280"/>
      <c r="O146" s="280"/>
      <c r="P146" s="512"/>
      <c r="Q146" s="345"/>
      <c r="R146" s="2" t="s">
        <v>209</v>
      </c>
      <c r="S146" s="2">
        <v>6.2099999999999156E-2</v>
      </c>
      <c r="T146" s="2" t="s">
        <v>209</v>
      </c>
      <c r="U146" s="30">
        <v>-5.9499999999999997E-2</v>
      </c>
      <c r="V146" s="2"/>
      <c r="W146" s="2"/>
      <c r="X146" s="2"/>
      <c r="Y146" s="2"/>
    </row>
    <row r="147" spans="1:25" x14ac:dyDescent="0.3">
      <c r="A147" s="317"/>
      <c r="B147" s="515"/>
      <c r="C147" s="268"/>
      <c r="D147" s="268"/>
      <c r="E147" s="264"/>
      <c r="F147" s="264"/>
      <c r="G147" s="266">
        <v>10</v>
      </c>
      <c r="H147" s="515"/>
      <c r="I147" s="270"/>
      <c r="J147" s="275"/>
      <c r="K147" s="287"/>
      <c r="L147" s="287"/>
      <c r="M147" s="280"/>
      <c r="N147" s="280"/>
      <c r="O147" s="280"/>
      <c r="P147" s="512"/>
      <c r="Q147" s="345"/>
      <c r="R147" s="3"/>
      <c r="S147" s="3"/>
      <c r="T147" s="3"/>
      <c r="U147" s="3"/>
      <c r="V147" s="3"/>
      <c r="W147" s="3"/>
      <c r="X147" s="3"/>
      <c r="Y147" s="3"/>
    </row>
    <row r="148" spans="1:25" x14ac:dyDescent="0.3">
      <c r="A148" s="317"/>
      <c r="B148" s="516"/>
      <c r="C148" s="268"/>
      <c r="D148" s="268"/>
      <c r="E148" s="264"/>
      <c r="F148" s="264"/>
      <c r="G148" s="266">
        <v>11</v>
      </c>
      <c r="H148" s="516"/>
      <c r="I148" s="270"/>
      <c r="J148" s="275"/>
      <c r="K148" s="287"/>
      <c r="L148" s="287"/>
      <c r="M148" s="280"/>
      <c r="N148" s="280"/>
      <c r="O148" s="280"/>
      <c r="P148" s="512"/>
      <c r="Q148" s="345"/>
      <c r="R148" s="3"/>
      <c r="S148" s="3"/>
      <c r="T148" s="3"/>
      <c r="U148" s="3"/>
      <c r="V148" s="3"/>
      <c r="W148" s="3"/>
      <c r="X148" s="3"/>
      <c r="Y148" s="3"/>
    </row>
    <row r="149" spans="1:25" x14ac:dyDescent="0.3">
      <c r="A149" s="317"/>
      <c r="B149" s="248"/>
      <c r="C149" s="248"/>
      <c r="D149" s="248"/>
      <c r="E149" s="248"/>
      <c r="F149" s="248"/>
      <c r="G149" s="248"/>
      <c r="H149" s="248"/>
      <c r="I149" s="248"/>
      <c r="J149" s="248"/>
      <c r="K149" s="284"/>
      <c r="L149" s="284"/>
      <c r="X149" s="306"/>
      <c r="Y149" s="306"/>
    </row>
    <row r="150" spans="1:25" x14ac:dyDescent="0.3">
      <c r="A150" s="317" t="s">
        <v>397</v>
      </c>
      <c r="B150" s="269" t="s">
        <v>400</v>
      </c>
      <c r="C150" s="253" t="s">
        <v>386</v>
      </c>
      <c r="D150" s="253" t="s">
        <v>387</v>
      </c>
      <c r="E150" s="253" t="s">
        <v>390</v>
      </c>
      <c r="F150" s="253" t="s">
        <v>389</v>
      </c>
      <c r="G150" s="253" t="s">
        <v>68</v>
      </c>
      <c r="H150" s="269" t="str">
        <f>B150</f>
        <v>Cert y 9348  FCal 2023-01-12</v>
      </c>
      <c r="I150" s="255" t="s">
        <v>354</v>
      </c>
      <c r="J150" s="237" t="s">
        <v>355</v>
      </c>
      <c r="K150" s="229"/>
      <c r="L150" s="229"/>
      <c r="M150" s="1"/>
      <c r="N150" s="1"/>
      <c r="O150" s="1"/>
      <c r="R150" s="2">
        <f>R124</f>
        <v>2021</v>
      </c>
      <c r="S150" s="2">
        <f t="shared" ref="S150:Y150" si="43">S124</f>
        <v>2023</v>
      </c>
      <c r="T150" s="2">
        <f t="shared" si="43"/>
        <v>2024</v>
      </c>
      <c r="U150" s="2">
        <f t="shared" si="43"/>
        <v>2025</v>
      </c>
      <c r="V150" s="2">
        <f t="shared" si="43"/>
        <v>2026</v>
      </c>
      <c r="W150" s="2">
        <f t="shared" si="43"/>
        <v>2027</v>
      </c>
      <c r="X150" s="2">
        <f t="shared" si="43"/>
        <v>2028</v>
      </c>
      <c r="Y150" s="2">
        <f t="shared" si="43"/>
        <v>2029</v>
      </c>
    </row>
    <row r="151" spans="1:25" x14ac:dyDescent="0.3">
      <c r="A151" s="317"/>
      <c r="B151" s="514" t="s">
        <v>404</v>
      </c>
      <c r="C151" s="264">
        <v>1.0000000000000001E-101</v>
      </c>
      <c r="D151" s="265">
        <v>0</v>
      </c>
      <c r="E151" s="265">
        <f t="shared" ref="E151:E159" si="44">D151-C151</f>
        <v>-1.0000000000000001E-101</v>
      </c>
      <c r="F151" s="265">
        <v>6.4000000000000003E-3</v>
      </c>
      <c r="G151" s="266">
        <v>1</v>
      </c>
      <c r="H151" s="514" t="str">
        <f>B151</f>
        <v>TEC-LAB-PS-03+</v>
      </c>
      <c r="I151" s="270">
        <v>-1.0109567774333436E-101</v>
      </c>
      <c r="J151" s="275">
        <v>6.4000000000000003E-3</v>
      </c>
      <c r="K151" s="286"/>
      <c r="L151" s="308"/>
      <c r="M151" s="280">
        <v>0</v>
      </c>
      <c r="N151" s="280"/>
      <c r="O151" s="280"/>
      <c r="P151" s="512" t="str">
        <f>B151</f>
        <v>TEC-LAB-PS-03+</v>
      </c>
      <c r="Q151" s="345"/>
      <c r="R151" s="2" t="s">
        <v>209</v>
      </c>
      <c r="S151" s="2">
        <v>-1.0000000000000001E-101</v>
      </c>
      <c r="T151" s="2" t="s">
        <v>209</v>
      </c>
      <c r="U151" s="2">
        <v>-1.0000000000000001E-101</v>
      </c>
      <c r="V151" s="2"/>
      <c r="W151" s="2"/>
      <c r="X151" s="2"/>
      <c r="Y151" s="2"/>
    </row>
    <row r="152" spans="1:25" x14ac:dyDescent="0.3">
      <c r="A152" s="317"/>
      <c r="B152" s="515"/>
      <c r="C152" s="264">
        <v>3</v>
      </c>
      <c r="D152" s="347">
        <v>3.0204</v>
      </c>
      <c r="E152" s="265">
        <f t="shared" si="44"/>
        <v>2.0399999999999974E-2</v>
      </c>
      <c r="F152" s="265">
        <v>6.8999999999999999E-3</v>
      </c>
      <c r="G152" s="266">
        <v>2</v>
      </c>
      <c r="H152" s="515"/>
      <c r="I152" s="270">
        <v>1.010956777433351</v>
      </c>
      <c r="J152" s="275">
        <v>9.6089096915614395E-4</v>
      </c>
      <c r="K152" s="286"/>
      <c r="L152" s="308"/>
      <c r="M152" s="280">
        <v>-2.0400000000000001E-2</v>
      </c>
      <c r="N152" s="280"/>
      <c r="O152" s="280"/>
      <c r="P152" s="512"/>
      <c r="Q152" s="345"/>
      <c r="R152" s="2" t="s">
        <v>209</v>
      </c>
      <c r="S152" s="2">
        <v>-4.9999999999998934E-3</v>
      </c>
      <c r="T152" s="2" t="s">
        <v>209</v>
      </c>
      <c r="U152" s="2">
        <v>-2.0400000000000001E-2</v>
      </c>
      <c r="V152" s="2"/>
      <c r="W152" s="2"/>
      <c r="X152" s="2"/>
      <c r="Y152" s="2"/>
    </row>
    <row r="153" spans="1:25" x14ac:dyDescent="0.3">
      <c r="A153" s="317"/>
      <c r="B153" s="515"/>
      <c r="C153" s="264">
        <v>5</v>
      </c>
      <c r="D153" s="265">
        <v>5.0374999999999996</v>
      </c>
      <c r="E153" s="265">
        <f t="shared" si="44"/>
        <v>3.7499999999999645E-2</v>
      </c>
      <c r="F153" s="265">
        <v>7.3000000000000001E-3</v>
      </c>
      <c r="G153" s="266">
        <v>3</v>
      </c>
      <c r="H153" s="515"/>
      <c r="I153" s="270">
        <v>-4.6078597618067346E-3</v>
      </c>
      <c r="J153" s="275">
        <v>-7.445791725813678E-4</v>
      </c>
      <c r="K153" s="286"/>
      <c r="L153" s="308"/>
      <c r="M153" s="280">
        <v>-3.7499999999999999E-2</v>
      </c>
      <c r="N153" s="280"/>
      <c r="O153" s="280"/>
      <c r="P153" s="512"/>
      <c r="Q153" s="345"/>
      <c r="R153" s="2" t="s">
        <v>209</v>
      </c>
      <c r="S153" s="2">
        <v>8.2000000000004292E-3</v>
      </c>
      <c r="T153" s="2" t="s">
        <v>209</v>
      </c>
      <c r="U153" s="2">
        <v>-3.7499999999999999E-2</v>
      </c>
      <c r="V153" s="2"/>
      <c r="W153" s="2"/>
      <c r="X153" s="2"/>
      <c r="Y153" s="2"/>
    </row>
    <row r="154" spans="1:25" x14ac:dyDescent="0.3">
      <c r="A154" s="317"/>
      <c r="B154" s="515"/>
      <c r="C154" s="264">
        <v>10</v>
      </c>
      <c r="D154" s="265">
        <v>10.0595</v>
      </c>
      <c r="E154" s="265">
        <f t="shared" si="44"/>
        <v>5.9499999999999886E-2</v>
      </c>
      <c r="F154" s="265">
        <v>7.3000000000000001E-3</v>
      </c>
      <c r="G154" s="266">
        <v>4</v>
      </c>
      <c r="H154" s="515"/>
      <c r="I154" s="270">
        <v>1.7711319109863996E-3</v>
      </c>
      <c r="J154" s="275">
        <v>2.6531352105356242E-4</v>
      </c>
      <c r="K154" s="286"/>
      <c r="L154" s="308"/>
      <c r="M154" s="280">
        <v>-5.9499999999999997E-2</v>
      </c>
      <c r="N154" s="280"/>
      <c r="O154" s="280"/>
      <c r="P154" s="512"/>
      <c r="Q154" s="345"/>
      <c r="R154" s="2" t="s">
        <v>209</v>
      </c>
      <c r="S154" s="2">
        <v>1.3099999999999667E-2</v>
      </c>
      <c r="T154" s="2" t="s">
        <v>209</v>
      </c>
      <c r="U154" s="2">
        <v>-5.9499999999999997E-2</v>
      </c>
      <c r="V154" s="2"/>
      <c r="W154" s="2"/>
      <c r="X154" s="2"/>
      <c r="Y154" s="2"/>
    </row>
    <row r="155" spans="1:25" x14ac:dyDescent="0.3">
      <c r="A155" s="317"/>
      <c r="B155" s="515"/>
      <c r="C155" s="264">
        <v>15</v>
      </c>
      <c r="D155" s="265">
        <v>15.052300000000001</v>
      </c>
      <c r="E155" s="265">
        <f t="shared" si="44"/>
        <v>5.2300000000000679E-2</v>
      </c>
      <c r="F155" s="265">
        <v>9.1000000000000004E-3</v>
      </c>
      <c r="G155" s="266">
        <v>5</v>
      </c>
      <c r="H155" s="515"/>
      <c r="I155" s="270">
        <v>-2.9872550498264826E-4</v>
      </c>
      <c r="J155" s="275">
        <v>-4.6046932593942141E-5</v>
      </c>
      <c r="K155" s="286"/>
      <c r="L155" s="308"/>
      <c r="M155" s="280">
        <v>-5.2299999999999999E-2</v>
      </c>
      <c r="N155" s="280"/>
      <c r="O155" s="280"/>
      <c r="P155" s="512"/>
      <c r="Q155" s="345"/>
      <c r="R155" s="2" t="s">
        <v>209</v>
      </c>
      <c r="S155" s="2">
        <v>1.6700000000000159E-2</v>
      </c>
      <c r="T155" s="2" t="s">
        <v>209</v>
      </c>
      <c r="U155" s="2">
        <v>-5.2299999999999999E-2</v>
      </c>
      <c r="V155" s="2"/>
      <c r="W155" s="2"/>
      <c r="X155" s="2"/>
      <c r="Y155" s="2"/>
    </row>
    <row r="156" spans="1:25" x14ac:dyDescent="0.3">
      <c r="A156" s="317"/>
      <c r="B156" s="515"/>
      <c r="C156" s="264">
        <v>17</v>
      </c>
      <c r="D156" s="265">
        <v>17.048999999999999</v>
      </c>
      <c r="E156" s="265">
        <f t="shared" si="44"/>
        <v>4.8999999999999488E-2</v>
      </c>
      <c r="F156" s="265">
        <v>9.5999999999999992E-3</v>
      </c>
      <c r="G156" s="266">
        <v>6</v>
      </c>
      <c r="H156" s="515"/>
      <c r="I156" s="270">
        <v>2.5334538052791677E-5</v>
      </c>
      <c r="J156" s="275">
        <v>4.2188382581419744E-6</v>
      </c>
      <c r="K156" s="286"/>
      <c r="L156" s="286"/>
      <c r="M156" s="280">
        <v>-4.9000000000000002E-2</v>
      </c>
      <c r="N156" s="280"/>
      <c r="O156" s="280"/>
      <c r="P156" s="512"/>
      <c r="Q156" s="345"/>
      <c r="R156" s="2" t="s">
        <v>209</v>
      </c>
      <c r="S156" s="2">
        <v>8.1999999999986528E-3</v>
      </c>
      <c r="T156" s="2" t="s">
        <v>209</v>
      </c>
      <c r="U156" s="128">
        <v>-4.9000000000000002E-2</v>
      </c>
      <c r="V156" s="2"/>
      <c r="W156" s="2"/>
      <c r="X156" s="2"/>
      <c r="Y156" s="2"/>
    </row>
    <row r="157" spans="1:25" x14ac:dyDescent="0.3">
      <c r="A157" s="317"/>
      <c r="B157" s="515"/>
      <c r="C157" s="264">
        <v>20</v>
      </c>
      <c r="D157" s="265">
        <v>20.034400000000002</v>
      </c>
      <c r="E157" s="265">
        <f t="shared" si="44"/>
        <v>3.440000000000154E-2</v>
      </c>
      <c r="F157" s="265">
        <v>7.1000000000000004E-3</v>
      </c>
      <c r="G157" s="266">
        <v>7</v>
      </c>
      <c r="H157" s="515"/>
      <c r="I157" s="270">
        <v>-1.1466679908824047E-6</v>
      </c>
      <c r="J157" s="275">
        <v>-2.0746867160950213E-7</v>
      </c>
      <c r="K157" s="286"/>
      <c r="L157" s="286"/>
      <c r="M157" s="280">
        <v>-3.44E-2</v>
      </c>
      <c r="N157" s="280"/>
      <c r="O157" s="280"/>
      <c r="P157" s="512"/>
      <c r="Q157" s="345"/>
      <c r="R157" s="2" t="s">
        <v>209</v>
      </c>
      <c r="S157" s="2">
        <v>-8.1999999999986528E-3</v>
      </c>
      <c r="T157" s="2" t="s">
        <v>209</v>
      </c>
      <c r="U157" s="2">
        <v>-3.44E-2</v>
      </c>
      <c r="V157" s="2"/>
      <c r="W157" s="2"/>
      <c r="X157" s="2"/>
      <c r="Y157" s="2"/>
    </row>
    <row r="158" spans="1:25" x14ac:dyDescent="0.3">
      <c r="A158" s="317"/>
      <c r="B158" s="515"/>
      <c r="C158" s="264">
        <v>25</v>
      </c>
      <c r="D158" s="265">
        <v>25.001000000000001</v>
      </c>
      <c r="E158" s="265">
        <f t="shared" si="44"/>
        <v>1.0000000000012221E-3</v>
      </c>
      <c r="F158" s="265">
        <v>7.1000000000000004E-3</v>
      </c>
      <c r="G158" s="266">
        <v>8</v>
      </c>
      <c r="H158" s="515"/>
      <c r="I158" s="270">
        <v>2.6447305711558226E-8</v>
      </c>
      <c r="J158" s="275">
        <v>5.1557227017615416E-9</v>
      </c>
      <c r="K158" s="286"/>
      <c r="L158" s="286"/>
      <c r="M158" s="280">
        <v>-1E-4</v>
      </c>
      <c r="N158" s="280"/>
      <c r="O158" s="280"/>
      <c r="P158" s="512"/>
      <c r="Q158" s="345"/>
      <c r="R158" s="2" t="s">
        <v>209</v>
      </c>
      <c r="S158" s="2">
        <v>-4.1100000000000136E-2</v>
      </c>
      <c r="T158" s="2" t="s">
        <v>209</v>
      </c>
      <c r="U158" s="2">
        <v>-1E-4</v>
      </c>
      <c r="V158" s="2"/>
      <c r="W158" s="2"/>
      <c r="X158" s="2"/>
      <c r="Y158" s="2"/>
    </row>
    <row r="159" spans="1:25" x14ac:dyDescent="0.3">
      <c r="A159" s="317"/>
      <c r="B159" s="515"/>
      <c r="C159" s="264">
        <v>30</v>
      </c>
      <c r="D159" s="265">
        <v>29.942</v>
      </c>
      <c r="E159" s="265">
        <f t="shared" si="44"/>
        <v>-5.7999999999999829E-2</v>
      </c>
      <c r="F159" s="265">
        <v>1.0999999999999999E-2</v>
      </c>
      <c r="G159" s="266">
        <v>9</v>
      </c>
      <c r="H159" s="515"/>
      <c r="I159" s="270">
        <v>-2.4417530458665366E-10</v>
      </c>
      <c r="J159" s="275">
        <v>-5.0675687697228714E-11</v>
      </c>
      <c r="K159" s="287"/>
      <c r="L159" s="287"/>
      <c r="M159" s="280">
        <v>5.8000000000000003E-2</v>
      </c>
      <c r="N159" s="280"/>
      <c r="O159" s="280"/>
      <c r="P159" s="512"/>
      <c r="Q159" s="345"/>
      <c r="R159" s="2" t="s">
        <v>209</v>
      </c>
      <c r="S159" s="128">
        <v>-7.1000000000001506E-2</v>
      </c>
      <c r="T159" s="2" t="s">
        <v>209</v>
      </c>
      <c r="U159" s="128">
        <v>5.8000000000000003E-2</v>
      </c>
      <c r="V159" s="2"/>
      <c r="W159" s="2"/>
      <c r="X159" s="2"/>
      <c r="Y159" s="2"/>
    </row>
    <row r="160" spans="1:25" x14ac:dyDescent="0.3">
      <c r="A160" s="317"/>
      <c r="B160" s="515"/>
      <c r="C160" s="268"/>
      <c r="D160" s="268"/>
      <c r="E160" s="264"/>
      <c r="F160" s="264"/>
      <c r="G160" s="266">
        <v>10</v>
      </c>
      <c r="H160" s="515"/>
      <c r="I160" s="270"/>
      <c r="J160" s="275"/>
      <c r="K160" s="287"/>
      <c r="L160" s="287"/>
      <c r="M160" s="280"/>
      <c r="N160" s="280"/>
      <c r="O160" s="280"/>
      <c r="P160" s="512"/>
      <c r="Q160" s="345"/>
      <c r="R160" s="3"/>
      <c r="S160" s="3"/>
      <c r="T160" s="3"/>
      <c r="U160" s="3"/>
      <c r="V160" s="3"/>
      <c r="W160" s="3"/>
      <c r="X160" s="3"/>
      <c r="Y160" s="3"/>
    </row>
    <row r="161" spans="1:25" x14ac:dyDescent="0.3">
      <c r="A161" s="317"/>
      <c r="B161" s="516"/>
      <c r="C161" s="268"/>
      <c r="D161" s="268"/>
      <c r="E161" s="264"/>
      <c r="F161" s="264"/>
      <c r="G161" s="266">
        <v>11</v>
      </c>
      <c r="H161" s="516"/>
      <c r="I161" s="270"/>
      <c r="J161" s="275"/>
      <c r="K161" s="287"/>
      <c r="L161" s="287"/>
      <c r="M161" s="280"/>
      <c r="N161" s="280"/>
      <c r="O161" s="280"/>
      <c r="P161" s="512"/>
      <c r="Q161" s="345"/>
      <c r="R161" s="3"/>
      <c r="S161" s="3"/>
      <c r="T161" s="3"/>
      <c r="U161" s="3"/>
      <c r="V161" s="3"/>
      <c r="W161" s="3"/>
      <c r="X161" s="3"/>
      <c r="Y161" s="3"/>
    </row>
    <row r="162" spans="1:25" x14ac:dyDescent="0.3">
      <c r="A162" s="317"/>
      <c r="B162" s="248"/>
      <c r="C162" s="248"/>
      <c r="D162" s="248"/>
      <c r="E162" s="248"/>
      <c r="F162" s="248"/>
      <c r="G162" s="248"/>
      <c r="H162" s="248"/>
      <c r="I162" s="248"/>
      <c r="J162" s="248"/>
      <c r="K162" s="284"/>
      <c r="L162" s="284"/>
      <c r="X162" s="306"/>
      <c r="Y162" s="306"/>
    </row>
    <row r="163" spans="1:25" x14ac:dyDescent="0.3">
      <c r="A163" s="317" t="s">
        <v>397</v>
      </c>
      <c r="B163" s="269" t="s">
        <v>643</v>
      </c>
      <c r="C163" s="253" t="s">
        <v>386</v>
      </c>
      <c r="D163" s="253" t="s">
        <v>387</v>
      </c>
      <c r="E163" s="253" t="s">
        <v>390</v>
      </c>
      <c r="F163" s="253" t="s">
        <v>389</v>
      </c>
      <c r="G163" s="253" t="s">
        <v>68</v>
      </c>
      <c r="H163" s="269" t="str">
        <f>B163</f>
        <v>Cert 13027 F Cal 2025-08-21 Con Sello</v>
      </c>
      <c r="I163" s="255" t="s">
        <v>354</v>
      </c>
      <c r="J163" s="237" t="s">
        <v>355</v>
      </c>
      <c r="K163" s="229"/>
      <c r="L163" s="1"/>
      <c r="M163" s="1"/>
      <c r="N163" s="1"/>
      <c r="O163" s="1"/>
      <c r="R163" s="2">
        <f>R137</f>
        <v>2021</v>
      </c>
      <c r="S163" s="2">
        <f t="shared" ref="S163:Y163" si="45">S137</f>
        <v>2023</v>
      </c>
      <c r="T163" s="2">
        <f t="shared" si="45"/>
        <v>2024</v>
      </c>
      <c r="U163" s="2">
        <f t="shared" si="45"/>
        <v>2025</v>
      </c>
      <c r="V163" s="2">
        <f t="shared" si="45"/>
        <v>2026</v>
      </c>
      <c r="W163" s="2">
        <f t="shared" si="45"/>
        <v>2027</v>
      </c>
      <c r="X163" s="2">
        <f t="shared" si="45"/>
        <v>2028</v>
      </c>
      <c r="Y163" s="2">
        <f t="shared" si="45"/>
        <v>2029</v>
      </c>
    </row>
    <row r="164" spans="1:25" x14ac:dyDescent="0.3">
      <c r="A164" s="317"/>
      <c r="B164" s="514" t="s">
        <v>18</v>
      </c>
      <c r="C164" s="267">
        <v>1E-300</v>
      </c>
      <c r="D164" s="267">
        <v>0</v>
      </c>
      <c r="E164" s="267">
        <f>D164-C164</f>
        <v>-1E-300</v>
      </c>
      <c r="F164" s="264">
        <v>5.8000000000000003E-2</v>
      </c>
      <c r="G164" s="266">
        <v>1</v>
      </c>
      <c r="H164" s="514" t="str">
        <f>B164</f>
        <v>TEC-LAB-PS-10</v>
      </c>
      <c r="I164" s="270">
        <v>-1.0016728304784532E-300</v>
      </c>
      <c r="J164" s="275">
        <v>5.8000000000000003E-2</v>
      </c>
      <c r="K164" s="286"/>
      <c r="L164" s="282"/>
      <c r="M164" s="280"/>
      <c r="N164" s="280"/>
      <c r="O164" s="280"/>
      <c r="P164" s="512" t="str">
        <f>B164</f>
        <v>TEC-LAB-PS-10</v>
      </c>
      <c r="R164" s="37">
        <v>0</v>
      </c>
      <c r="S164" s="37">
        <v>0</v>
      </c>
      <c r="T164" s="37">
        <v>-1E-300</v>
      </c>
      <c r="U164" s="37">
        <v>-1E-300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3">
      <c r="A165" s="317"/>
      <c r="B165" s="515"/>
      <c r="C165" s="267">
        <v>400.1</v>
      </c>
      <c r="D165" s="267">
        <v>400</v>
      </c>
      <c r="E165" s="267">
        <f t="shared" ref="E165:E174" si="46">D165-C165</f>
        <v>-0.10000000000002274</v>
      </c>
      <c r="F165" s="264">
        <v>0.19</v>
      </c>
      <c r="G165" s="266">
        <v>2</v>
      </c>
      <c r="H165" s="515"/>
      <c r="I165" s="270">
        <v>1.0016728304784506</v>
      </c>
      <c r="J165" s="275">
        <v>1.1606659890797308E-3</v>
      </c>
      <c r="K165" s="286"/>
      <c r="L165" s="282"/>
      <c r="M165" s="280"/>
      <c r="N165" s="280"/>
      <c r="O165" s="280"/>
      <c r="P165" s="512"/>
      <c r="R165" s="37">
        <v>-0.22</v>
      </c>
      <c r="S165" s="37">
        <v>-7.8E-2</v>
      </c>
      <c r="T165" s="37">
        <v>7.7999999999974534E-2</v>
      </c>
      <c r="U165" s="37">
        <v>-0.10000000000002274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3">
      <c r="A166" s="317"/>
      <c r="B166" s="515"/>
      <c r="C166" s="267">
        <v>700.08</v>
      </c>
      <c r="D166" s="267">
        <v>700</v>
      </c>
      <c r="E166" s="267">
        <f t="shared" si="46"/>
        <v>-8.0000000000040927E-2</v>
      </c>
      <c r="F166" s="264">
        <v>0.22</v>
      </c>
      <c r="G166" s="266">
        <v>3</v>
      </c>
      <c r="H166" s="515"/>
      <c r="I166" s="270">
        <v>-1.366890853823292E-5</v>
      </c>
      <c r="J166" s="275">
        <v>-4.540635993832723E-6</v>
      </c>
      <c r="K166" s="286"/>
      <c r="L166" s="282"/>
      <c r="M166" s="280"/>
      <c r="N166" s="280"/>
      <c r="O166" s="280"/>
      <c r="P166" s="512"/>
      <c r="R166" s="37">
        <v>-0.3</v>
      </c>
      <c r="S166" s="37">
        <v>-0.03</v>
      </c>
      <c r="T166" s="37">
        <v>2.9999999999972715E-2</v>
      </c>
      <c r="U166" s="37">
        <v>-8.0000000000040927E-2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3">
      <c r="A167" s="317"/>
      <c r="B167" s="515"/>
      <c r="C167" s="267">
        <v>1000</v>
      </c>
      <c r="D167" s="267">
        <v>1000</v>
      </c>
      <c r="E167" s="267">
        <f t="shared" si="46"/>
        <v>0</v>
      </c>
      <c r="F167" s="264">
        <v>0.24</v>
      </c>
      <c r="G167" s="266">
        <v>4</v>
      </c>
      <c r="H167" s="515"/>
      <c r="I167" s="270">
        <v>3.699510480524172E-8</v>
      </c>
      <c r="J167" s="275">
        <v>9.591730270781515E-9</v>
      </c>
      <c r="K167" s="286"/>
      <c r="L167" s="282"/>
      <c r="M167" s="280"/>
      <c r="N167" s="280"/>
      <c r="O167" s="280"/>
      <c r="P167" s="512"/>
      <c r="R167" s="37">
        <v>-0.25</v>
      </c>
      <c r="S167" s="37">
        <v>-0.05</v>
      </c>
      <c r="T167" s="37">
        <v>4.9999999999954525E-2</v>
      </c>
      <c r="U167" s="37">
        <v>0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3">
      <c r="A168" s="317"/>
      <c r="B168" s="515"/>
      <c r="C168" s="267">
        <v>1500</v>
      </c>
      <c r="D168" s="267">
        <v>1500</v>
      </c>
      <c r="E168" s="267">
        <f t="shared" si="46"/>
        <v>0</v>
      </c>
      <c r="F168" s="264">
        <v>0.2</v>
      </c>
      <c r="G168" s="266">
        <v>5</v>
      </c>
      <c r="H168" s="515"/>
      <c r="I168" s="270">
        <v>-5.0193263287271128E-11</v>
      </c>
      <c r="J168" s="275">
        <v>-1.114392193659089E-11</v>
      </c>
      <c r="K168" s="286"/>
      <c r="L168" s="282"/>
      <c r="M168" s="280"/>
      <c r="N168" s="280"/>
      <c r="O168" s="280"/>
      <c r="P168" s="512"/>
      <c r="R168" s="37">
        <v>-0.25</v>
      </c>
      <c r="S168" s="37">
        <v>-0.05</v>
      </c>
      <c r="T168" s="37">
        <v>4.9999999999954525E-2</v>
      </c>
      <c r="U168" s="37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3">
      <c r="A169" s="317"/>
      <c r="B169" s="515"/>
      <c r="C169" s="267">
        <v>1999.98</v>
      </c>
      <c r="D169" s="267">
        <v>2000</v>
      </c>
      <c r="E169" s="267">
        <f t="shared" si="46"/>
        <v>1.999999999998181E-2</v>
      </c>
      <c r="F169" s="264">
        <v>0.18</v>
      </c>
      <c r="G169" s="266">
        <v>6</v>
      </c>
      <c r="H169" s="515"/>
      <c r="I169" s="270">
        <v>3.9565124786863683E-14</v>
      </c>
      <c r="J169" s="275">
        <v>7.5206410940579546E-15</v>
      </c>
      <c r="K169" s="286"/>
      <c r="L169" s="279"/>
      <c r="M169" s="280"/>
      <c r="N169" s="280"/>
      <c r="O169" s="280"/>
      <c r="P169" s="512"/>
      <c r="R169" s="37">
        <v>-0.3</v>
      </c>
      <c r="S169" s="37">
        <v>-0.1</v>
      </c>
      <c r="T169" s="37">
        <v>9.9999999999909051E-2</v>
      </c>
      <c r="U169" s="37">
        <v>1.999999999998181E-2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3">
      <c r="A170" s="317"/>
      <c r="B170" s="515"/>
      <c r="C170" s="267">
        <v>2499.9299999999998</v>
      </c>
      <c r="D170" s="267">
        <v>2500</v>
      </c>
      <c r="E170" s="267">
        <f t="shared" si="46"/>
        <v>7.0000000000163709E-2</v>
      </c>
      <c r="F170" s="264">
        <v>0.22</v>
      </c>
      <c r="G170" s="266">
        <v>7</v>
      </c>
      <c r="H170" s="515"/>
      <c r="I170" s="270">
        <v>-1.9263946653073332E-17</v>
      </c>
      <c r="J170" s="275">
        <v>-3.0612881804935415E-18</v>
      </c>
      <c r="K170" s="286"/>
      <c r="L170" s="279"/>
      <c r="M170" s="280"/>
      <c r="N170" s="280"/>
      <c r="O170" s="280"/>
      <c r="P170" s="512"/>
      <c r="R170" s="37">
        <v>-0.25</v>
      </c>
      <c r="S170" s="37">
        <v>-0.15</v>
      </c>
      <c r="T170" s="37">
        <v>0.15000000000009095</v>
      </c>
      <c r="U170" s="37">
        <v>7.0000000000163709E-2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3">
      <c r="A171" s="317"/>
      <c r="B171" s="515"/>
      <c r="C171" s="267">
        <v>2999.85</v>
      </c>
      <c r="D171" s="267">
        <v>3000</v>
      </c>
      <c r="E171" s="267">
        <f t="shared" si="46"/>
        <v>0.15000000000009095</v>
      </c>
      <c r="F171" s="264">
        <v>0.24</v>
      </c>
      <c r="G171" s="266">
        <v>8</v>
      </c>
      <c r="H171" s="515"/>
      <c r="I171" s="270">
        <v>5.8793687290858166E-21</v>
      </c>
      <c r="J171" s="275">
        <v>7.5611247663644815E-22</v>
      </c>
      <c r="K171" s="286"/>
      <c r="L171" s="279"/>
      <c r="M171" s="280"/>
      <c r="N171" s="280"/>
      <c r="O171" s="280"/>
      <c r="P171" s="512"/>
      <c r="R171" s="37">
        <v>-0.25</v>
      </c>
      <c r="S171" s="37">
        <v>-0.25</v>
      </c>
      <c r="T171" s="37">
        <v>0.25</v>
      </c>
      <c r="U171" s="37">
        <v>0.15000000000009095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3">
      <c r="A172" s="317"/>
      <c r="B172" s="515"/>
      <c r="C172" s="267">
        <v>3499.78</v>
      </c>
      <c r="D172" s="267">
        <v>3500</v>
      </c>
      <c r="E172" s="267">
        <f t="shared" si="46"/>
        <v>0.21999999999979991</v>
      </c>
      <c r="F172" s="264">
        <v>0.28000000000000003</v>
      </c>
      <c r="G172" s="266">
        <v>9</v>
      </c>
      <c r="H172" s="515"/>
      <c r="I172" s="270">
        <v>-1.0949084494371116E-24</v>
      </c>
      <c r="J172" s="275">
        <v>-1.0940159103024762E-25</v>
      </c>
      <c r="K172" s="287"/>
      <c r="L172" s="281"/>
      <c r="M172" s="280"/>
      <c r="N172" s="280"/>
      <c r="O172" s="280"/>
      <c r="P172" s="512"/>
      <c r="R172" s="37">
        <v>-0.35</v>
      </c>
      <c r="S172" s="37">
        <v>-0.3</v>
      </c>
      <c r="T172" s="37">
        <v>0.3000000000001819</v>
      </c>
      <c r="U172" s="37">
        <v>0.21999999999979991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3">
      <c r="A173" s="317"/>
      <c r="B173" s="515"/>
      <c r="C173" s="267">
        <v>3999.7</v>
      </c>
      <c r="D173" s="267">
        <v>4000</v>
      </c>
      <c r="E173" s="267">
        <f t="shared" si="46"/>
        <v>0.3000000000001819</v>
      </c>
      <c r="F173" s="264">
        <v>0.32</v>
      </c>
      <c r="G173" s="266">
        <v>10</v>
      </c>
      <c r="H173" s="515"/>
      <c r="I173" s="270">
        <v>1.1362870598543888E-28</v>
      </c>
      <c r="J173" s="275">
        <v>8.3471873572839861E-30</v>
      </c>
      <c r="K173" s="287"/>
      <c r="L173" s="281"/>
      <c r="M173" s="280"/>
      <c r="N173" s="280"/>
      <c r="O173" s="280"/>
      <c r="P173" s="512"/>
      <c r="R173" s="37">
        <v>-0.32</v>
      </c>
      <c r="S173" s="37">
        <v>-0.3</v>
      </c>
      <c r="T173" s="37">
        <v>0.3000000000001819</v>
      </c>
      <c r="U173" s="37">
        <v>0.3000000000001819</v>
      </c>
      <c r="V173" s="3"/>
      <c r="W173" s="3"/>
      <c r="X173" s="3"/>
      <c r="Y173" s="3"/>
    </row>
    <row r="174" spans="1:25" x14ac:dyDescent="0.3">
      <c r="A174" s="317"/>
      <c r="B174" s="516"/>
      <c r="C174" s="267">
        <v>4999.6000000000004</v>
      </c>
      <c r="D174" s="267">
        <v>5000</v>
      </c>
      <c r="E174" s="267">
        <f t="shared" si="46"/>
        <v>0.3999999999996362</v>
      </c>
      <c r="F174" s="264">
        <v>0.4</v>
      </c>
      <c r="G174" s="266">
        <v>11</v>
      </c>
      <c r="H174" s="516"/>
      <c r="I174" s="270">
        <v>-5.0298716130019585E-33</v>
      </c>
      <c r="J174" s="275">
        <v>-2.493158163356558E-34</v>
      </c>
      <c r="K174" s="287"/>
      <c r="L174" s="281"/>
      <c r="M174" s="280"/>
      <c r="N174" s="280"/>
      <c r="O174" s="280"/>
      <c r="P174" s="512"/>
      <c r="R174" s="37">
        <v>-0.4</v>
      </c>
      <c r="S174" s="37">
        <v>-0.38</v>
      </c>
      <c r="T174" s="37">
        <v>0.38000000000010914</v>
      </c>
      <c r="U174" s="37">
        <v>0.3999999999996362</v>
      </c>
      <c r="V174" s="3"/>
      <c r="W174" s="3"/>
      <c r="X174" s="3"/>
      <c r="Y174" s="3"/>
    </row>
    <row r="175" spans="1:25" x14ac:dyDescent="0.3">
      <c r="A175" s="317"/>
    </row>
    <row r="176" spans="1:25" x14ac:dyDescent="0.3">
      <c r="A176" s="317"/>
    </row>
    <row r="177" spans="1:25" x14ac:dyDescent="0.3">
      <c r="A177" s="317"/>
    </row>
    <row r="178" spans="1:25" x14ac:dyDescent="0.3">
      <c r="A178" s="317"/>
    </row>
    <row r="179" spans="1:25" x14ac:dyDescent="0.3">
      <c r="A179" s="317"/>
    </row>
    <row r="180" spans="1:25" x14ac:dyDescent="0.3">
      <c r="A180" s="317" t="s">
        <v>660</v>
      </c>
      <c r="B180" s="269" t="s">
        <v>661</v>
      </c>
      <c r="C180" s="253" t="s">
        <v>386</v>
      </c>
      <c r="D180" s="253" t="s">
        <v>387</v>
      </c>
      <c r="E180" s="253" t="s">
        <v>390</v>
      </c>
      <c r="F180" s="253" t="s">
        <v>389</v>
      </c>
      <c r="G180" s="253" t="s">
        <v>107</v>
      </c>
      <c r="H180" s="269" t="str">
        <f>B180</f>
        <v>7a TEC-LAB-PDI-03 Additel  -2 a 2 In H2O FCal 2025-12-17 Cert N25121723</v>
      </c>
      <c r="I180" s="255" t="s">
        <v>354</v>
      </c>
      <c r="J180" s="237" t="s">
        <v>355</v>
      </c>
      <c r="K180" s="229"/>
      <c r="L180" s="229"/>
      <c r="M180" s="1"/>
      <c r="N180" s="1"/>
      <c r="O180" s="1"/>
      <c r="R180" s="2">
        <f>R98</f>
        <v>2021</v>
      </c>
      <c r="S180" s="2">
        <f t="shared" ref="S180:Y180" si="47">S98</f>
        <v>2023</v>
      </c>
      <c r="T180" s="2">
        <f t="shared" si="47"/>
        <v>2024</v>
      </c>
      <c r="U180" s="2">
        <f t="shared" si="47"/>
        <v>2025</v>
      </c>
      <c r="V180" s="2">
        <f t="shared" si="47"/>
        <v>2026</v>
      </c>
      <c r="W180" s="2">
        <f t="shared" si="47"/>
        <v>2027</v>
      </c>
      <c r="X180" s="2">
        <f t="shared" si="47"/>
        <v>2028</v>
      </c>
      <c r="Y180" s="2">
        <f t="shared" si="47"/>
        <v>2029</v>
      </c>
    </row>
    <row r="181" spans="1:25" x14ac:dyDescent="0.3">
      <c r="A181" s="317"/>
      <c r="B181" s="514" t="s">
        <v>285</v>
      </c>
      <c r="C181" s="265">
        <v>-1.9992000000000001</v>
      </c>
      <c r="D181" s="315">
        <v>-1.99915</v>
      </c>
      <c r="E181" s="265">
        <v>-1E-4</v>
      </c>
      <c r="F181" s="315">
        <v>5.1999999999999995E-4</v>
      </c>
      <c r="G181" s="266">
        <v>1</v>
      </c>
      <c r="H181" s="514" t="str">
        <f>B181</f>
        <v>TEC-LAB-PDI-01</v>
      </c>
      <c r="I181" s="270">
        <v>-1.1002844937034952E-4</v>
      </c>
      <c r="J181" s="275">
        <v>4.9000012378348215E-4</v>
      </c>
      <c r="K181" s="286"/>
      <c r="L181" s="308"/>
      <c r="M181" s="280"/>
      <c r="N181" s="280"/>
      <c r="O181" s="280"/>
      <c r="P181" s="512" t="str">
        <f>B181</f>
        <v>TEC-LAB-PDI-01</v>
      </c>
      <c r="Q181" s="345"/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3">
      <c r="A182" s="317"/>
      <c r="B182" s="515"/>
      <c r="C182" s="265">
        <v>-1.4993000000000001</v>
      </c>
      <c r="D182" s="315">
        <v>-1.4994700000000001</v>
      </c>
      <c r="E182" s="265">
        <v>2.0000000000000001E-4</v>
      </c>
      <c r="F182" s="315">
        <v>5.0000000000000001E-4</v>
      </c>
      <c r="G182" s="266">
        <v>2</v>
      </c>
      <c r="H182" s="515"/>
      <c r="I182" s="270">
        <v>1.0001422394589052</v>
      </c>
      <c r="J182" s="275">
        <v>-6.1899016005074597E-7</v>
      </c>
      <c r="K182" s="286"/>
      <c r="L182" s="308"/>
      <c r="M182" s="280"/>
      <c r="N182" s="280"/>
      <c r="O182" s="280"/>
      <c r="P182" s="512"/>
      <c r="Q182" s="345"/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3">
      <c r="A183" s="317"/>
      <c r="B183" s="515"/>
      <c r="C183" s="265">
        <v>-0.99939999999999996</v>
      </c>
      <c r="D183" s="315">
        <v>-0.99951000000000001</v>
      </c>
      <c r="E183" s="265">
        <v>2.0000000000000001E-4</v>
      </c>
      <c r="F183" s="315">
        <v>4.8999999999999998E-4</v>
      </c>
      <c r="G183" s="266">
        <v>3</v>
      </c>
      <c r="H183" s="515"/>
      <c r="I183" s="270">
        <v>3.6992885748536597E-5</v>
      </c>
      <c r="J183" s="275">
        <v>3.6350687905547268E-7</v>
      </c>
      <c r="K183" s="286"/>
      <c r="L183" s="308"/>
      <c r="M183" s="280"/>
      <c r="N183" s="280"/>
      <c r="O183" s="280"/>
      <c r="P183" s="512"/>
      <c r="Q183" s="345"/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3">
      <c r="A184" s="317"/>
      <c r="B184" s="515"/>
      <c r="C184" s="265">
        <v>-0.49959999999999999</v>
      </c>
      <c r="D184" s="315">
        <v>-0.49974000000000002</v>
      </c>
      <c r="E184" s="265">
        <v>2.0000000000000001E-4</v>
      </c>
      <c r="F184" s="315">
        <v>4.8999999999999998E-4</v>
      </c>
      <c r="G184" s="266">
        <v>4</v>
      </c>
      <c r="H184" s="515"/>
      <c r="I184" s="270">
        <v>-3.8352741592842521E-4</v>
      </c>
      <c r="J184" s="275">
        <v>3.2256248439535258E-6</v>
      </c>
      <c r="K184" s="286"/>
      <c r="L184" s="308"/>
      <c r="M184" s="280"/>
      <c r="N184" s="280"/>
      <c r="O184" s="280"/>
      <c r="P184" s="512"/>
      <c r="Q184" s="345"/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3">
      <c r="A185" s="317"/>
      <c r="B185" s="515"/>
      <c r="C185" s="265">
        <v>2.0000000000000001E-4</v>
      </c>
      <c r="D185" s="315">
        <v>9.0000000000000006E-5</v>
      </c>
      <c r="E185" s="265">
        <v>1E-4</v>
      </c>
      <c r="F185" s="315">
        <v>4.8999999999999998E-4</v>
      </c>
      <c r="G185" s="266">
        <v>5</v>
      </c>
      <c r="H185" s="515"/>
      <c r="I185" s="270">
        <v>-1.7110820955287126E-4</v>
      </c>
      <c r="J185" s="275">
        <v>-1.8884309399632028E-6</v>
      </c>
      <c r="K185" s="286"/>
      <c r="L185" s="308"/>
      <c r="M185" s="280"/>
      <c r="N185" s="280"/>
      <c r="O185" s="280"/>
      <c r="P185" s="512"/>
      <c r="Q185" s="345"/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3">
      <c r="A186" s="317"/>
      <c r="B186" s="515"/>
      <c r="C186" s="265">
        <v>0.49990000000000001</v>
      </c>
      <c r="D186" s="315">
        <v>0.49981999999999999</v>
      </c>
      <c r="E186" s="265">
        <v>1E-4</v>
      </c>
      <c r="F186" s="315">
        <v>4.8999999999999998E-4</v>
      </c>
      <c r="G186" s="266">
        <v>6</v>
      </c>
      <c r="H186" s="515"/>
      <c r="I186" s="270">
        <v>2.266494350802728E-4</v>
      </c>
      <c r="J186" s="275">
        <v>-3.1177179374996901E-6</v>
      </c>
      <c r="K186" s="286"/>
      <c r="L186" s="286"/>
      <c r="M186" s="280"/>
      <c r="N186" s="280"/>
      <c r="O186" s="280"/>
      <c r="P186" s="512"/>
      <c r="Q186" s="345"/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3">
      <c r="A187" s="317"/>
      <c r="B187" s="515"/>
      <c r="C187" s="265">
        <v>0.99970000000000003</v>
      </c>
      <c r="D187" s="315">
        <v>0.99948999999999999</v>
      </c>
      <c r="E187" s="265">
        <v>2.9999999999999997E-4</v>
      </c>
      <c r="F187" s="315">
        <v>4.8999999999999998E-4</v>
      </c>
      <c r="G187" s="266">
        <v>7</v>
      </c>
      <c r="H187" s="515"/>
      <c r="I187" s="270">
        <v>9.8130192138910777E-5</v>
      </c>
      <c r="J187" s="275">
        <v>1.7806927706487946E-6</v>
      </c>
      <c r="K187" s="286"/>
      <c r="L187" s="286"/>
      <c r="M187" s="280"/>
      <c r="N187" s="280"/>
      <c r="O187" s="280"/>
      <c r="P187" s="512"/>
      <c r="Q187" s="345"/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3">
      <c r="A188" s="317"/>
      <c r="B188" s="515"/>
      <c r="C188" s="265">
        <v>1.4994000000000001</v>
      </c>
      <c r="D188" s="315">
        <v>1.4993000000000001</v>
      </c>
      <c r="E188" s="265">
        <v>1E-4</v>
      </c>
      <c r="F188" s="315">
        <v>4.8999999999999998E-4</v>
      </c>
      <c r="G188" s="266">
        <v>8</v>
      </c>
      <c r="H188" s="515"/>
      <c r="I188" s="270">
        <v>-3.5396758852026394E-5</v>
      </c>
      <c r="J188" s="275">
        <v>5.0947982972903654E-7</v>
      </c>
      <c r="K188" s="286"/>
      <c r="L188" s="286"/>
      <c r="M188" s="280"/>
      <c r="N188" s="280"/>
      <c r="O188" s="280"/>
      <c r="P188" s="512"/>
      <c r="Q188" s="345"/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3">
      <c r="A189" s="317"/>
      <c r="B189" s="515"/>
      <c r="C189" s="265">
        <v>1.9992000000000001</v>
      </c>
      <c r="D189" s="315">
        <v>1.9991300000000001</v>
      </c>
      <c r="E189" s="265">
        <v>0</v>
      </c>
      <c r="F189" s="315">
        <v>5.0000000000000001E-4</v>
      </c>
      <c r="G189" s="266">
        <v>9</v>
      </c>
      <c r="H189" s="515"/>
      <c r="I189" s="270">
        <v>-1.4028209090207952E-5</v>
      </c>
      <c r="J189" s="275">
        <v>-2.5463205925373889E-7</v>
      </c>
      <c r="K189" s="287"/>
      <c r="L189" s="287"/>
      <c r="M189" s="280"/>
      <c r="N189" s="280"/>
      <c r="O189" s="280"/>
      <c r="P189" s="512"/>
      <c r="Q189" s="345"/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3">
      <c r="A190" s="317"/>
      <c r="B190" s="515"/>
      <c r="C190" s="268"/>
      <c r="D190" s="268"/>
      <c r="E190" s="264"/>
      <c r="F190" s="264"/>
      <c r="G190" s="266">
        <v>10</v>
      </c>
      <c r="H190" s="515"/>
      <c r="I190" s="270"/>
      <c r="J190" s="275"/>
      <c r="K190" s="287"/>
      <c r="L190" s="287"/>
      <c r="M190" s="280"/>
      <c r="N190" s="280"/>
      <c r="O190" s="280"/>
      <c r="P190" s="512"/>
      <c r="Q190" s="345"/>
      <c r="R190" s="3"/>
      <c r="S190" s="3"/>
      <c r="T190" s="3"/>
      <c r="U190" s="3"/>
      <c r="V190" s="3"/>
      <c r="W190" s="3"/>
      <c r="X190" s="3"/>
      <c r="Y190" s="3"/>
    </row>
    <row r="191" spans="1:25" x14ac:dyDescent="0.3">
      <c r="A191" s="317"/>
      <c r="B191" s="516"/>
      <c r="C191" s="268"/>
      <c r="D191" s="268"/>
      <c r="E191" s="264"/>
      <c r="F191" s="264"/>
      <c r="G191" s="266">
        <v>11</v>
      </c>
      <c r="H191" s="516"/>
      <c r="I191" s="270"/>
      <c r="J191" s="275"/>
      <c r="K191" s="287"/>
      <c r="L191" s="287"/>
      <c r="M191" s="280"/>
      <c r="N191" s="280"/>
      <c r="O191" s="280"/>
      <c r="P191" s="512"/>
      <c r="Q191" s="345"/>
      <c r="R191" s="3"/>
      <c r="S191" s="3"/>
      <c r="T191" s="3"/>
      <c r="U191" s="3"/>
      <c r="V191" s="3"/>
      <c r="W191" s="3"/>
      <c r="X191" s="3"/>
      <c r="Y191" s="3"/>
    </row>
    <row r="192" spans="1:25" x14ac:dyDescent="0.3">
      <c r="A192" s="317"/>
      <c r="B192" s="248"/>
      <c r="C192" s="248"/>
      <c r="D192" s="248"/>
      <c r="E192" s="248"/>
      <c r="F192" s="248"/>
      <c r="G192" s="248"/>
      <c r="H192" s="248"/>
      <c r="I192" s="248"/>
      <c r="J192" s="248"/>
      <c r="K192" s="284"/>
      <c r="L192" s="284"/>
      <c r="X192" s="306"/>
      <c r="Y192" s="306"/>
    </row>
    <row r="193" spans="1:25" x14ac:dyDescent="0.3">
      <c r="A193" s="317"/>
      <c r="B193" s="269" t="s">
        <v>391</v>
      </c>
      <c r="C193" s="253" t="s">
        <v>386</v>
      </c>
      <c r="D193" s="253" t="s">
        <v>387</v>
      </c>
      <c r="E193" s="253" t="s">
        <v>390</v>
      </c>
      <c r="F193" s="253" t="s">
        <v>389</v>
      </c>
      <c r="G193" s="253" t="s">
        <v>236</v>
      </c>
      <c r="H193" s="269" t="str">
        <f>B193</f>
        <v>F.CAL 2021-01-06</v>
      </c>
      <c r="I193" s="255" t="s">
        <v>354</v>
      </c>
      <c r="J193" s="237" t="s">
        <v>355</v>
      </c>
      <c r="K193" s="229"/>
      <c r="L193" s="229"/>
      <c r="M193" s="1"/>
      <c r="N193" s="1"/>
      <c r="O193" s="1"/>
      <c r="R193" s="2">
        <f>R111</f>
        <v>2021</v>
      </c>
      <c r="S193" s="2">
        <f t="shared" ref="S193:Y193" si="48">S111</f>
        <v>2023</v>
      </c>
      <c r="T193" s="2">
        <f t="shared" si="48"/>
        <v>2024</v>
      </c>
      <c r="U193" s="2">
        <f t="shared" si="48"/>
        <v>2025</v>
      </c>
      <c r="V193" s="2">
        <f t="shared" si="48"/>
        <v>2026</v>
      </c>
      <c r="W193" s="2">
        <f t="shared" si="48"/>
        <v>2027</v>
      </c>
      <c r="X193" s="2">
        <f t="shared" si="48"/>
        <v>2028</v>
      </c>
      <c r="Y193" s="2">
        <f t="shared" si="48"/>
        <v>2029</v>
      </c>
    </row>
    <row r="194" spans="1:25" x14ac:dyDescent="0.3">
      <c r="A194" s="317"/>
      <c r="B194" s="514" t="s">
        <v>18</v>
      </c>
      <c r="C194" s="264">
        <v>-30.03</v>
      </c>
      <c r="D194" s="265">
        <v>-30.012</v>
      </c>
      <c r="E194" s="267">
        <f>D194-C194</f>
        <v>1.8000000000000682E-2</v>
      </c>
      <c r="F194" s="267">
        <v>7.4999999999999997E-2</v>
      </c>
      <c r="G194" s="266">
        <v>1</v>
      </c>
      <c r="H194" s="514" t="str">
        <f>B194</f>
        <v>TEC-LAB-PS-10</v>
      </c>
      <c r="I194" s="264">
        <v>-30.03</v>
      </c>
      <c r="J194" s="277">
        <v>-30.012</v>
      </c>
      <c r="K194" s="286"/>
      <c r="L194" s="308"/>
      <c r="M194" s="280"/>
      <c r="N194" s="280"/>
      <c r="O194" s="280"/>
      <c r="P194" s="512" t="str">
        <f>B194</f>
        <v>TEC-LAB-PS-10</v>
      </c>
      <c r="Q194" s="345"/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3">
      <c r="A195" s="317"/>
      <c r="B195" s="515"/>
      <c r="C195" s="264">
        <v>0.1</v>
      </c>
      <c r="D195" s="265">
        <v>-2.52E-2</v>
      </c>
      <c r="E195" s="267">
        <f t="shared" ref="E195:E204" si="49">D195-C195</f>
        <v>-0.12520000000000001</v>
      </c>
      <c r="F195" s="267">
        <v>7.4999999999999997E-2</v>
      </c>
      <c r="G195" s="266">
        <v>2</v>
      </c>
      <c r="H195" s="515"/>
      <c r="I195" s="264">
        <v>0.1</v>
      </c>
      <c r="J195" s="277">
        <v>-2.52E-2</v>
      </c>
      <c r="K195" s="286"/>
      <c r="L195" s="308"/>
      <c r="M195" s="280"/>
      <c r="N195" s="280"/>
      <c r="O195" s="280"/>
      <c r="P195" s="512"/>
      <c r="Q195" s="345"/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3">
      <c r="A196" s="317"/>
      <c r="B196" s="515"/>
      <c r="C196" s="264">
        <v>100.4</v>
      </c>
      <c r="D196" s="265">
        <v>100.03870000000001</v>
      </c>
      <c r="E196" s="267">
        <f t="shared" si="49"/>
        <v>-0.36129999999999995</v>
      </c>
      <c r="F196" s="267">
        <v>7.4999999999999997E-2</v>
      </c>
      <c r="G196" s="266">
        <v>3</v>
      </c>
      <c r="H196" s="515"/>
      <c r="I196" s="264">
        <v>100.4</v>
      </c>
      <c r="J196" s="277">
        <v>100.03870000000001</v>
      </c>
      <c r="K196" s="286"/>
      <c r="L196" s="308"/>
      <c r="M196" s="280"/>
      <c r="N196" s="280"/>
      <c r="O196" s="280"/>
      <c r="P196" s="512"/>
      <c r="Q196" s="345"/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3">
      <c r="A197" s="317"/>
      <c r="B197" s="515"/>
      <c r="C197" s="264">
        <v>200.5</v>
      </c>
      <c r="D197" s="265">
        <v>200.22569999999999</v>
      </c>
      <c r="E197" s="267">
        <f t="shared" si="49"/>
        <v>-0.27430000000001087</v>
      </c>
      <c r="F197" s="267">
        <v>0.16</v>
      </c>
      <c r="G197" s="266">
        <v>4</v>
      </c>
      <c r="H197" s="515"/>
      <c r="I197" s="264">
        <v>200.5</v>
      </c>
      <c r="J197" s="277">
        <v>200.22569999999999</v>
      </c>
      <c r="K197" s="286"/>
      <c r="L197" s="308"/>
      <c r="M197" s="280"/>
      <c r="N197" s="280"/>
      <c r="O197" s="280"/>
      <c r="P197" s="512"/>
      <c r="Q197" s="345"/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3">
      <c r="A198" s="317"/>
      <c r="B198" s="515"/>
      <c r="C198" s="264">
        <v>340.2</v>
      </c>
      <c r="D198" s="265">
        <v>340.33109999999999</v>
      </c>
      <c r="E198" s="267">
        <f t="shared" si="49"/>
        <v>0.13110000000000355</v>
      </c>
      <c r="F198" s="267">
        <v>0.16</v>
      </c>
      <c r="G198" s="266">
        <v>5</v>
      </c>
      <c r="H198" s="515"/>
      <c r="I198" s="264">
        <v>340.2</v>
      </c>
      <c r="J198" s="277">
        <v>340.33109999999999</v>
      </c>
      <c r="K198" s="286"/>
      <c r="L198" s="308"/>
      <c r="M198" s="280"/>
      <c r="N198" s="280"/>
      <c r="O198" s="280"/>
      <c r="P198" s="512"/>
      <c r="Q198" s="345"/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3">
      <c r="A199" s="317"/>
      <c r="B199" s="515"/>
      <c r="C199" s="264"/>
      <c r="D199" s="267"/>
      <c r="E199" s="267">
        <f t="shared" si="49"/>
        <v>0</v>
      </c>
      <c r="F199" s="265"/>
      <c r="G199" s="266">
        <v>6</v>
      </c>
      <c r="H199" s="515"/>
      <c r="I199" s="264"/>
      <c r="J199" s="278"/>
      <c r="K199" s="286"/>
      <c r="L199" s="286"/>
      <c r="M199" s="280"/>
      <c r="N199" s="280"/>
      <c r="O199" s="280"/>
      <c r="P199" s="512"/>
      <c r="Q199" s="345"/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3">
      <c r="A200" s="317"/>
      <c r="B200" s="515"/>
      <c r="C200" s="264"/>
      <c r="D200" s="267"/>
      <c r="E200" s="267">
        <f t="shared" si="49"/>
        <v>0</v>
      </c>
      <c r="F200" s="265"/>
      <c r="G200" s="266">
        <v>7</v>
      </c>
      <c r="H200" s="515"/>
      <c r="I200" s="264"/>
      <c r="J200" s="278"/>
      <c r="K200" s="286"/>
      <c r="L200" s="286"/>
      <c r="M200" s="280"/>
      <c r="N200" s="280"/>
      <c r="O200" s="280"/>
      <c r="P200" s="512"/>
      <c r="Q200" s="345"/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3">
      <c r="A201" s="317"/>
      <c r="B201" s="515"/>
      <c r="C201" s="264"/>
      <c r="D201" s="267"/>
      <c r="E201" s="267">
        <f t="shared" si="49"/>
        <v>0</v>
      </c>
      <c r="F201" s="265"/>
      <c r="G201" s="266">
        <v>8</v>
      </c>
      <c r="H201" s="515"/>
      <c r="I201" s="264"/>
      <c r="J201" s="278"/>
      <c r="K201" s="286"/>
      <c r="L201" s="286"/>
      <c r="M201" s="280"/>
      <c r="N201" s="280"/>
      <c r="O201" s="280"/>
      <c r="P201" s="512"/>
      <c r="Q201" s="345"/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3">
      <c r="A202" s="317"/>
      <c r="B202" s="515"/>
      <c r="C202" s="268"/>
      <c r="D202" s="268"/>
      <c r="E202" s="267">
        <f t="shared" si="49"/>
        <v>0</v>
      </c>
      <c r="F202" s="264"/>
      <c r="G202" s="266">
        <v>9</v>
      </c>
      <c r="H202" s="515"/>
      <c r="I202" s="268"/>
      <c r="J202" s="276"/>
      <c r="K202" s="287"/>
      <c r="L202" s="287"/>
      <c r="M202" s="280"/>
      <c r="N202" s="280"/>
      <c r="O202" s="280"/>
      <c r="P202" s="512"/>
      <c r="Q202" s="345"/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3">
      <c r="A203" s="317"/>
      <c r="B203" s="515"/>
      <c r="C203" s="268"/>
      <c r="D203" s="268"/>
      <c r="E203" s="267">
        <f t="shared" si="49"/>
        <v>0</v>
      </c>
      <c r="F203" s="264"/>
      <c r="G203" s="266">
        <v>10</v>
      </c>
      <c r="H203" s="515"/>
      <c r="I203" s="268"/>
      <c r="J203" s="276"/>
      <c r="K203" s="287"/>
      <c r="L203" s="287"/>
      <c r="M203" s="280"/>
      <c r="N203" s="280"/>
      <c r="O203" s="280"/>
      <c r="P203" s="512"/>
      <c r="Q203" s="345"/>
      <c r="R203" s="3"/>
      <c r="S203" s="3"/>
      <c r="T203" s="3"/>
      <c r="U203" s="3"/>
      <c r="V203" s="3"/>
      <c r="W203" s="3"/>
      <c r="X203" s="3"/>
      <c r="Y203" s="3"/>
    </row>
    <row r="204" spans="1:25" x14ac:dyDescent="0.3">
      <c r="A204" s="317"/>
      <c r="B204" s="516"/>
      <c r="C204" s="268"/>
      <c r="D204" s="268"/>
      <c r="E204" s="267">
        <f t="shared" si="49"/>
        <v>0</v>
      </c>
      <c r="F204" s="264"/>
      <c r="G204" s="266">
        <v>11</v>
      </c>
      <c r="H204" s="516"/>
      <c r="I204" s="268"/>
      <c r="J204" s="276"/>
      <c r="K204" s="287"/>
      <c r="L204" s="287"/>
      <c r="M204" s="280"/>
      <c r="N204" s="280"/>
      <c r="O204" s="280"/>
      <c r="P204" s="512"/>
      <c r="Q204" s="345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3">
      <c r="A205" s="317"/>
      <c r="B205" s="248"/>
      <c r="C205" s="248"/>
      <c r="D205" s="248"/>
      <c r="E205" s="248"/>
      <c r="F205" s="248"/>
      <c r="G205" s="248"/>
      <c r="H205" s="248"/>
      <c r="I205" s="248"/>
      <c r="J205" s="248"/>
      <c r="K205" s="284"/>
      <c r="L205" s="284"/>
      <c r="X205" s="306"/>
      <c r="Y205" s="306"/>
    </row>
    <row r="206" spans="1:25" x14ac:dyDescent="0.3">
      <c r="A206" s="317"/>
      <c r="B206" s="269" t="s">
        <v>391</v>
      </c>
      <c r="C206" s="253" t="s">
        <v>386</v>
      </c>
      <c r="D206" s="253" t="s">
        <v>387</v>
      </c>
      <c r="E206" s="253" t="s">
        <v>390</v>
      </c>
      <c r="F206" s="253" t="s">
        <v>389</v>
      </c>
      <c r="G206" s="253" t="s">
        <v>236</v>
      </c>
      <c r="H206" s="269" t="str">
        <f>B206</f>
        <v>F.CAL 2021-01-06</v>
      </c>
      <c r="I206" s="255" t="s">
        <v>354</v>
      </c>
      <c r="J206" s="237" t="s">
        <v>355</v>
      </c>
      <c r="K206" s="229"/>
      <c r="L206" s="229"/>
      <c r="M206" s="1"/>
      <c r="N206" s="1"/>
      <c r="O206" s="1"/>
      <c r="R206" s="2">
        <f>R124</f>
        <v>2021</v>
      </c>
      <c r="S206" s="2">
        <f t="shared" ref="S206:Y206" si="50">S124</f>
        <v>2023</v>
      </c>
      <c r="T206" s="2">
        <f t="shared" si="50"/>
        <v>2024</v>
      </c>
      <c r="U206" s="2">
        <f t="shared" si="50"/>
        <v>2025</v>
      </c>
      <c r="V206" s="2">
        <f t="shared" si="50"/>
        <v>2026</v>
      </c>
      <c r="W206" s="2">
        <f t="shared" si="50"/>
        <v>2027</v>
      </c>
      <c r="X206" s="2">
        <f t="shared" si="50"/>
        <v>2028</v>
      </c>
      <c r="Y206" s="2">
        <f t="shared" si="50"/>
        <v>2029</v>
      </c>
    </row>
    <row r="207" spans="1:25" x14ac:dyDescent="0.3">
      <c r="A207" s="317"/>
      <c r="B207" s="514" t="s">
        <v>392</v>
      </c>
      <c r="C207" s="264">
        <v>-30.03</v>
      </c>
      <c r="D207" s="265">
        <v>-30.012</v>
      </c>
      <c r="E207" s="265">
        <v>1.7999999999999999E-2</v>
      </c>
      <c r="F207" s="267">
        <v>7.4999999999999997E-2</v>
      </c>
      <c r="G207" s="266">
        <v>1</v>
      </c>
      <c r="H207" s="514" t="str">
        <f>B207</f>
        <v>TEC-LAB-TEM-23</v>
      </c>
      <c r="I207" s="264">
        <v>-30.03</v>
      </c>
      <c r="J207" s="277">
        <v>-30.012</v>
      </c>
      <c r="K207" s="286"/>
      <c r="L207" s="308"/>
      <c r="M207" s="280"/>
      <c r="N207" s="280"/>
      <c r="O207" s="280"/>
      <c r="P207" s="512" t="str">
        <f>B207</f>
        <v>TEC-LAB-TEM-23</v>
      </c>
      <c r="Q207" s="345"/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3">
      <c r="A208" s="317"/>
      <c r="B208" s="515"/>
      <c r="C208" s="264">
        <v>0.1</v>
      </c>
      <c r="D208" s="265">
        <v>-2.52E-2</v>
      </c>
      <c r="E208" s="265">
        <v>-1.2500000000000001E-2</v>
      </c>
      <c r="F208" s="267">
        <v>7.4999999999999997E-2</v>
      </c>
      <c r="G208" s="266">
        <v>2</v>
      </c>
      <c r="H208" s="515"/>
      <c r="I208" s="264">
        <v>0.1</v>
      </c>
      <c r="J208" s="277">
        <v>-2.52E-2</v>
      </c>
      <c r="K208" s="286"/>
      <c r="L208" s="308"/>
      <c r="M208" s="280"/>
      <c r="N208" s="280"/>
      <c r="O208" s="280"/>
      <c r="P208" s="512"/>
      <c r="Q208" s="345"/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3">
      <c r="A209" s="317"/>
      <c r="B209" s="515"/>
      <c r="C209" s="264">
        <v>100.4</v>
      </c>
      <c r="D209" s="265">
        <v>100.03870000000001</v>
      </c>
      <c r="E209" s="265">
        <v>-0.36099999999999999</v>
      </c>
      <c r="F209" s="267">
        <v>7.4999999999999997E-2</v>
      </c>
      <c r="G209" s="266">
        <v>3</v>
      </c>
      <c r="H209" s="515"/>
      <c r="I209" s="264">
        <v>100.4</v>
      </c>
      <c r="J209" s="277">
        <v>100.03870000000001</v>
      </c>
      <c r="K209" s="286"/>
      <c r="L209" s="308"/>
      <c r="M209" s="280"/>
      <c r="N209" s="280"/>
      <c r="O209" s="280"/>
      <c r="P209" s="512"/>
      <c r="Q209" s="345"/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3">
      <c r="A210" s="317"/>
      <c r="B210" s="515"/>
      <c r="C210" s="264">
        <v>200.5</v>
      </c>
      <c r="D210" s="265">
        <v>200.22569999999999</v>
      </c>
      <c r="E210" s="265">
        <v>-0.27</v>
      </c>
      <c r="F210" s="267">
        <v>0.16</v>
      </c>
      <c r="G210" s="266">
        <v>4</v>
      </c>
      <c r="H210" s="515"/>
      <c r="I210" s="264">
        <v>200.5</v>
      </c>
      <c r="J210" s="277">
        <v>200.22569999999999</v>
      </c>
      <c r="K210" s="286"/>
      <c r="L210" s="308"/>
      <c r="M210" s="280"/>
      <c r="N210" s="280"/>
      <c r="O210" s="280"/>
      <c r="P210" s="512"/>
      <c r="Q210" s="345"/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3">
      <c r="A211" s="317"/>
      <c r="B211" s="515"/>
      <c r="C211" s="264">
        <v>340.2</v>
      </c>
      <c r="D211" s="265">
        <v>340.33109999999999</v>
      </c>
      <c r="E211" s="265">
        <v>0.13</v>
      </c>
      <c r="F211" s="267">
        <v>0.16</v>
      </c>
      <c r="G211" s="266">
        <v>5</v>
      </c>
      <c r="H211" s="515"/>
      <c r="I211" s="264">
        <v>340.2</v>
      </c>
      <c r="J211" s="277">
        <v>340.33109999999999</v>
      </c>
      <c r="K211" s="286"/>
      <c r="L211" s="308"/>
      <c r="M211" s="280"/>
      <c r="N211" s="280"/>
      <c r="O211" s="280"/>
      <c r="P211" s="512"/>
      <c r="Q211" s="345"/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3">
      <c r="A212" s="317"/>
      <c r="B212" s="515"/>
      <c r="C212" s="264"/>
      <c r="D212" s="267"/>
      <c r="E212" s="265"/>
      <c r="F212" s="265"/>
      <c r="G212" s="266">
        <v>6</v>
      </c>
      <c r="H212" s="515"/>
      <c r="I212" s="264"/>
      <c r="J212" s="278"/>
      <c r="K212" s="286"/>
      <c r="L212" s="286"/>
      <c r="M212" s="280"/>
      <c r="N212" s="280"/>
      <c r="O212" s="280"/>
      <c r="P212" s="512"/>
      <c r="Q212" s="345"/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</row>
    <row r="213" spans="1:25" x14ac:dyDescent="0.3">
      <c r="A213" s="317"/>
      <c r="B213" s="515"/>
      <c r="C213" s="264"/>
      <c r="D213" s="267"/>
      <c r="E213" s="265"/>
      <c r="F213" s="265"/>
      <c r="G213" s="266">
        <v>7</v>
      </c>
      <c r="H213" s="515"/>
      <c r="I213" s="264"/>
      <c r="J213" s="278"/>
      <c r="K213" s="286"/>
      <c r="L213" s="286"/>
      <c r="M213" s="280"/>
      <c r="N213" s="280"/>
      <c r="O213" s="280"/>
      <c r="P213" s="512"/>
      <c r="Q213" s="345"/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3">
      <c r="A214" s="317"/>
      <c r="B214" s="515"/>
      <c r="C214" s="264"/>
      <c r="D214" s="267"/>
      <c r="E214" s="265"/>
      <c r="F214" s="265"/>
      <c r="G214" s="266">
        <v>8</v>
      </c>
      <c r="H214" s="515"/>
      <c r="I214" s="264"/>
      <c r="J214" s="278"/>
      <c r="K214" s="286"/>
      <c r="L214" s="286"/>
      <c r="M214" s="280"/>
      <c r="N214" s="280"/>
      <c r="O214" s="280"/>
      <c r="P214" s="512"/>
      <c r="Q214" s="345"/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3">
      <c r="A215" s="317"/>
      <c r="B215" s="515"/>
      <c r="C215" s="268"/>
      <c r="D215" s="268"/>
      <c r="E215" s="264"/>
      <c r="F215" s="264"/>
      <c r="G215" s="266">
        <v>9</v>
      </c>
      <c r="H215" s="515"/>
      <c r="I215" s="268"/>
      <c r="J215" s="276"/>
      <c r="K215" s="287"/>
      <c r="L215" s="287"/>
      <c r="M215" s="280"/>
      <c r="N215" s="280"/>
      <c r="O215" s="280"/>
      <c r="P215" s="512"/>
      <c r="Q215" s="345"/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3">
      <c r="A216" s="317"/>
      <c r="B216" s="515"/>
      <c r="C216" s="268"/>
      <c r="D216" s="268"/>
      <c r="E216" s="264"/>
      <c r="F216" s="264"/>
      <c r="G216" s="266">
        <v>10</v>
      </c>
      <c r="H216" s="515"/>
      <c r="I216" s="268"/>
      <c r="J216" s="276"/>
      <c r="K216" s="287"/>
      <c r="L216" s="287"/>
      <c r="M216" s="280"/>
      <c r="N216" s="280"/>
      <c r="O216" s="280"/>
      <c r="P216" s="512"/>
      <c r="Q216" s="345"/>
      <c r="R216" s="3"/>
      <c r="S216" s="3"/>
      <c r="T216" s="3"/>
      <c r="U216" s="3"/>
      <c r="V216" s="3"/>
      <c r="W216" s="3"/>
      <c r="X216" s="3"/>
      <c r="Y216" s="3"/>
    </row>
    <row r="217" spans="1:25" x14ac:dyDescent="0.3">
      <c r="A217" s="317"/>
      <c r="B217" s="516"/>
      <c r="C217" s="268"/>
      <c r="D217" s="268"/>
      <c r="E217" s="264"/>
      <c r="F217" s="264"/>
      <c r="G217" s="266">
        <v>11</v>
      </c>
      <c r="H217" s="516"/>
      <c r="I217" s="268"/>
      <c r="J217" s="276"/>
      <c r="K217" s="287"/>
      <c r="L217" s="287"/>
      <c r="M217" s="280"/>
      <c r="N217" s="280"/>
      <c r="O217" s="280"/>
      <c r="P217" s="512"/>
      <c r="Q217" s="345"/>
      <c r="R217" s="3"/>
      <c r="S217" s="3"/>
      <c r="T217" s="3"/>
      <c r="U217" s="3"/>
      <c r="V217" s="3"/>
      <c r="W217" s="3"/>
      <c r="X217" s="3"/>
      <c r="Y217" s="3"/>
    </row>
    <row r="218" spans="1:25" x14ac:dyDescent="0.3">
      <c r="A218" s="317"/>
      <c r="B218" s="248"/>
      <c r="C218" s="248"/>
      <c r="D218" s="248"/>
      <c r="E218" s="248"/>
      <c r="F218" s="248"/>
      <c r="G218" s="248"/>
      <c r="H218" s="248"/>
      <c r="I218" s="248"/>
      <c r="J218" s="248"/>
      <c r="K218" s="284"/>
      <c r="L218" s="284"/>
      <c r="X218" s="306"/>
      <c r="Y218" s="306"/>
    </row>
    <row r="219" spans="1:25" x14ac:dyDescent="0.3">
      <c r="A219" s="317"/>
      <c r="B219" s="269" t="s">
        <v>391</v>
      </c>
      <c r="C219" s="253" t="s">
        <v>386</v>
      </c>
      <c r="D219" s="253" t="s">
        <v>387</v>
      </c>
      <c r="E219" s="253" t="s">
        <v>390</v>
      </c>
      <c r="F219" s="253" t="s">
        <v>389</v>
      </c>
      <c r="G219" s="253" t="s">
        <v>236</v>
      </c>
      <c r="H219" s="269" t="str">
        <f>B219</f>
        <v>F.CAL 2021-01-06</v>
      </c>
      <c r="I219" s="255" t="s">
        <v>354</v>
      </c>
      <c r="J219" s="237" t="s">
        <v>355</v>
      </c>
      <c r="K219" s="229"/>
      <c r="L219" s="229"/>
      <c r="M219" s="1"/>
      <c r="N219" s="1"/>
      <c r="O219" s="1"/>
      <c r="R219" s="2">
        <f>R137</f>
        <v>2021</v>
      </c>
      <c r="S219" s="2">
        <f t="shared" ref="S219:Y219" si="51">S137</f>
        <v>2023</v>
      </c>
      <c r="T219" s="2">
        <f t="shared" si="51"/>
        <v>2024</v>
      </c>
      <c r="U219" s="2">
        <f t="shared" si="51"/>
        <v>2025</v>
      </c>
      <c r="V219" s="2">
        <f t="shared" si="51"/>
        <v>2026</v>
      </c>
      <c r="W219" s="2">
        <f t="shared" si="51"/>
        <v>2027</v>
      </c>
      <c r="X219" s="2">
        <f t="shared" si="51"/>
        <v>2028</v>
      </c>
      <c r="Y219" s="2">
        <f t="shared" si="51"/>
        <v>2029</v>
      </c>
    </row>
    <row r="220" spans="1:25" x14ac:dyDescent="0.3">
      <c r="A220" s="317"/>
      <c r="B220" s="514" t="s">
        <v>392</v>
      </c>
      <c r="C220" s="264">
        <v>-30.03</v>
      </c>
      <c r="D220" s="265">
        <v>-30.012</v>
      </c>
      <c r="E220" s="265">
        <v>1.7999999999999999E-2</v>
      </c>
      <c r="F220" s="267">
        <v>7.4999999999999997E-2</v>
      </c>
      <c r="G220" s="266">
        <v>1</v>
      </c>
      <c r="H220" s="514" t="str">
        <f>B220</f>
        <v>TEC-LAB-TEM-23</v>
      </c>
      <c r="I220" s="264">
        <v>-30.03</v>
      </c>
      <c r="J220" s="277">
        <v>-30.012</v>
      </c>
      <c r="K220" s="286"/>
      <c r="L220" s="308"/>
      <c r="M220" s="280"/>
      <c r="N220" s="280"/>
      <c r="O220" s="280"/>
      <c r="P220" s="512" t="str">
        <f>B220</f>
        <v>TEC-LAB-TEM-23</v>
      </c>
      <c r="Q220" s="345"/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3">
      <c r="A221" s="317"/>
      <c r="B221" s="515"/>
      <c r="C221" s="264">
        <v>0.1</v>
      </c>
      <c r="D221" s="265">
        <v>-2.52E-2</v>
      </c>
      <c r="E221" s="265">
        <v>-1.2500000000000001E-2</v>
      </c>
      <c r="F221" s="267">
        <v>7.4999999999999997E-2</v>
      </c>
      <c r="G221" s="266">
        <v>2</v>
      </c>
      <c r="H221" s="515"/>
      <c r="I221" s="264">
        <v>0.1</v>
      </c>
      <c r="J221" s="277">
        <v>-2.52E-2</v>
      </c>
      <c r="K221" s="286"/>
      <c r="L221" s="308"/>
      <c r="M221" s="280"/>
      <c r="N221" s="280"/>
      <c r="O221" s="280"/>
      <c r="P221" s="512"/>
      <c r="Q221" s="345"/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3">
      <c r="A222" s="317"/>
      <c r="B222" s="515"/>
      <c r="C222" s="264">
        <v>100.4</v>
      </c>
      <c r="D222" s="265">
        <v>100.03870000000001</v>
      </c>
      <c r="E222" s="265">
        <v>-0.36099999999999999</v>
      </c>
      <c r="F222" s="267">
        <v>7.4999999999999997E-2</v>
      </c>
      <c r="G222" s="266">
        <v>3</v>
      </c>
      <c r="H222" s="515"/>
      <c r="I222" s="264">
        <v>100.4</v>
      </c>
      <c r="J222" s="277">
        <v>100.03870000000001</v>
      </c>
      <c r="K222" s="286"/>
      <c r="L222" s="308"/>
      <c r="M222" s="280"/>
      <c r="N222" s="280"/>
      <c r="O222" s="280"/>
      <c r="P222" s="512"/>
      <c r="Q222" s="345"/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3">
      <c r="A223" s="317"/>
      <c r="B223" s="515"/>
      <c r="C223" s="264">
        <v>200.5</v>
      </c>
      <c r="D223" s="265">
        <v>200.22569999999999</v>
      </c>
      <c r="E223" s="265">
        <v>-0.27</v>
      </c>
      <c r="F223" s="267">
        <v>0.16</v>
      </c>
      <c r="G223" s="266">
        <v>4</v>
      </c>
      <c r="H223" s="515"/>
      <c r="I223" s="264">
        <v>200.5</v>
      </c>
      <c r="J223" s="277">
        <v>200.22569999999999</v>
      </c>
      <c r="K223" s="286"/>
      <c r="L223" s="308"/>
      <c r="M223" s="280"/>
      <c r="N223" s="280"/>
      <c r="O223" s="280"/>
      <c r="P223" s="512"/>
      <c r="Q223" s="345"/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3">
      <c r="A224" s="317"/>
      <c r="B224" s="515"/>
      <c r="C224" s="264">
        <v>340.2</v>
      </c>
      <c r="D224" s="265">
        <v>340.33109999999999</v>
      </c>
      <c r="E224" s="265">
        <v>0.13</v>
      </c>
      <c r="F224" s="267">
        <v>0.16</v>
      </c>
      <c r="G224" s="266">
        <v>5</v>
      </c>
      <c r="H224" s="515"/>
      <c r="I224" s="264">
        <v>340.2</v>
      </c>
      <c r="J224" s="277">
        <v>340.33109999999999</v>
      </c>
      <c r="K224" s="286"/>
      <c r="L224" s="308"/>
      <c r="M224" s="280"/>
      <c r="N224" s="280"/>
      <c r="O224" s="280"/>
      <c r="P224" s="512"/>
      <c r="Q224" s="345"/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3">
      <c r="A225" s="317"/>
      <c r="B225" s="515"/>
      <c r="C225" s="264"/>
      <c r="D225" s="267"/>
      <c r="E225" s="265"/>
      <c r="F225" s="265"/>
      <c r="G225" s="266">
        <v>6</v>
      </c>
      <c r="H225" s="515"/>
      <c r="I225" s="264"/>
      <c r="J225" s="278"/>
      <c r="K225" s="286"/>
      <c r="L225" s="286"/>
      <c r="M225" s="280"/>
      <c r="N225" s="280"/>
      <c r="O225" s="280"/>
      <c r="P225" s="512"/>
      <c r="Q225" s="345"/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3">
      <c r="A226" s="317"/>
      <c r="B226" s="515"/>
      <c r="C226" s="264"/>
      <c r="D226" s="267"/>
      <c r="E226" s="265"/>
      <c r="F226" s="265"/>
      <c r="G226" s="266">
        <v>7</v>
      </c>
      <c r="H226" s="515"/>
      <c r="I226" s="264"/>
      <c r="J226" s="278"/>
      <c r="K226" s="286"/>
      <c r="L226" s="286"/>
      <c r="M226" s="280"/>
      <c r="N226" s="280"/>
      <c r="O226" s="280"/>
      <c r="P226" s="512"/>
      <c r="Q226" s="345"/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3">
      <c r="A227" s="317"/>
      <c r="B227" s="515"/>
      <c r="C227" s="264"/>
      <c r="D227" s="267"/>
      <c r="E227" s="265"/>
      <c r="F227" s="265"/>
      <c r="G227" s="266">
        <v>8</v>
      </c>
      <c r="H227" s="515"/>
      <c r="I227" s="264"/>
      <c r="J227" s="278"/>
      <c r="K227" s="286"/>
      <c r="L227" s="286"/>
      <c r="M227" s="280"/>
      <c r="N227" s="280"/>
      <c r="O227" s="280"/>
      <c r="P227" s="512"/>
      <c r="Q227" s="345"/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3">
      <c r="A228" s="317"/>
      <c r="B228" s="515"/>
      <c r="C228" s="268"/>
      <c r="D228" s="268"/>
      <c r="E228" s="264"/>
      <c r="F228" s="264"/>
      <c r="G228" s="266">
        <v>9</v>
      </c>
      <c r="H228" s="515"/>
      <c r="I228" s="268"/>
      <c r="J228" s="276"/>
      <c r="K228" s="287"/>
      <c r="L228" s="287"/>
      <c r="M228" s="280"/>
      <c r="N228" s="280"/>
      <c r="O228" s="280"/>
      <c r="P228" s="512"/>
      <c r="Q228" s="345"/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3">
      <c r="A229" s="317"/>
      <c r="B229" s="515"/>
      <c r="C229" s="268"/>
      <c r="D229" s="268"/>
      <c r="E229" s="264"/>
      <c r="F229" s="264"/>
      <c r="G229" s="266">
        <v>10</v>
      </c>
      <c r="H229" s="515"/>
      <c r="I229" s="268"/>
      <c r="J229" s="276"/>
      <c r="K229" s="287"/>
      <c r="L229" s="287"/>
      <c r="M229" s="280"/>
      <c r="N229" s="280"/>
      <c r="O229" s="280"/>
      <c r="P229" s="512"/>
      <c r="Q229" s="345"/>
      <c r="R229" s="3"/>
      <c r="S229" s="3"/>
      <c r="T229" s="3"/>
      <c r="U229" s="3"/>
      <c r="V229" s="3"/>
      <c r="W229" s="3"/>
      <c r="X229" s="3"/>
      <c r="Y229" s="3"/>
    </row>
    <row r="230" spans="1:25" x14ac:dyDescent="0.3">
      <c r="A230" s="317"/>
      <c r="B230" s="516"/>
      <c r="C230" s="268"/>
      <c r="D230" s="268"/>
      <c r="E230" s="264"/>
      <c r="F230" s="264"/>
      <c r="G230" s="266">
        <v>11</v>
      </c>
      <c r="H230" s="516"/>
      <c r="I230" s="268"/>
      <c r="J230" s="276"/>
      <c r="K230" s="287"/>
      <c r="L230" s="287"/>
      <c r="M230" s="280"/>
      <c r="N230" s="280"/>
      <c r="O230" s="280"/>
      <c r="P230" s="512"/>
      <c r="Q230" s="345"/>
      <c r="R230" s="3"/>
      <c r="S230" s="3"/>
      <c r="T230" s="3"/>
      <c r="U230" s="3"/>
      <c r="V230" s="3"/>
      <c r="W230" s="3"/>
      <c r="X230" s="3"/>
      <c r="Y230" s="3"/>
    </row>
    <row r="231" spans="1:25" x14ac:dyDescent="0.3">
      <c r="A231" s="317"/>
      <c r="B231" s="248"/>
      <c r="C231" s="248"/>
      <c r="D231" s="248"/>
      <c r="E231" s="248"/>
      <c r="F231" s="248"/>
      <c r="G231" s="248"/>
      <c r="H231" s="248"/>
      <c r="I231" s="248"/>
      <c r="J231" s="248"/>
      <c r="K231" s="284"/>
      <c r="L231" s="284"/>
      <c r="X231" s="306"/>
      <c r="Y231" s="306"/>
    </row>
    <row r="232" spans="1:25" x14ac:dyDescent="0.3">
      <c r="A232" s="317"/>
      <c r="B232" s="269" t="s">
        <v>391</v>
      </c>
      <c r="C232" s="253" t="s">
        <v>386</v>
      </c>
      <c r="D232" s="253" t="s">
        <v>387</v>
      </c>
      <c r="E232" s="253" t="s">
        <v>390</v>
      </c>
      <c r="F232" s="253" t="s">
        <v>389</v>
      </c>
      <c r="G232" s="253" t="s">
        <v>236</v>
      </c>
      <c r="H232" s="269" t="str">
        <f>B232</f>
        <v>F.CAL 2021-01-06</v>
      </c>
      <c r="I232" s="255" t="s">
        <v>354</v>
      </c>
      <c r="J232" s="237" t="s">
        <v>355</v>
      </c>
      <c r="K232" s="229"/>
      <c r="L232" s="229"/>
      <c r="M232" s="1"/>
      <c r="N232" s="1"/>
      <c r="O232" s="1"/>
      <c r="R232" s="2">
        <f>R150</f>
        <v>2021</v>
      </c>
      <c r="S232" s="2">
        <f t="shared" ref="S232:Y232" si="52">S150</f>
        <v>2023</v>
      </c>
      <c r="T232" s="2">
        <f t="shared" si="52"/>
        <v>2024</v>
      </c>
      <c r="U232" s="2">
        <f t="shared" si="52"/>
        <v>2025</v>
      </c>
      <c r="V232" s="2">
        <f t="shared" si="52"/>
        <v>2026</v>
      </c>
      <c r="W232" s="2">
        <f t="shared" si="52"/>
        <v>2027</v>
      </c>
      <c r="X232" s="2">
        <f t="shared" si="52"/>
        <v>2028</v>
      </c>
      <c r="Y232" s="2">
        <f t="shared" si="52"/>
        <v>2029</v>
      </c>
    </row>
    <row r="233" spans="1:25" x14ac:dyDescent="0.3">
      <c r="A233" s="317"/>
      <c r="B233" s="514" t="s">
        <v>392</v>
      </c>
      <c r="C233" s="264">
        <v>-30.03</v>
      </c>
      <c r="D233" s="265">
        <v>-30.012</v>
      </c>
      <c r="E233" s="265">
        <v>1.7999999999999999E-2</v>
      </c>
      <c r="F233" s="267">
        <v>7.4999999999999997E-2</v>
      </c>
      <c r="G233" s="266">
        <v>1</v>
      </c>
      <c r="H233" s="514" t="str">
        <f>B233</f>
        <v>TEC-LAB-TEM-23</v>
      </c>
      <c r="I233" s="264">
        <v>-30.03</v>
      </c>
      <c r="J233" s="277">
        <v>-30.012</v>
      </c>
      <c r="K233" s="286"/>
      <c r="L233" s="308"/>
      <c r="M233" s="280"/>
      <c r="N233" s="280"/>
      <c r="O233" s="280"/>
      <c r="P233" s="512" t="str">
        <f>B233</f>
        <v>TEC-LAB-TEM-23</v>
      </c>
      <c r="Q233" s="345"/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</row>
    <row r="234" spans="1:25" x14ac:dyDescent="0.3">
      <c r="A234" s="317"/>
      <c r="B234" s="515"/>
      <c r="C234" s="264">
        <v>0.1</v>
      </c>
      <c r="D234" s="265">
        <v>-2.52E-2</v>
      </c>
      <c r="E234" s="265">
        <v>-1.2500000000000001E-2</v>
      </c>
      <c r="F234" s="267">
        <v>7.4999999999999997E-2</v>
      </c>
      <c r="G234" s="266">
        <v>2</v>
      </c>
      <c r="H234" s="515"/>
      <c r="I234" s="264">
        <v>0.1</v>
      </c>
      <c r="J234" s="277">
        <v>-2.52E-2</v>
      </c>
      <c r="K234" s="286"/>
      <c r="L234" s="308"/>
      <c r="M234" s="280"/>
      <c r="N234" s="280"/>
      <c r="O234" s="280"/>
      <c r="P234" s="512"/>
      <c r="Q234" s="345"/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</row>
    <row r="235" spans="1:25" x14ac:dyDescent="0.3">
      <c r="A235" s="317"/>
      <c r="B235" s="515"/>
      <c r="C235" s="264">
        <v>100.4</v>
      </c>
      <c r="D235" s="265">
        <v>100.03870000000001</v>
      </c>
      <c r="E235" s="265">
        <v>-0.36099999999999999</v>
      </c>
      <c r="F235" s="267">
        <v>7.4999999999999997E-2</v>
      </c>
      <c r="G235" s="266">
        <v>3</v>
      </c>
      <c r="H235" s="515"/>
      <c r="I235" s="264">
        <v>100.4</v>
      </c>
      <c r="J235" s="277">
        <v>100.03870000000001</v>
      </c>
      <c r="K235" s="286"/>
      <c r="L235" s="308"/>
      <c r="M235" s="280"/>
      <c r="N235" s="280"/>
      <c r="O235" s="280"/>
      <c r="P235" s="512"/>
      <c r="Q235" s="345"/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</row>
    <row r="236" spans="1:25" x14ac:dyDescent="0.3">
      <c r="A236" s="317"/>
      <c r="B236" s="515"/>
      <c r="C236" s="264">
        <v>200.5</v>
      </c>
      <c r="D236" s="265">
        <v>200.22569999999999</v>
      </c>
      <c r="E236" s="265">
        <v>-0.27</v>
      </c>
      <c r="F236" s="267">
        <v>0.16</v>
      </c>
      <c r="G236" s="266">
        <v>4</v>
      </c>
      <c r="H236" s="515"/>
      <c r="I236" s="264">
        <v>200.5</v>
      </c>
      <c r="J236" s="277">
        <v>200.22569999999999</v>
      </c>
      <c r="K236" s="286"/>
      <c r="L236" s="308"/>
      <c r="M236" s="280"/>
      <c r="N236" s="280"/>
      <c r="O236" s="280"/>
      <c r="P236" s="512"/>
      <c r="Q236" s="345"/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</row>
    <row r="237" spans="1:25" x14ac:dyDescent="0.3">
      <c r="A237" s="317"/>
      <c r="B237" s="515"/>
      <c r="C237" s="264">
        <v>340.2</v>
      </c>
      <c r="D237" s="265">
        <v>340.33109999999999</v>
      </c>
      <c r="E237" s="265">
        <v>0.13</v>
      </c>
      <c r="F237" s="267">
        <v>0.16</v>
      </c>
      <c r="G237" s="266">
        <v>5</v>
      </c>
      <c r="H237" s="515"/>
      <c r="I237" s="264">
        <v>340.2</v>
      </c>
      <c r="J237" s="277">
        <v>340.33109999999999</v>
      </c>
      <c r="K237" s="286"/>
      <c r="L237" s="308"/>
      <c r="M237" s="280"/>
      <c r="N237" s="280"/>
      <c r="O237" s="280"/>
      <c r="P237" s="512"/>
      <c r="Q237" s="345"/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3">
      <c r="A238" s="317"/>
      <c r="B238" s="515"/>
      <c r="C238" s="264"/>
      <c r="D238" s="267"/>
      <c r="E238" s="265"/>
      <c r="F238" s="265"/>
      <c r="G238" s="266">
        <v>6</v>
      </c>
      <c r="H238" s="515"/>
      <c r="I238" s="264"/>
      <c r="J238" s="278"/>
      <c r="K238" s="286"/>
      <c r="L238" s="286"/>
      <c r="M238" s="280"/>
      <c r="N238" s="280"/>
      <c r="O238" s="280"/>
      <c r="P238" s="512"/>
      <c r="Q238" s="345"/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3">
      <c r="A239" s="317"/>
      <c r="B239" s="515"/>
      <c r="C239" s="264"/>
      <c r="D239" s="267"/>
      <c r="E239" s="265"/>
      <c r="F239" s="265"/>
      <c r="G239" s="266">
        <v>7</v>
      </c>
      <c r="H239" s="515"/>
      <c r="I239" s="264"/>
      <c r="J239" s="278"/>
      <c r="K239" s="286"/>
      <c r="L239" s="286"/>
      <c r="M239" s="280"/>
      <c r="N239" s="280"/>
      <c r="O239" s="280"/>
      <c r="P239" s="512"/>
      <c r="Q239" s="345"/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</row>
    <row r="240" spans="1:25" x14ac:dyDescent="0.3">
      <c r="A240" s="317"/>
      <c r="B240" s="515"/>
      <c r="C240" s="264"/>
      <c r="D240" s="267"/>
      <c r="E240" s="265"/>
      <c r="F240" s="265"/>
      <c r="G240" s="266">
        <v>8</v>
      </c>
      <c r="H240" s="515"/>
      <c r="I240" s="264"/>
      <c r="J240" s="278"/>
      <c r="K240" s="286"/>
      <c r="L240" s="286"/>
      <c r="M240" s="280"/>
      <c r="N240" s="280"/>
      <c r="O240" s="280"/>
      <c r="P240" s="512"/>
      <c r="Q240" s="345"/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3">
      <c r="A241" s="317"/>
      <c r="B241" s="515"/>
      <c r="C241" s="268"/>
      <c r="D241" s="268"/>
      <c r="E241" s="264"/>
      <c r="F241" s="264"/>
      <c r="G241" s="266">
        <v>9</v>
      </c>
      <c r="H241" s="515"/>
      <c r="I241" s="268"/>
      <c r="J241" s="276"/>
      <c r="K241" s="287"/>
      <c r="L241" s="287"/>
      <c r="M241" s="280"/>
      <c r="N241" s="280"/>
      <c r="O241" s="280"/>
      <c r="P241" s="512"/>
      <c r="Q241" s="345"/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3">
      <c r="A242" s="317"/>
      <c r="B242" s="515"/>
      <c r="C242" s="268"/>
      <c r="D242" s="268"/>
      <c r="E242" s="264"/>
      <c r="F242" s="264"/>
      <c r="G242" s="266">
        <v>10</v>
      </c>
      <c r="H242" s="515"/>
      <c r="I242" s="268"/>
      <c r="J242" s="276"/>
      <c r="K242" s="287"/>
      <c r="L242" s="287"/>
      <c r="M242" s="280"/>
      <c r="N242" s="280"/>
      <c r="O242" s="280"/>
      <c r="P242" s="512"/>
      <c r="Q242" s="345"/>
      <c r="R242" s="3"/>
      <c r="S242" s="3"/>
      <c r="T242" s="3"/>
      <c r="U242" s="3"/>
      <c r="V242" s="3"/>
      <c r="W242" s="3"/>
      <c r="X242" s="3"/>
      <c r="Y242" s="3"/>
    </row>
    <row r="243" spans="1:25" x14ac:dyDescent="0.3">
      <c r="A243" s="317"/>
      <c r="B243" s="516"/>
      <c r="C243" s="268"/>
      <c r="D243" s="268"/>
      <c r="E243" s="264"/>
      <c r="F243" s="264"/>
      <c r="G243" s="266">
        <v>11</v>
      </c>
      <c r="H243" s="516"/>
      <c r="I243" s="268"/>
      <c r="J243" s="276"/>
      <c r="K243" s="287"/>
      <c r="L243" s="287"/>
      <c r="M243" s="280"/>
      <c r="N243" s="280"/>
      <c r="O243" s="280"/>
      <c r="P243" s="512"/>
      <c r="Q243" s="345"/>
      <c r="R243" s="3"/>
      <c r="S243" s="3"/>
      <c r="T243" s="3"/>
      <c r="U243" s="3"/>
      <c r="V243" s="3"/>
      <c r="W243" s="3"/>
      <c r="X243" s="3"/>
      <c r="Y243" s="3"/>
    </row>
    <row r="244" spans="1:25" x14ac:dyDescent="0.3">
      <c r="A244" s="317"/>
      <c r="B244" s="248"/>
      <c r="C244" s="248"/>
      <c r="D244" s="248"/>
      <c r="E244" s="248"/>
      <c r="F244" s="248"/>
      <c r="G244" s="248"/>
      <c r="H244" s="248"/>
      <c r="I244" s="248"/>
      <c r="J244" s="248"/>
      <c r="K244" s="284"/>
      <c r="L244" s="284"/>
      <c r="X244" s="306"/>
      <c r="Y244" s="306"/>
    </row>
    <row r="245" spans="1:25" x14ac:dyDescent="0.3">
      <c r="A245" s="317"/>
      <c r="B245" s="262" t="s">
        <v>398</v>
      </c>
      <c r="C245" s="253" t="s">
        <v>386</v>
      </c>
      <c r="D245" s="253" t="s">
        <v>387</v>
      </c>
      <c r="E245" s="253" t="s">
        <v>390</v>
      </c>
      <c r="F245" s="253" t="s">
        <v>389</v>
      </c>
      <c r="G245" s="253" t="s">
        <v>236</v>
      </c>
      <c r="H245" s="269" t="str">
        <f>B245</f>
        <v xml:space="preserve"> FCal 2024-02-20 Cert N19043064</v>
      </c>
      <c r="I245" s="255" t="s">
        <v>354</v>
      </c>
      <c r="J245" s="237" t="s">
        <v>355</v>
      </c>
      <c r="K245" s="229"/>
      <c r="L245" s="229"/>
      <c r="M245" s="1"/>
      <c r="N245" s="1"/>
      <c r="O245" s="1"/>
      <c r="R245" s="2">
        <f>R163</f>
        <v>2021</v>
      </c>
      <c r="S245" s="2">
        <f t="shared" ref="S245:Y245" si="53">S163</f>
        <v>2023</v>
      </c>
      <c r="T245" s="2">
        <f t="shared" si="53"/>
        <v>2024</v>
      </c>
      <c r="U245" s="2">
        <f t="shared" si="53"/>
        <v>2025</v>
      </c>
      <c r="V245" s="2">
        <f t="shared" si="53"/>
        <v>2026</v>
      </c>
      <c r="W245" s="2">
        <f t="shared" si="53"/>
        <v>2027</v>
      </c>
      <c r="X245" s="2">
        <f t="shared" si="53"/>
        <v>2028</v>
      </c>
      <c r="Y245" s="2">
        <f t="shared" si="53"/>
        <v>2029</v>
      </c>
    </row>
    <row r="246" spans="1:25" x14ac:dyDescent="0.3">
      <c r="A246" s="317"/>
      <c r="B246" s="514" t="s">
        <v>285</v>
      </c>
      <c r="C246" s="316">
        <v>-1.9996</v>
      </c>
      <c r="D246" s="316">
        <v>-1.9991699999999999</v>
      </c>
      <c r="E246" s="265">
        <v>4.3000000000015248E-4</v>
      </c>
      <c r="F246" s="267">
        <v>3.6999999999999999E-4</v>
      </c>
      <c r="G246" s="266">
        <v>1</v>
      </c>
      <c r="H246" s="514" t="str">
        <f>B246</f>
        <v>TEC-LAB-PDI-01</v>
      </c>
      <c r="I246" s="264">
        <v>-1.1999037042865014E-4</v>
      </c>
      <c r="J246" s="277">
        <v>2.1999985046873764E-4</v>
      </c>
      <c r="K246" s="286"/>
      <c r="L246" s="308"/>
      <c r="M246" s="280"/>
      <c r="N246" s="280"/>
      <c r="O246" s="280"/>
      <c r="P246" s="512" t="str">
        <f>B246</f>
        <v>TEC-LAB-PDI-01</v>
      </c>
      <c r="Q246" s="345"/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3">
      <c r="A247" s="317"/>
      <c r="B247" s="515"/>
      <c r="C247" s="316">
        <v>-1.4996</v>
      </c>
      <c r="D247" s="316">
        <v>-1.49932</v>
      </c>
      <c r="E247" s="265">
        <v>2.8000000000005798E-4</v>
      </c>
      <c r="F247" s="267">
        <v>3.3E-4</v>
      </c>
      <c r="G247" s="266">
        <v>2</v>
      </c>
      <c r="H247" s="515"/>
      <c r="I247" s="264">
        <v>0.99995178555184738</v>
      </c>
      <c r="J247" s="277">
        <v>7.071094100815227E-7</v>
      </c>
      <c r="K247" s="286"/>
      <c r="L247" s="308"/>
      <c r="M247" s="280"/>
      <c r="N247" s="280"/>
      <c r="O247" s="280"/>
      <c r="P247" s="512"/>
      <c r="Q247" s="345"/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3">
      <c r="A248" s="317"/>
      <c r="B248" s="515"/>
      <c r="C248" s="316">
        <v>-0.99970000000000003</v>
      </c>
      <c r="D248" s="316">
        <v>-0.99951999999999996</v>
      </c>
      <c r="E248" s="265">
        <v>1.8000000000006899E-4</v>
      </c>
      <c r="F248" s="267">
        <v>2.9999999999999997E-4</v>
      </c>
      <c r="G248" s="266">
        <v>3</v>
      </c>
      <c r="H248" s="515"/>
      <c r="I248" s="264">
        <v>3.323141533525956E-4</v>
      </c>
      <c r="J248" s="277">
        <v>2.0273552033672797E-4</v>
      </c>
      <c r="K248" s="286"/>
      <c r="L248" s="308"/>
      <c r="M248" s="280"/>
      <c r="N248" s="280"/>
      <c r="O248" s="280"/>
      <c r="P248" s="512"/>
      <c r="Q248" s="345"/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3">
      <c r="A249" s="317"/>
      <c r="B249" s="515"/>
      <c r="C249" s="316">
        <v>-0.49969999999999998</v>
      </c>
      <c r="D249" s="316">
        <v>-0.49969999999999998</v>
      </c>
      <c r="E249" s="265">
        <v>0</v>
      </c>
      <c r="F249" s="267">
        <v>2.5999999999999998E-4</v>
      </c>
      <c r="G249" s="266">
        <v>4</v>
      </c>
      <c r="H249" s="515"/>
      <c r="I249" s="264">
        <v>-3.3765784641179297E-4</v>
      </c>
      <c r="J249" s="277">
        <v>-3.9222004871635452E-6</v>
      </c>
      <c r="K249" s="286"/>
      <c r="L249" s="308"/>
      <c r="M249" s="280"/>
      <c r="N249" s="280"/>
      <c r="O249" s="280"/>
      <c r="P249" s="512"/>
      <c r="Q249" s="345"/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3">
      <c r="A250" s="317"/>
      <c r="B250" s="515"/>
      <c r="C250" s="316">
        <v>2.0000000000000001E-4</v>
      </c>
      <c r="D250" s="316">
        <v>8.0000000000000007E-5</v>
      </c>
      <c r="E250" s="265">
        <v>-1.2E-4</v>
      </c>
      <c r="F250" s="267">
        <v>2.2000000000000001E-4</v>
      </c>
      <c r="G250" s="266">
        <v>5</v>
      </c>
      <c r="H250" s="515"/>
      <c r="I250" s="264">
        <v>-4.1780421636117282E-4</v>
      </c>
      <c r="J250" s="277">
        <v>-1.8906695247969407E-4</v>
      </c>
      <c r="K250" s="286"/>
      <c r="L250" s="308"/>
      <c r="M250" s="280"/>
      <c r="N250" s="280"/>
      <c r="O250" s="280"/>
      <c r="P250" s="512"/>
      <c r="Q250" s="345"/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3">
      <c r="A251" s="317"/>
      <c r="B251" s="515"/>
      <c r="C251" s="316">
        <v>0.5</v>
      </c>
      <c r="D251" s="316">
        <v>0.49987999999999999</v>
      </c>
      <c r="E251" s="265">
        <v>-1.2000000000000899E-4</v>
      </c>
      <c r="F251" s="265">
        <v>2.5999999999999998E-4</v>
      </c>
      <c r="G251" s="266">
        <v>6</v>
      </c>
      <c r="H251" s="515"/>
      <c r="I251" s="264">
        <v>2.0825398496461534E-4</v>
      </c>
      <c r="J251" s="278">
        <v>3.9750280176453954E-6</v>
      </c>
      <c r="K251" s="286"/>
      <c r="L251" s="286"/>
      <c r="M251" s="280"/>
      <c r="N251" s="280"/>
      <c r="O251" s="280"/>
      <c r="P251" s="512"/>
      <c r="Q251" s="345"/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3">
      <c r="A252" s="317"/>
      <c r="B252" s="515"/>
      <c r="C252" s="316">
        <v>0.99980000000000002</v>
      </c>
      <c r="D252" s="316">
        <v>0.99956</v>
      </c>
      <c r="E252" s="265">
        <v>-2.4000000000001798E-4</v>
      </c>
      <c r="F252" s="265">
        <v>2.9999999999999997E-4</v>
      </c>
      <c r="G252" s="266">
        <v>7</v>
      </c>
      <c r="H252" s="515"/>
      <c r="I252" s="264">
        <v>2.0472033398967471E-4</v>
      </c>
      <c r="J252" s="278">
        <v>7.6139660464569521E-5</v>
      </c>
      <c r="K252" s="286"/>
      <c r="L252" s="286"/>
      <c r="M252" s="280"/>
      <c r="N252" s="280"/>
      <c r="O252" s="280"/>
      <c r="P252" s="512"/>
      <c r="Q252" s="345"/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3">
      <c r="A253" s="317"/>
      <c r="B253" s="515"/>
      <c r="C253" s="316">
        <v>1.4995000000000001</v>
      </c>
      <c r="D253" s="316">
        <v>1.4994099999999999</v>
      </c>
      <c r="E253" s="265">
        <v>-9.0000000000145519E-5</v>
      </c>
      <c r="F253" s="265">
        <v>3.4000000000000002E-4</v>
      </c>
      <c r="G253" s="266">
        <v>8</v>
      </c>
      <c r="H253" s="515"/>
      <c r="I253" s="264">
        <v>-3.2442862662806354E-5</v>
      </c>
      <c r="J253" s="278">
        <v>-7.6044771826522893E-7</v>
      </c>
      <c r="K253" s="286"/>
      <c r="L253" s="286"/>
      <c r="M253" s="280"/>
      <c r="N253" s="280"/>
      <c r="O253" s="280"/>
      <c r="P253" s="512"/>
      <c r="Q253" s="345"/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3">
      <c r="A254" s="317"/>
      <c r="B254" s="515"/>
      <c r="C254" s="316">
        <v>1.9994000000000001</v>
      </c>
      <c r="D254" s="316">
        <v>1.99926</v>
      </c>
      <c r="E254" s="264">
        <v>-1.4000000000002899E-4</v>
      </c>
      <c r="F254" s="264">
        <v>3.6999999999999999E-4</v>
      </c>
      <c r="G254" s="266">
        <v>9</v>
      </c>
      <c r="H254" s="515"/>
      <c r="I254" s="268">
        <v>-2.9230572805381133E-5</v>
      </c>
      <c r="J254" s="276">
        <v>-9.8013413356715144E-6</v>
      </c>
      <c r="K254" s="287"/>
      <c r="L254" s="287"/>
      <c r="M254" s="280"/>
      <c r="N254" s="280"/>
      <c r="O254" s="280"/>
      <c r="P254" s="512"/>
      <c r="Q254" s="345"/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3">
      <c r="A255" s="317"/>
      <c r="B255" s="515"/>
      <c r="C255" s="268"/>
      <c r="D255" s="268"/>
      <c r="E255" s="264"/>
      <c r="F255" s="264"/>
      <c r="G255" s="266">
        <v>10</v>
      </c>
      <c r="H255" s="515"/>
      <c r="I255" s="268"/>
      <c r="J255" s="276"/>
      <c r="K255" s="287"/>
      <c r="L255" s="287"/>
      <c r="M255" s="280"/>
      <c r="N255" s="280"/>
      <c r="O255" s="280"/>
      <c r="P255" s="512"/>
      <c r="Q255" s="345"/>
      <c r="R255" s="3"/>
      <c r="S255" s="3"/>
      <c r="T255" s="3"/>
      <c r="U255" s="3"/>
      <c r="V255" s="3"/>
      <c r="W255" s="3"/>
      <c r="X255" s="3"/>
      <c r="Y255" s="3"/>
    </row>
    <row r="256" spans="1:25" x14ac:dyDescent="0.3">
      <c r="A256" s="317"/>
      <c r="B256" s="516"/>
      <c r="C256" s="268"/>
      <c r="D256" s="268"/>
      <c r="E256" s="264"/>
      <c r="F256" s="264"/>
      <c r="G256" s="266">
        <v>11</v>
      </c>
      <c r="H256" s="516"/>
      <c r="I256" s="268"/>
      <c r="J256" s="276"/>
      <c r="K256" s="287"/>
      <c r="L256" s="309"/>
      <c r="M256" s="310"/>
      <c r="N256" s="310"/>
      <c r="O256" s="310"/>
      <c r="P256" s="512"/>
      <c r="Q256" s="345"/>
      <c r="R256" s="3"/>
      <c r="S256" s="3"/>
      <c r="T256" s="3"/>
      <c r="U256" s="3"/>
      <c r="V256" s="3"/>
      <c r="W256" s="3"/>
      <c r="X256" s="3"/>
      <c r="Y256" s="3"/>
    </row>
  </sheetData>
  <sheetProtection algorithmName="SHA-512" hashValue="JCb+SBvOJ1woV4HMWeO0lHecxKwrE0CZQgM7zucXDcebmVPAVzTu1KM5MTibvd8extHAiNcUCMBwD0vAbHhyFA==" saltValue="BMyR6V0n00h4TjivxE2jpQ==" spinCount="100000" sheet="1" objects="1" scenarios="1"/>
  <mergeCells count="49">
    <mergeCell ref="W15:X16"/>
    <mergeCell ref="W26:X27"/>
    <mergeCell ref="B77:G77"/>
    <mergeCell ref="B2:D2"/>
    <mergeCell ref="B3:D3"/>
    <mergeCell ref="S14:T14"/>
    <mergeCell ref="S15:T16"/>
    <mergeCell ref="B42:B57"/>
    <mergeCell ref="H63:H74"/>
    <mergeCell ref="I63:I74"/>
    <mergeCell ref="J63:J74"/>
    <mergeCell ref="K63:K74"/>
    <mergeCell ref="B99:B109"/>
    <mergeCell ref="H99:H109"/>
    <mergeCell ref="B112:B122"/>
    <mergeCell ref="H112:H122"/>
    <mergeCell ref="B125:B135"/>
    <mergeCell ref="H125:H135"/>
    <mergeCell ref="B138:B148"/>
    <mergeCell ref="H138:H148"/>
    <mergeCell ref="B151:B161"/>
    <mergeCell ref="H151:H161"/>
    <mergeCell ref="B181:B191"/>
    <mergeCell ref="H181:H191"/>
    <mergeCell ref="B233:B243"/>
    <mergeCell ref="H233:H243"/>
    <mergeCell ref="B246:B256"/>
    <mergeCell ref="H246:H256"/>
    <mergeCell ref="B164:B174"/>
    <mergeCell ref="H164:H174"/>
    <mergeCell ref="B194:B204"/>
    <mergeCell ref="H194:H204"/>
    <mergeCell ref="B207:B217"/>
    <mergeCell ref="H207:H217"/>
    <mergeCell ref="B220:B230"/>
    <mergeCell ref="H220:H230"/>
    <mergeCell ref="P246:P256"/>
    <mergeCell ref="M63:M74"/>
    <mergeCell ref="P99:P109"/>
    <mergeCell ref="P112:P122"/>
    <mergeCell ref="P125:P135"/>
    <mergeCell ref="P138:P148"/>
    <mergeCell ref="P151:P161"/>
    <mergeCell ref="P181:P191"/>
    <mergeCell ref="P194:P204"/>
    <mergeCell ref="P207:P217"/>
    <mergeCell ref="P220:P230"/>
    <mergeCell ref="P233:P243"/>
    <mergeCell ref="P164:P174"/>
  </mergeCells>
  <dataValidations count="1">
    <dataValidation type="list" allowBlank="1" showInputMessage="1" showErrorMessage="1" sqref="B80 I78 H80" xr:uid="{5DABDFAB-21BC-44B8-A2DF-FF6FD851F16A}">
      <formula1>$A$81:$A$88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997"/>
  <sheetViews>
    <sheetView showGridLines="0" tabSelected="1" view="pageBreakPreview" topLeftCell="A71" zoomScaleNormal="100" zoomScaleSheetLayoutView="100" workbookViewId="0">
      <selection activeCell="C85" sqref="C85:D85"/>
    </sheetView>
  </sheetViews>
  <sheetFormatPr baseColWidth="10" defaultRowHeight="14.4" x14ac:dyDescent="0.3"/>
  <cols>
    <col min="1" max="1" width="6.33203125" style="59" customWidth="1"/>
    <col min="2" max="2" width="7.33203125" style="59" customWidth="1"/>
    <col min="3" max="3" width="6.5546875" style="59" customWidth="1"/>
    <col min="4" max="4" width="5.5546875" style="59" customWidth="1"/>
    <col min="5" max="5" width="4.6640625" style="59" customWidth="1"/>
    <col min="6" max="6" width="6.109375" style="59" customWidth="1"/>
    <col min="7" max="7" width="6.5546875" style="59" customWidth="1"/>
    <col min="8" max="8" width="7.109375" style="59" customWidth="1"/>
    <col min="9" max="9" width="5.33203125" style="59" customWidth="1"/>
    <col min="10" max="10" width="6.109375" style="59" customWidth="1"/>
    <col min="11" max="11" width="6.88671875" style="59" customWidth="1"/>
    <col min="12" max="12" width="6.33203125" style="59" customWidth="1"/>
    <col min="13" max="13" width="5.88671875" style="59" customWidth="1"/>
    <col min="14" max="15" width="7.109375" style="59" customWidth="1"/>
    <col min="16" max="16" width="4.6640625" style="59" customWidth="1"/>
    <col min="17" max="17" width="14" style="59" customWidth="1"/>
    <col min="18" max="18" width="12" style="59" customWidth="1"/>
    <col min="19" max="19" width="10.5546875" style="59" customWidth="1"/>
    <col min="20" max="20" width="7.6640625" style="59" customWidth="1"/>
    <col min="21" max="21" width="11.44140625" style="39" customWidth="1"/>
    <col min="22" max="22" width="8" style="39" customWidth="1"/>
    <col min="23" max="23" width="11.33203125" style="39" customWidth="1"/>
    <col min="24" max="24" width="17.109375" style="39" customWidth="1"/>
    <col min="25" max="25" width="18.33203125" style="39" customWidth="1"/>
    <col min="26" max="33" width="8" style="39" customWidth="1"/>
    <col min="34" max="36" width="0.33203125" style="39" customWidth="1"/>
    <col min="37" max="41" width="11.44140625" style="39" customWidth="1"/>
    <col min="42" max="16382" width="11.44140625" style="39"/>
    <col min="16383" max="16383" width="65" style="39" bestFit="1" customWidth="1"/>
    <col min="16384" max="16384" width="49.109375" style="39" customWidth="1"/>
  </cols>
  <sheetData>
    <row r="1" spans="1:31 16383:16383" ht="18.75" customHeight="1" x14ac:dyDescent="0.3">
      <c r="A1" s="505" t="s">
        <v>636</v>
      </c>
      <c r="B1" s="505"/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5"/>
      <c r="O1" s="505"/>
      <c r="P1" s="505"/>
      <c r="Q1" s="505"/>
      <c r="R1" s="505"/>
      <c r="S1" s="505"/>
      <c r="T1" s="505"/>
      <c r="U1" s="372"/>
      <c r="V1" s="372"/>
      <c r="W1" s="372"/>
      <c r="X1" s="372"/>
      <c r="Y1" s="373"/>
      <c r="Z1" s="373"/>
      <c r="XFC1" s="39" t="str">
        <f>'[1]Informacion certificados'!$A2</f>
        <v>Agenquimicos Ltda.</v>
      </c>
    </row>
    <row r="2" spans="1:31 16383:16383" ht="18.45" customHeight="1" x14ac:dyDescent="0.3">
      <c r="A2" s="507" t="s">
        <v>637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07"/>
      <c r="Q2" s="507"/>
      <c r="R2" s="507"/>
      <c r="S2" s="507"/>
      <c r="T2" s="507"/>
      <c r="U2" s="374"/>
      <c r="V2" s="374"/>
      <c r="W2" s="374"/>
      <c r="X2" s="374"/>
      <c r="Y2" s="375"/>
      <c r="Z2" s="374"/>
      <c r="XFC2" s="39" t="str">
        <f>'[1]Informacion certificados'!$A3</f>
        <v>Agropecuaria Gomez Cabal S.A.S.</v>
      </c>
    </row>
    <row r="3" spans="1:31 16383:16383" x14ac:dyDescent="0.3">
      <c r="A3" s="508"/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8"/>
      <c r="N3" s="508"/>
      <c r="O3" s="508"/>
      <c r="P3" s="508"/>
      <c r="Q3" s="508"/>
      <c r="R3" s="508"/>
      <c r="S3" s="508"/>
      <c r="T3" s="508"/>
      <c r="U3" s="377"/>
      <c r="V3" s="377"/>
      <c r="W3" s="376"/>
      <c r="X3" s="376"/>
      <c r="Y3" s="376"/>
      <c r="Z3" s="376"/>
      <c r="XFC3" s="39" t="str">
        <f>'[1]Informacion certificados'!$A4</f>
        <v>Agroavicola San Marino S.A.</v>
      </c>
    </row>
    <row r="4" spans="1:31 16383:16383" ht="45.6" customHeight="1" x14ac:dyDescent="0.3">
      <c r="A4" s="750" t="s">
        <v>638</v>
      </c>
      <c r="B4" s="750"/>
      <c r="C4" s="750"/>
      <c r="D4" s="750"/>
      <c r="E4" s="750"/>
      <c r="F4" s="750"/>
      <c r="G4" s="750"/>
      <c r="H4" s="750"/>
      <c r="I4" s="750"/>
      <c r="J4" s="750"/>
      <c r="K4" s="750"/>
      <c r="L4" s="750"/>
      <c r="M4" s="750"/>
      <c r="N4" s="750"/>
      <c r="O4" s="750"/>
      <c r="P4" s="750"/>
      <c r="Q4" s="750"/>
      <c r="R4" s="750"/>
      <c r="S4" s="750"/>
      <c r="T4" s="750"/>
      <c r="U4" s="378"/>
      <c r="V4" s="378"/>
      <c r="W4" s="378"/>
      <c r="X4" s="378"/>
      <c r="Y4" s="379"/>
      <c r="Z4" s="378"/>
      <c r="XFC4" s="39" t="str">
        <f>'[1]Informacion certificados'!$A5</f>
        <v>Alfa Y Omega Instrumentación S.A.S</v>
      </c>
    </row>
    <row r="5" spans="1:31 16383:16383" ht="11.25" customHeight="1" thickBot="1" x14ac:dyDescent="0.35">
      <c r="XFC5" s="39" t="s">
        <v>414</v>
      </c>
    </row>
    <row r="6" spans="1:31 16383:16383" ht="15" thickBot="1" x14ac:dyDescent="0.35">
      <c r="A6" s="723" t="s">
        <v>125</v>
      </c>
      <c r="B6" s="723"/>
      <c r="C6" s="723"/>
      <c r="D6" s="723"/>
      <c r="E6" s="657"/>
      <c r="F6" s="755" t="s">
        <v>646</v>
      </c>
      <c r="G6" s="752"/>
      <c r="H6" s="752"/>
      <c r="I6" s="752"/>
      <c r="J6" s="753"/>
      <c r="K6" s="756" t="s">
        <v>126</v>
      </c>
      <c r="L6" s="723"/>
      <c r="M6" s="723"/>
      <c r="N6" s="723"/>
      <c r="O6" s="657"/>
      <c r="P6" s="757">
        <v>0.34027777777777779</v>
      </c>
      <c r="Q6" s="758"/>
      <c r="R6" s="758"/>
      <c r="S6" s="758"/>
      <c r="T6" s="759"/>
      <c r="XFC6" s="39" t="s">
        <v>415</v>
      </c>
    </row>
    <row r="7" spans="1:31 16383:16383" ht="15" thickBot="1" x14ac:dyDescent="0.35">
      <c r="A7" s="723" t="s">
        <v>127</v>
      </c>
      <c r="B7" s="723"/>
      <c r="C7" s="723"/>
      <c r="D7" s="723"/>
      <c r="E7" s="657"/>
      <c r="F7" s="743">
        <v>46136</v>
      </c>
      <c r="G7" s="744"/>
      <c r="H7" s="744"/>
      <c r="I7" s="744"/>
      <c r="J7" s="745"/>
      <c r="K7" s="756" t="s">
        <v>128</v>
      </c>
      <c r="L7" s="723"/>
      <c r="M7" s="723"/>
      <c r="N7" s="723"/>
      <c r="O7" s="657"/>
      <c r="P7" s="760"/>
      <c r="Q7" s="758"/>
      <c r="R7" s="758"/>
      <c r="S7" s="758"/>
      <c r="T7" s="759"/>
      <c r="XFC7" s="39" t="s">
        <v>416</v>
      </c>
    </row>
    <row r="8" spans="1:31 16383:16383" ht="15" customHeight="1" thickBot="1" x14ac:dyDescent="0.35">
      <c r="A8" s="723" t="s">
        <v>129</v>
      </c>
      <c r="B8" s="723"/>
      <c r="C8" s="723"/>
      <c r="D8" s="723"/>
      <c r="E8" s="657"/>
      <c r="F8" s="743">
        <v>46136</v>
      </c>
      <c r="G8" s="744"/>
      <c r="H8" s="744"/>
      <c r="I8" s="744"/>
      <c r="J8" s="745"/>
      <c r="K8" s="60"/>
      <c r="L8" s="60"/>
      <c r="M8" s="60"/>
      <c r="N8" s="60"/>
      <c r="O8" s="60"/>
      <c r="P8" s="61"/>
      <c r="Q8" s="61"/>
      <c r="R8" s="61"/>
      <c r="S8" s="61"/>
      <c r="T8" s="60"/>
      <c r="XFC8" s="39" t="s">
        <v>417</v>
      </c>
    </row>
    <row r="9" spans="1:31 16383:16383" ht="5.25" customHeight="1" x14ac:dyDescent="0.3">
      <c r="XFC9" s="39" t="s">
        <v>418</v>
      </c>
    </row>
    <row r="10" spans="1:31 16383:16383" ht="15" thickBot="1" x14ac:dyDescent="0.35">
      <c r="A10" s="746" t="s">
        <v>130</v>
      </c>
      <c r="B10" s="747"/>
      <c r="C10" s="748"/>
      <c r="D10" s="748"/>
      <c r="E10" s="748"/>
      <c r="F10" s="748"/>
      <c r="G10" s="748"/>
      <c r="H10" s="748"/>
      <c r="I10" s="747"/>
      <c r="J10" s="747"/>
      <c r="K10" s="748"/>
      <c r="L10" s="748"/>
      <c r="M10" s="748"/>
      <c r="N10" s="748"/>
      <c r="O10" s="748"/>
      <c r="P10" s="747"/>
      <c r="Q10" s="747"/>
      <c r="R10" s="748"/>
      <c r="S10" s="748"/>
      <c r="T10" s="749"/>
      <c r="XFC10" s="39" t="s">
        <v>419</v>
      </c>
    </row>
    <row r="11" spans="1:31 16383:16383" ht="39" customHeight="1" thickBot="1" x14ac:dyDescent="0.35">
      <c r="A11" s="724" t="s">
        <v>131</v>
      </c>
      <c r="B11" s="725"/>
      <c r="C11" s="761" t="s">
        <v>647</v>
      </c>
      <c r="D11" s="762"/>
      <c r="E11" s="762"/>
      <c r="F11" s="762"/>
      <c r="G11" s="762"/>
      <c r="H11" s="763"/>
      <c r="I11" s="764" t="s">
        <v>132</v>
      </c>
      <c r="J11" s="725"/>
      <c r="K11" s="761" t="s">
        <v>648</v>
      </c>
      <c r="L11" s="762"/>
      <c r="M11" s="762"/>
      <c r="N11" s="762"/>
      <c r="O11" s="763"/>
      <c r="P11" s="764" t="s">
        <v>133</v>
      </c>
      <c r="Q11" s="725"/>
      <c r="R11" s="740" t="s">
        <v>649</v>
      </c>
      <c r="S11" s="741"/>
      <c r="T11" s="742"/>
      <c r="V11"/>
      <c r="W11"/>
      <c r="X11"/>
      <c r="Y11"/>
      <c r="AC11"/>
      <c r="AD11"/>
      <c r="XFC11" s="39" t="s">
        <v>420</v>
      </c>
    </row>
    <row r="12" spans="1:31 16383:16383" ht="17.25" customHeight="1" x14ac:dyDescent="0.3">
      <c r="A12" s="62"/>
      <c r="P12" s="765" t="s">
        <v>288</v>
      </c>
      <c r="Q12" s="766"/>
      <c r="R12" s="767" t="s">
        <v>134</v>
      </c>
      <c r="S12" s="768"/>
      <c r="T12" s="769"/>
      <c r="V12"/>
      <c r="W12"/>
      <c r="X12"/>
      <c r="Y12"/>
      <c r="AC12"/>
      <c r="AD12"/>
      <c r="XFC12" s="39" t="s">
        <v>421</v>
      </c>
    </row>
    <row r="13" spans="1:31 16383:16383" ht="15" thickBot="1" x14ac:dyDescent="0.35">
      <c r="A13" s="746" t="s">
        <v>135</v>
      </c>
      <c r="B13" s="747"/>
      <c r="C13" s="748"/>
      <c r="D13" s="748"/>
      <c r="E13" s="748"/>
      <c r="F13" s="748"/>
      <c r="G13" s="748"/>
      <c r="H13" s="747"/>
      <c r="I13" s="747"/>
      <c r="J13" s="747"/>
      <c r="K13" s="748"/>
      <c r="L13" s="748"/>
      <c r="M13" s="748"/>
      <c r="N13" s="747"/>
      <c r="O13" s="747"/>
      <c r="P13" s="747"/>
      <c r="Q13" s="748"/>
      <c r="R13" s="748"/>
      <c r="S13" s="748"/>
      <c r="T13" s="749"/>
      <c r="V13"/>
      <c r="W13"/>
      <c r="X13"/>
      <c r="Y13"/>
      <c r="AA13" s="40"/>
      <c r="XFC13" s="39" t="s">
        <v>422</v>
      </c>
    </row>
    <row r="14" spans="1:31 16383:16383" ht="15" thickBot="1" x14ac:dyDescent="0.35">
      <c r="A14" s="724" t="s">
        <v>287</v>
      </c>
      <c r="B14" s="725"/>
      <c r="C14" s="740" t="s">
        <v>302</v>
      </c>
      <c r="D14" s="741"/>
      <c r="E14" s="741"/>
      <c r="F14" s="741"/>
      <c r="G14" s="742"/>
      <c r="H14" s="764" t="s">
        <v>136</v>
      </c>
      <c r="I14" s="724"/>
      <c r="J14" s="725"/>
      <c r="K14" s="740" t="s">
        <v>650</v>
      </c>
      <c r="L14" s="741"/>
      <c r="M14" s="742"/>
      <c r="N14" s="764" t="s">
        <v>137</v>
      </c>
      <c r="O14" s="724"/>
      <c r="P14" s="770"/>
      <c r="Q14" s="751" t="s">
        <v>651</v>
      </c>
      <c r="R14" s="752"/>
      <c r="S14" s="752"/>
      <c r="T14" s="753"/>
      <c r="V14"/>
      <c r="W14"/>
      <c r="X14"/>
      <c r="Y14"/>
      <c r="Z14" s="42"/>
      <c r="AB14"/>
      <c r="AC14"/>
      <c r="AD14"/>
      <c r="AE14"/>
      <c r="XFC14" s="39" t="s">
        <v>423</v>
      </c>
    </row>
    <row r="15" spans="1:31 16383:16383" ht="15" thickBot="1" x14ac:dyDescent="0.35">
      <c r="A15" s="734" t="s">
        <v>138</v>
      </c>
      <c r="B15" s="735"/>
      <c r="C15" s="736" t="s">
        <v>652</v>
      </c>
      <c r="D15" s="737"/>
      <c r="E15" s="737"/>
      <c r="F15" s="737"/>
      <c r="G15" s="738"/>
      <c r="H15" s="739" t="s">
        <v>139</v>
      </c>
      <c r="I15" s="734"/>
      <c r="J15" s="735"/>
      <c r="K15" s="740" t="s">
        <v>653</v>
      </c>
      <c r="L15" s="741"/>
      <c r="M15" s="742"/>
      <c r="N15" s="739" t="s">
        <v>140</v>
      </c>
      <c r="O15" s="735"/>
      <c r="P15" s="726" t="s">
        <v>654</v>
      </c>
      <c r="Q15" s="727"/>
      <c r="R15" s="727"/>
      <c r="S15" s="727"/>
      <c r="T15" s="728"/>
      <c r="V15"/>
      <c r="W15"/>
      <c r="X15"/>
      <c r="Y15"/>
      <c r="AB15"/>
      <c r="AC15"/>
      <c r="AD15"/>
      <c r="AE15"/>
      <c r="XFC15" s="39" t="s">
        <v>424</v>
      </c>
    </row>
    <row r="16" spans="1:31 16383:16383" ht="15" thickBot="1" x14ac:dyDescent="0.35">
      <c r="A16" s="723" t="s">
        <v>141</v>
      </c>
      <c r="B16" s="723"/>
      <c r="C16" s="724"/>
      <c r="D16" s="725"/>
      <c r="E16" s="726" t="s">
        <v>655</v>
      </c>
      <c r="F16" s="727"/>
      <c r="G16" s="727"/>
      <c r="H16" s="727"/>
      <c r="I16" s="727"/>
      <c r="J16" s="727"/>
      <c r="K16" s="727"/>
      <c r="L16" s="727"/>
      <c r="M16" s="727"/>
      <c r="N16" s="727"/>
      <c r="O16" s="727"/>
      <c r="P16" s="727"/>
      <c r="Q16" s="727"/>
      <c r="R16" s="727"/>
      <c r="S16" s="727"/>
      <c r="T16" s="728"/>
      <c r="V16"/>
      <c r="W16"/>
      <c r="X16"/>
      <c r="Y16"/>
      <c r="AB16"/>
      <c r="AC16"/>
      <c r="AD16"/>
      <c r="AE16"/>
      <c r="XFC16" s="39" t="s">
        <v>425</v>
      </c>
    </row>
    <row r="17" spans="1:35 16383:16383" x14ac:dyDescent="0.3">
      <c r="A17" s="729"/>
      <c r="B17" s="730"/>
      <c r="C17" s="730"/>
      <c r="D17" s="730"/>
      <c r="E17" s="730"/>
      <c r="F17" s="730"/>
      <c r="G17" s="730"/>
      <c r="H17" s="730"/>
      <c r="I17" s="730"/>
      <c r="J17" s="730"/>
      <c r="K17" s="730"/>
      <c r="L17" s="730"/>
      <c r="M17" s="730"/>
      <c r="N17" s="730"/>
      <c r="O17" s="730"/>
      <c r="P17" s="730"/>
      <c r="Q17" s="730"/>
      <c r="R17" s="730"/>
      <c r="S17" s="730"/>
      <c r="T17" s="731"/>
      <c r="AB17"/>
      <c r="AC17"/>
      <c r="AD17"/>
      <c r="AE17"/>
      <c r="XFC17" s="39" t="s">
        <v>426</v>
      </c>
    </row>
    <row r="18" spans="1:35 16383:16383" x14ac:dyDescent="0.3">
      <c r="A18" s="732" t="s">
        <v>142</v>
      </c>
      <c r="B18" s="732"/>
      <c r="C18" s="732"/>
      <c r="D18" s="732"/>
      <c r="E18" s="732"/>
      <c r="F18" s="732"/>
      <c r="G18" s="732"/>
      <c r="H18" s="732"/>
      <c r="I18" s="732"/>
      <c r="J18" s="732"/>
      <c r="K18" s="732"/>
      <c r="L18" s="732"/>
      <c r="M18" s="732"/>
      <c r="N18" s="732"/>
      <c r="O18" s="732"/>
      <c r="P18" s="732"/>
      <c r="Q18" s="732"/>
      <c r="R18" s="732"/>
      <c r="S18" s="732"/>
      <c r="T18" s="733"/>
      <c r="V18"/>
      <c r="W18"/>
      <c r="X18"/>
      <c r="Y18"/>
      <c r="Z18"/>
      <c r="XFC18" s="39" t="s">
        <v>427</v>
      </c>
    </row>
    <row r="19" spans="1:35 16383:16383" ht="15" thickBot="1" x14ac:dyDescent="0.35">
      <c r="A19" s="710" t="s">
        <v>143</v>
      </c>
      <c r="B19" s="710"/>
      <c r="C19" s="710"/>
      <c r="D19" s="721" t="s">
        <v>144</v>
      </c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63"/>
      <c r="S19" s="63"/>
      <c r="T19" s="63"/>
      <c r="V19"/>
      <c r="W19"/>
      <c r="X19"/>
      <c r="Y19"/>
      <c r="Z19"/>
      <c r="XFC19" s="39" t="s">
        <v>428</v>
      </c>
    </row>
    <row r="20" spans="1:35 16383:16383" ht="15" thickBot="1" x14ac:dyDescent="0.35">
      <c r="A20" s="706" t="s">
        <v>145</v>
      </c>
      <c r="B20" s="706"/>
      <c r="C20" s="707"/>
      <c r="D20" s="713" t="s">
        <v>656</v>
      </c>
      <c r="E20" s="714"/>
      <c r="F20" s="133" t="s">
        <v>107</v>
      </c>
      <c r="G20" s="711" t="s">
        <v>146</v>
      </c>
      <c r="H20" s="712"/>
      <c r="I20" s="717">
        <v>0.25</v>
      </c>
      <c r="J20" s="718"/>
      <c r="K20" s="357" t="str">
        <f>F20</f>
        <v>InH2O</v>
      </c>
      <c r="L20" s="706" t="s">
        <v>147</v>
      </c>
      <c r="M20" s="706"/>
      <c r="N20" s="707"/>
      <c r="O20" s="715" t="s">
        <v>148</v>
      </c>
      <c r="P20" s="720"/>
      <c r="Q20" s="716"/>
      <c r="R20" s="63"/>
      <c r="S20" s="63"/>
      <c r="T20" s="63"/>
      <c r="V20"/>
      <c r="W20"/>
      <c r="X20"/>
      <c r="Y20"/>
      <c r="Z20"/>
      <c r="XFC20" s="39" t="s">
        <v>429</v>
      </c>
    </row>
    <row r="21" spans="1:35 16383:16383" ht="15" thickBot="1" x14ac:dyDescent="0.35">
      <c r="A21" s="680" t="s">
        <v>149</v>
      </c>
      <c r="B21" s="680"/>
      <c r="C21" s="681"/>
      <c r="D21" s="713" t="s">
        <v>656</v>
      </c>
      <c r="E21" s="714"/>
      <c r="F21" s="355" t="str">
        <f>F20</f>
        <v>InH2O</v>
      </c>
      <c r="G21" s="702" t="s">
        <v>146</v>
      </c>
      <c r="H21" s="702"/>
      <c r="I21" s="719">
        <v>0.25</v>
      </c>
      <c r="J21" s="720"/>
      <c r="K21" s="356" t="str">
        <f>F20</f>
        <v>InH2O</v>
      </c>
      <c r="L21" s="708" t="s">
        <v>150</v>
      </c>
      <c r="M21" s="709"/>
      <c r="N21" s="709"/>
      <c r="O21" s="778" t="s">
        <v>657</v>
      </c>
      <c r="P21" s="720"/>
      <c r="Q21" s="716"/>
      <c r="R21" s="63"/>
      <c r="S21" s="63"/>
      <c r="T21" s="63"/>
      <c r="V21"/>
      <c r="W21"/>
      <c r="X21"/>
      <c r="Y21"/>
      <c r="Z21"/>
      <c r="XFC21" s="39" t="s">
        <v>430</v>
      </c>
    </row>
    <row r="22" spans="1:35 16383:16383" ht="15" thickBot="1" x14ac:dyDescent="0.35">
      <c r="A22" s="680" t="str">
        <f>IF(O20=E128,"División de escala:",IF(O20=E127,"Resolución:","División de escala/Resolución:"))</f>
        <v>División de escala:</v>
      </c>
      <c r="B22" s="680"/>
      <c r="C22" s="681"/>
      <c r="D22" s="715">
        <v>5.0000000000000001E-3</v>
      </c>
      <c r="E22" s="716"/>
      <c r="F22" s="355" t="str">
        <f>IF(ISBLANK(F21),"N.A.",F21)</f>
        <v>InH2O</v>
      </c>
      <c r="G22" s="702" t="str">
        <f>IF(O20="Digital","N.A.","Apreciacion:")</f>
        <v>Apreciacion:</v>
      </c>
      <c r="H22" s="703"/>
      <c r="I22" s="715">
        <v>2.5000000000000001E-3</v>
      </c>
      <c r="J22" s="716"/>
      <c r="K22" s="358" t="str">
        <f>F20</f>
        <v>InH2O</v>
      </c>
      <c r="L22" s="704" t="s">
        <v>76</v>
      </c>
      <c r="M22" s="705"/>
      <c r="N22" s="705"/>
      <c r="O22" s="779">
        <f>ROUNDUP((('Tabla de resultados'!AM102)/(ABS(D20)+ABS(I20))*100),1)</f>
        <v>1.8</v>
      </c>
      <c r="P22" s="780"/>
      <c r="Q22" s="781"/>
      <c r="R22" s="63"/>
      <c r="S22" s="63"/>
      <c r="T22" s="63"/>
      <c r="V22"/>
      <c r="W22"/>
      <c r="X22"/>
      <c r="Y22"/>
      <c r="Z22"/>
      <c r="XFC22" s="39" t="s">
        <v>431</v>
      </c>
    </row>
    <row r="23" spans="1:35 16383:16383" ht="15" thickBot="1" x14ac:dyDescent="0.35">
      <c r="A23" s="687"/>
      <c r="B23" s="688"/>
      <c r="C23" s="688"/>
      <c r="D23" s="694"/>
      <c r="E23" s="695"/>
      <c r="F23" s="689" t="s">
        <v>152</v>
      </c>
      <c r="G23" s="690"/>
      <c r="H23" s="690"/>
      <c r="I23" s="691"/>
      <c r="J23" s="698" t="s">
        <v>124</v>
      </c>
      <c r="K23" s="699"/>
      <c r="L23" s="692" t="s">
        <v>153</v>
      </c>
      <c r="M23" s="693"/>
      <c r="N23" s="693"/>
      <c r="O23" s="715" t="s">
        <v>0</v>
      </c>
      <c r="P23" s="720"/>
      <c r="Q23" s="716"/>
      <c r="R23" s="63"/>
      <c r="S23" s="63"/>
      <c r="T23" s="63"/>
      <c r="V23"/>
      <c r="W23" s="754"/>
      <c r="X23" s="754"/>
      <c r="Y23" s="331"/>
      <c r="Z23" s="331"/>
      <c r="AA23" s="331"/>
      <c r="AB23" s="754"/>
      <c r="AC23" s="754"/>
      <c r="AD23" s="754"/>
      <c r="AE23" s="754"/>
      <c r="AF23" s="754"/>
      <c r="AG23" s="754"/>
      <c r="AH23" s="754"/>
      <c r="AI23" s="754"/>
      <c r="XFC23" s="39" t="s">
        <v>432</v>
      </c>
    </row>
    <row r="24" spans="1:35 16383:16383" ht="15" thickBot="1" x14ac:dyDescent="0.35">
      <c r="A24" s="680" t="s">
        <v>154</v>
      </c>
      <c r="B24" s="680"/>
      <c r="C24" s="681"/>
      <c r="D24" s="696">
        <f>IF(ISBLANK(O21),((ABS(D20)+ABS(I20))*O22)/100,(O21*((ABS(D20)+ABS(I20)))/100))</f>
        <v>0.01</v>
      </c>
      <c r="E24" s="697"/>
      <c r="F24" s="682" t="s">
        <v>155</v>
      </c>
      <c r="G24" s="683"/>
      <c r="H24" s="684"/>
      <c r="I24" s="700">
        <f>IF(ISBLANK(O21),((ABS(D20)+ABS(I20))*O22)/-100,(O21*((ABS(D20)+ABS(I20)))/-100))</f>
        <v>-0.01</v>
      </c>
      <c r="J24" s="701"/>
      <c r="K24" s="685" t="s">
        <v>269</v>
      </c>
      <c r="L24" s="686"/>
      <c r="M24" s="686"/>
      <c r="N24" s="686"/>
      <c r="O24" s="686"/>
      <c r="P24" s="782">
        <f>IF(O23="A",9,IF(O23="B",9,5))</f>
        <v>5</v>
      </c>
      <c r="Q24" s="783"/>
      <c r="R24" s="63"/>
      <c r="S24" s="63"/>
      <c r="T24" s="63"/>
      <c r="V24"/>
      <c r="W24" s="332"/>
      <c r="X24" s="280"/>
      <c r="Y24" s="280"/>
      <c r="Z24" s="280"/>
      <c r="AA24" s="280"/>
      <c r="XFC24" s="39" t="s">
        <v>433</v>
      </c>
    </row>
    <row r="25" spans="1:35 16383:16383" ht="6" customHeigh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 s="64"/>
      <c r="Q25" s="64"/>
      <c r="R25" s="63"/>
      <c r="S25" s="63"/>
      <c r="T25" s="63"/>
      <c r="V25"/>
      <c r="X25" s="280"/>
      <c r="Y25" s="280"/>
      <c r="Z25" s="280"/>
      <c r="AA25" s="280"/>
      <c r="AH25" s="333"/>
      <c r="AI25" s="333"/>
      <c r="XFC25" s="39" t="s">
        <v>434</v>
      </c>
    </row>
    <row r="26" spans="1:35 16383:16383" ht="15.75" customHeight="1" x14ac:dyDescent="0.3">
      <c r="A26" s="667" t="s">
        <v>156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X26" s="280"/>
      <c r="Y26" s="280"/>
      <c r="Z26" s="280"/>
      <c r="AA26" s="280"/>
      <c r="AH26" s="333"/>
      <c r="AI26" s="333"/>
      <c r="XFC26" s="39" t="s">
        <v>435</v>
      </c>
    </row>
    <row r="27" spans="1:35 16383:16383" x14ac:dyDescent="0.3">
      <c r="A27" s="668" t="s">
        <v>157</v>
      </c>
      <c r="B27" s="669"/>
      <c r="C27" s="669"/>
      <c r="D27" s="669"/>
      <c r="E27" s="669"/>
      <c r="F27" s="669"/>
      <c r="G27" s="669"/>
      <c r="H27" s="669"/>
      <c r="I27" s="670"/>
      <c r="J27" s="674" t="s">
        <v>158</v>
      </c>
      <c r="K27" s="675"/>
      <c r="L27" s="676"/>
      <c r="M27" s="677" t="s">
        <v>159</v>
      </c>
      <c r="N27" s="678"/>
      <c r="O27" s="678"/>
      <c r="P27" s="678"/>
      <c r="Q27" s="678"/>
      <c r="R27" s="678"/>
      <c r="S27" s="678"/>
      <c r="T27" s="679"/>
      <c r="W27" s="334"/>
      <c r="X27" s="280"/>
      <c r="Y27" s="280"/>
      <c r="Z27" s="280"/>
      <c r="AA27" s="280"/>
      <c r="XFC27" s="39" t="s">
        <v>436</v>
      </c>
    </row>
    <row r="28" spans="1:35 16383:16383" ht="15" thickBot="1" x14ac:dyDescent="0.35">
      <c r="A28" s="671"/>
      <c r="B28" s="672"/>
      <c r="C28" s="672"/>
      <c r="D28" s="672"/>
      <c r="E28" s="672"/>
      <c r="F28" s="672"/>
      <c r="G28" s="672"/>
      <c r="H28" s="672"/>
      <c r="I28" s="673"/>
      <c r="J28" s="65" t="s">
        <v>160</v>
      </c>
      <c r="K28" s="65" t="s">
        <v>161</v>
      </c>
      <c r="L28" s="66" t="s">
        <v>162</v>
      </c>
      <c r="M28" s="677"/>
      <c r="N28" s="678"/>
      <c r="O28" s="678"/>
      <c r="P28" s="678"/>
      <c r="Q28" s="678"/>
      <c r="R28" s="678"/>
      <c r="S28" s="678"/>
      <c r="T28" s="679"/>
      <c r="W28" s="334"/>
      <c r="X28" s="280"/>
      <c r="Y28" s="280"/>
      <c r="Z28" s="280"/>
      <c r="AA28" s="280"/>
      <c r="XFC28" s="39" t="s">
        <v>437</v>
      </c>
    </row>
    <row r="29" spans="1:35 16383:16383" ht="15" thickBot="1" x14ac:dyDescent="0.35">
      <c r="A29" s="657" t="s">
        <v>163</v>
      </c>
      <c r="B29" s="658"/>
      <c r="C29" s="658"/>
      <c r="D29" s="658"/>
      <c r="E29" s="658"/>
      <c r="F29" s="658"/>
      <c r="G29" s="658"/>
      <c r="H29" s="658"/>
      <c r="I29" s="658"/>
      <c r="J29" s="67" t="s">
        <v>658</v>
      </c>
      <c r="K29" s="67"/>
      <c r="L29" s="67"/>
      <c r="M29" s="664"/>
      <c r="N29" s="665"/>
      <c r="O29" s="665"/>
      <c r="P29" s="665"/>
      <c r="Q29" s="665"/>
      <c r="R29" s="665"/>
      <c r="S29" s="665"/>
      <c r="T29" s="666"/>
      <c r="W29" s="332"/>
      <c r="X29" s="280"/>
      <c r="Y29" s="280"/>
      <c r="Z29" s="280"/>
      <c r="AA29" s="280"/>
      <c r="XFC29" s="39" t="s">
        <v>438</v>
      </c>
    </row>
    <row r="30" spans="1:35 16383:16383" ht="15" thickBot="1" x14ac:dyDescent="0.35">
      <c r="A30" s="657" t="s">
        <v>164</v>
      </c>
      <c r="B30" s="658"/>
      <c r="C30" s="658"/>
      <c r="D30" s="658"/>
      <c r="E30" s="658"/>
      <c r="F30" s="658"/>
      <c r="G30" s="658"/>
      <c r="H30" s="658"/>
      <c r="I30" s="663"/>
      <c r="J30" s="67" t="s">
        <v>658</v>
      </c>
      <c r="K30" s="67"/>
      <c r="L30" s="67"/>
      <c r="M30" s="121"/>
      <c r="N30" s="122"/>
      <c r="O30" s="122"/>
      <c r="P30" s="122"/>
      <c r="Q30" s="122"/>
      <c r="R30" s="122"/>
      <c r="S30" s="122"/>
      <c r="T30" s="123"/>
      <c r="XFC30" s="39" t="s">
        <v>439</v>
      </c>
    </row>
    <row r="31" spans="1:35 16383:16383" ht="15" thickBot="1" x14ac:dyDescent="0.35">
      <c r="A31" s="657" t="s">
        <v>165</v>
      </c>
      <c r="B31" s="658"/>
      <c r="C31" s="658"/>
      <c r="D31" s="658"/>
      <c r="E31" s="658"/>
      <c r="F31" s="658"/>
      <c r="G31" s="658"/>
      <c r="H31" s="658"/>
      <c r="I31" s="658"/>
      <c r="J31" s="68" t="s">
        <v>658</v>
      </c>
      <c r="K31" s="68"/>
      <c r="L31" s="67"/>
      <c r="M31" s="659"/>
      <c r="N31" s="660"/>
      <c r="O31" s="660"/>
      <c r="P31" s="660"/>
      <c r="Q31" s="660"/>
      <c r="R31" s="660"/>
      <c r="S31" s="660"/>
      <c r="T31" s="661"/>
      <c r="XFC31" s="39" t="s">
        <v>440</v>
      </c>
    </row>
    <row r="32" spans="1:35 16383:16383" ht="15" thickBot="1" x14ac:dyDescent="0.35">
      <c r="A32" s="657" t="s">
        <v>292</v>
      </c>
      <c r="B32" s="658"/>
      <c r="C32" s="658"/>
      <c r="D32" s="658"/>
      <c r="E32" s="658"/>
      <c r="F32" s="658"/>
      <c r="G32" s="658"/>
      <c r="H32" s="658"/>
      <c r="I32" s="663"/>
      <c r="J32" s="68" t="s">
        <v>658</v>
      </c>
      <c r="K32" s="68"/>
      <c r="L32" s="67"/>
      <c r="M32" s="118"/>
      <c r="N32" s="119"/>
      <c r="O32" s="119"/>
      <c r="P32" s="119"/>
      <c r="Q32" s="119"/>
      <c r="R32" s="119"/>
      <c r="S32" s="119"/>
      <c r="T32" s="120"/>
      <c r="XFC32" s="39" t="s">
        <v>441</v>
      </c>
    </row>
    <row r="33" spans="1:29 16383:16383" ht="15" thickBot="1" x14ac:dyDescent="0.35">
      <c r="A33" s="657" t="s">
        <v>166</v>
      </c>
      <c r="B33" s="658"/>
      <c r="C33" s="658"/>
      <c r="D33" s="658"/>
      <c r="E33" s="658"/>
      <c r="F33" s="658"/>
      <c r="G33" s="658"/>
      <c r="H33" s="658"/>
      <c r="I33" s="658"/>
      <c r="J33" s="68" t="s">
        <v>658</v>
      </c>
      <c r="K33" s="68"/>
      <c r="L33" s="67"/>
      <c r="M33" s="659"/>
      <c r="N33" s="660"/>
      <c r="O33" s="660"/>
      <c r="P33" s="660"/>
      <c r="Q33" s="660"/>
      <c r="R33" s="660"/>
      <c r="S33" s="660"/>
      <c r="T33" s="661"/>
      <c r="XFC33" s="39" t="s">
        <v>442</v>
      </c>
    </row>
    <row r="34" spans="1:29 16383:16383" ht="15" thickBot="1" x14ac:dyDescent="0.35">
      <c r="A34" s="657" t="s">
        <v>167</v>
      </c>
      <c r="B34" s="658"/>
      <c r="C34" s="658"/>
      <c r="D34" s="658"/>
      <c r="E34" s="658"/>
      <c r="F34" s="658"/>
      <c r="G34" s="658"/>
      <c r="H34" s="658"/>
      <c r="I34" s="658"/>
      <c r="J34" s="68"/>
      <c r="K34" s="68" t="s">
        <v>658</v>
      </c>
      <c r="L34" s="67"/>
      <c r="M34" s="659"/>
      <c r="N34" s="660"/>
      <c r="O34" s="660"/>
      <c r="P34" s="660"/>
      <c r="Q34" s="660"/>
      <c r="R34" s="660"/>
      <c r="S34" s="660"/>
      <c r="T34" s="661"/>
      <c r="XFC34" s="39" t="s">
        <v>443</v>
      </c>
    </row>
    <row r="35" spans="1:29 16383:16383" ht="15" thickBot="1" x14ac:dyDescent="0.35">
      <c r="A35" s="657" t="s">
        <v>168</v>
      </c>
      <c r="B35" s="658"/>
      <c r="C35" s="658"/>
      <c r="D35" s="658"/>
      <c r="E35" s="658"/>
      <c r="F35" s="658"/>
      <c r="G35" s="658"/>
      <c r="H35" s="658"/>
      <c r="I35" s="658"/>
      <c r="J35" s="68" t="s">
        <v>658</v>
      </c>
      <c r="K35" s="68"/>
      <c r="L35" s="68"/>
      <c r="M35" s="659"/>
      <c r="N35" s="660"/>
      <c r="O35" s="660"/>
      <c r="P35" s="660"/>
      <c r="Q35" s="660"/>
      <c r="R35" s="660"/>
      <c r="S35" s="660"/>
      <c r="T35" s="661"/>
      <c r="XFC35" s="39" t="s">
        <v>444</v>
      </c>
    </row>
    <row r="36" spans="1:29 16383:16383" ht="15" thickBot="1" x14ac:dyDescent="0.35">
      <c r="A36" s="657" t="s">
        <v>169</v>
      </c>
      <c r="B36" s="658"/>
      <c r="C36" s="658"/>
      <c r="D36" s="658"/>
      <c r="E36" s="658"/>
      <c r="F36" s="658"/>
      <c r="G36" s="658"/>
      <c r="H36" s="658"/>
      <c r="I36" s="658"/>
      <c r="J36" s="68" t="s">
        <v>658</v>
      </c>
      <c r="K36" s="68"/>
      <c r="L36" s="68"/>
      <c r="M36" s="659"/>
      <c r="N36" s="660"/>
      <c r="O36" s="660"/>
      <c r="P36" s="660"/>
      <c r="Q36" s="660"/>
      <c r="R36" s="660"/>
      <c r="S36" s="660"/>
      <c r="T36" s="661"/>
      <c r="AC36" s="41"/>
      <c r="XFC36" s="39" t="s">
        <v>445</v>
      </c>
    </row>
    <row r="37" spans="1:29 16383:16383" ht="15" thickBot="1" x14ac:dyDescent="0.35">
      <c r="A37" s="657" t="s">
        <v>293</v>
      </c>
      <c r="B37" s="658"/>
      <c r="C37" s="658"/>
      <c r="D37" s="658"/>
      <c r="E37" s="658"/>
      <c r="F37" s="658"/>
      <c r="G37" s="658"/>
      <c r="H37" s="658"/>
      <c r="I37" s="658"/>
      <c r="J37" s="68"/>
      <c r="K37" s="68"/>
      <c r="L37" s="68" t="s">
        <v>658</v>
      </c>
      <c r="M37" s="659"/>
      <c r="N37" s="660"/>
      <c r="O37" s="660"/>
      <c r="P37" s="660"/>
      <c r="Q37" s="660"/>
      <c r="R37" s="660"/>
      <c r="S37" s="660"/>
      <c r="T37" s="661"/>
      <c r="V37"/>
      <c r="AC37" s="41"/>
      <c r="XFC37" s="39" t="s">
        <v>446</v>
      </c>
    </row>
    <row r="38" spans="1:29 16383:16383" ht="15" thickBot="1" x14ac:dyDescent="0.35">
      <c r="A38" s="657" t="s">
        <v>294</v>
      </c>
      <c r="B38" s="658"/>
      <c r="C38" s="658"/>
      <c r="D38" s="658"/>
      <c r="E38" s="658"/>
      <c r="F38" s="658"/>
      <c r="G38" s="658"/>
      <c r="H38" s="658"/>
      <c r="I38" s="658"/>
      <c r="J38" s="68"/>
      <c r="K38" s="68" t="s">
        <v>658</v>
      </c>
      <c r="L38" s="68"/>
      <c r="M38" s="659"/>
      <c r="N38" s="660"/>
      <c r="O38" s="660"/>
      <c r="P38" s="660"/>
      <c r="Q38" s="660"/>
      <c r="R38" s="660"/>
      <c r="S38" s="660"/>
      <c r="T38" s="661"/>
      <c r="V38"/>
      <c r="W38"/>
      <c r="X38"/>
      <c r="Y38"/>
      <c r="Z38"/>
      <c r="AC38" s="41"/>
      <c r="XFC38" s="39" t="s">
        <v>447</v>
      </c>
    </row>
    <row r="39" spans="1:29 16383:16383" ht="9.75" customHeight="1" x14ac:dyDescent="0.3">
      <c r="A39" s="61"/>
      <c r="B39" s="61"/>
      <c r="C39" s="61"/>
      <c r="D39" s="61"/>
      <c r="E39" s="61"/>
      <c r="F39" s="61"/>
      <c r="G39" s="61"/>
      <c r="H39" s="61"/>
      <c r="I39" s="61"/>
      <c r="J39" s="69"/>
      <c r="K39" s="69"/>
      <c r="L39" s="70"/>
      <c r="M39" s="69"/>
      <c r="N39" s="69"/>
      <c r="O39" s="69"/>
      <c r="P39" s="69"/>
      <c r="Q39" s="69"/>
      <c r="R39" s="69"/>
      <c r="S39" s="69"/>
      <c r="T39" s="69"/>
      <c r="V39"/>
      <c r="W39"/>
      <c r="X39"/>
      <c r="Y39"/>
      <c r="Z39"/>
      <c r="AC39" s="41"/>
      <c r="XFC39" s="39" t="s">
        <v>448</v>
      </c>
    </row>
    <row r="40" spans="1:29 16383:16383" x14ac:dyDescent="0.3">
      <c r="A40" s="71"/>
      <c r="F40" s="540" t="s">
        <v>170</v>
      </c>
      <c r="G40" s="540"/>
      <c r="H40" s="540"/>
      <c r="I40" s="540"/>
      <c r="J40" s="540"/>
      <c r="K40" s="540"/>
      <c r="L40" s="540"/>
      <c r="M40" s="540"/>
      <c r="N40" s="540"/>
      <c r="O40" s="540"/>
      <c r="P40" s="540"/>
      <c r="Q40" s="540"/>
      <c r="R40" s="540"/>
      <c r="S40" s="540"/>
      <c r="T40" s="540"/>
      <c r="U40" s="540"/>
      <c r="V40"/>
      <c r="W40"/>
      <c r="X40"/>
      <c r="Y40"/>
      <c r="Z40"/>
      <c r="XFC40" s="39" t="s">
        <v>449</v>
      </c>
    </row>
    <row r="41" spans="1:29 16383:16383" x14ac:dyDescent="0.3">
      <c r="A41" s="71"/>
      <c r="F41" s="662" t="s">
        <v>171</v>
      </c>
      <c r="G41" s="662"/>
      <c r="H41" s="662"/>
      <c r="I41" s="662"/>
      <c r="J41" s="662" t="s">
        <v>172</v>
      </c>
      <c r="K41" s="662"/>
      <c r="L41" s="662"/>
      <c r="M41" s="662"/>
      <c r="N41" s="662"/>
      <c r="O41" s="662"/>
      <c r="P41" s="662" t="s">
        <v>230</v>
      </c>
      <c r="Q41" s="662"/>
      <c r="R41" s="320" t="s">
        <v>402</v>
      </c>
      <c r="S41" s="320" t="s">
        <v>323</v>
      </c>
      <c r="T41" s="335" t="s">
        <v>409</v>
      </c>
      <c r="U41" s="359"/>
      <c r="W41"/>
      <c r="X41"/>
      <c r="Y41"/>
      <c r="Z41"/>
      <c r="XFC41" s="39" t="s">
        <v>450</v>
      </c>
    </row>
    <row r="42" spans="1:29 16383:16383" x14ac:dyDescent="0.3">
      <c r="A42" s="71"/>
      <c r="F42" s="653" t="s">
        <v>285</v>
      </c>
      <c r="G42" s="653"/>
      <c r="H42" s="653"/>
      <c r="I42" s="653"/>
      <c r="J42" s="539" t="str">
        <f>VLOOKUP(F42,TRAZABILIDAD!A3:F9,2,FALSE)</f>
        <v>Manometro de presión Diferencial</v>
      </c>
      <c r="K42" s="539"/>
      <c r="L42" s="539"/>
      <c r="M42" s="539"/>
      <c r="N42" s="539"/>
      <c r="O42" s="539"/>
      <c r="P42" s="539" t="str">
        <f>VLOOKUP(F42,TRAZABILIDAD!$A$3:$E$9,3,0)</f>
        <v>Additel</v>
      </c>
      <c r="Q42" s="539"/>
      <c r="R42" s="354" t="str">
        <f>VLOOKUP(F42,TRAZABILIDAD!$A$3:$E$9,4,0)</f>
        <v>N25121723</v>
      </c>
      <c r="S42" s="321">
        <f>VLOOKUP(F42,TRAZABILIDAD!A3:$F$11,6,FALSE)</f>
        <v>46373</v>
      </c>
      <c r="T42" s="771" t="str">
        <f>VLOOKUP(F42,TRAZABILIDAD!A3:$G$11,7,FALSE)</f>
        <v xml:space="preserve"> -2 In H2O a 2 In H2O</v>
      </c>
      <c r="U42" s="771"/>
      <c r="V42" s="352">
        <f ca="1">TODAY()</f>
        <v>46136</v>
      </c>
      <c r="W42" s="351"/>
      <c r="X42" s="351"/>
      <c r="Y42" s="351"/>
      <c r="XFC42" s="39" t="s">
        <v>451</v>
      </c>
    </row>
    <row r="43" spans="1:29 16383:16383" x14ac:dyDescent="0.3">
      <c r="A43" s="71"/>
      <c r="F43" s="653"/>
      <c r="G43" s="653"/>
      <c r="H43" s="653"/>
      <c r="I43" s="653"/>
      <c r="J43" s="539" t="e">
        <f>VLOOKUP(F43,TRAZABILIDAD!A3:F9,2,FALSE)</f>
        <v>#N/A</v>
      </c>
      <c r="K43" s="539"/>
      <c r="L43" s="539"/>
      <c r="M43" s="539"/>
      <c r="N43" s="539"/>
      <c r="O43" s="539"/>
      <c r="P43" s="539" t="e">
        <f>VLOOKUP(F43,TRAZABILIDAD!$A$3:$E$9,3,0)</f>
        <v>#N/A</v>
      </c>
      <c r="Q43" s="539"/>
      <c r="R43" s="354" t="e">
        <f>VLOOKUP(F43,TRAZABILIDAD!$A$3:$E$9,4,0)</f>
        <v>#N/A</v>
      </c>
      <c r="S43" s="321" t="e">
        <f>VLOOKUP(F43,TRAZABILIDAD!A3:$F$11,6,FALSE)</f>
        <v>#N/A</v>
      </c>
      <c r="T43" s="771" t="e">
        <f>VLOOKUP(F43,TRAZABILIDAD!A3:$G$11,7,FALSE)</f>
        <v>#N/A</v>
      </c>
      <c r="U43" s="771"/>
      <c r="XFC43" s="39" t="s">
        <v>452</v>
      </c>
    </row>
    <row r="44" spans="1:29 16383:16383" x14ac:dyDescent="0.3">
      <c r="A44" s="71"/>
      <c r="F44" s="653"/>
      <c r="G44" s="653"/>
      <c r="H44" s="653"/>
      <c r="I44" s="653"/>
      <c r="J44" s="539" t="e">
        <f>VLOOKUP(F44,TRAZABILIDAD!A3:F9,2,FALSE)</f>
        <v>#N/A</v>
      </c>
      <c r="K44" s="539"/>
      <c r="L44" s="539"/>
      <c r="M44" s="539"/>
      <c r="N44" s="539"/>
      <c r="O44" s="539"/>
      <c r="P44" s="539" t="e">
        <f>VLOOKUP(F44,TRAZABILIDAD!$A$3:$E$9,3,0)</f>
        <v>#N/A</v>
      </c>
      <c r="Q44" s="539"/>
      <c r="R44" s="354" t="e">
        <f>VLOOKUP(F44,TRAZABILIDAD!$A$3:$E$9,4,0)</f>
        <v>#N/A</v>
      </c>
      <c r="S44" s="321" t="e">
        <f>VLOOKUP(F44,TRAZABILIDAD!A3:$F$11,6,FALSE)</f>
        <v>#N/A</v>
      </c>
      <c r="T44" s="771" t="e">
        <f>VLOOKUP(F44,TRAZABILIDAD!A3:$G$11,7,FALSE)</f>
        <v>#N/A</v>
      </c>
      <c r="U44" s="771"/>
      <c r="XFC44" s="39" t="s">
        <v>453</v>
      </c>
    </row>
    <row r="45" spans="1:29 16383:16383" ht="6.75" customHeight="1" x14ac:dyDescent="0.3">
      <c r="A45" s="71"/>
      <c r="XFC45" s="39" t="s">
        <v>454</v>
      </c>
    </row>
    <row r="46" spans="1:29 16383:16383" x14ac:dyDescent="0.3">
      <c r="B46" s="72"/>
      <c r="C46" s="72"/>
      <c r="F46" s="540" t="s">
        <v>173</v>
      </c>
      <c r="G46" s="540"/>
      <c r="H46" s="540"/>
      <c r="I46" s="540"/>
      <c r="J46" s="540"/>
      <c r="K46" s="540"/>
      <c r="L46" s="540"/>
      <c r="M46" s="540"/>
      <c r="N46" s="540"/>
      <c r="O46" s="540"/>
      <c r="P46" s="63"/>
      <c r="Q46" s="72"/>
      <c r="R46" s="72"/>
      <c r="S46" s="72"/>
      <c r="T46" s="72"/>
      <c r="XFC46" s="39" t="s">
        <v>455</v>
      </c>
    </row>
    <row r="47" spans="1:29 16383:16383" x14ac:dyDescent="0.3">
      <c r="A47" s="71"/>
      <c r="F47" s="646" t="s">
        <v>253</v>
      </c>
      <c r="G47" s="647"/>
      <c r="H47" s="647"/>
      <c r="I47" s="647"/>
      <c r="J47" s="647"/>
      <c r="K47" s="647"/>
      <c r="L47" s="647"/>
      <c r="M47" s="647"/>
      <c r="N47" s="647"/>
      <c r="O47" s="648"/>
      <c r="P47" s="63"/>
      <c r="XFC47" s="39" t="s">
        <v>456</v>
      </c>
    </row>
    <row r="48" spans="1:29 16383:16383" ht="15" thickBot="1" x14ac:dyDescent="0.35">
      <c r="F48" s="649"/>
      <c r="G48" s="649"/>
      <c r="H48" s="649"/>
      <c r="I48" s="649"/>
      <c r="J48" s="650" t="s">
        <v>174</v>
      </c>
      <c r="K48" s="650"/>
      <c r="L48" s="651"/>
      <c r="M48" s="652" t="s">
        <v>175</v>
      </c>
      <c r="N48" s="650"/>
      <c r="O48" s="651"/>
      <c r="P48" s="63"/>
      <c r="XFC48" s="39" t="s">
        <v>457</v>
      </c>
    </row>
    <row r="49" spans="1:24 16383:16383" ht="18" customHeight="1" thickBot="1" x14ac:dyDescent="0.35">
      <c r="A49" s="73"/>
      <c r="B49" s="73"/>
      <c r="C49" s="74"/>
      <c r="F49" s="638" t="s">
        <v>176</v>
      </c>
      <c r="G49" s="638"/>
      <c r="H49" s="638"/>
      <c r="I49" s="639"/>
      <c r="J49" s="640">
        <v>25.1</v>
      </c>
      <c r="K49" s="641"/>
      <c r="L49" s="642"/>
      <c r="M49" s="640"/>
      <c r="N49" s="641"/>
      <c r="O49" s="642"/>
      <c r="P49" s="63"/>
      <c r="Q49" s="74"/>
      <c r="R49" s="74"/>
      <c r="S49" s="74"/>
      <c r="T49" s="74"/>
      <c r="XFC49" s="39" t="s">
        <v>458</v>
      </c>
    </row>
    <row r="50" spans="1:24 16383:16383" ht="18" customHeight="1" thickBot="1" x14ac:dyDescent="0.35">
      <c r="A50" s="73"/>
      <c r="B50" s="73"/>
      <c r="C50" s="74"/>
      <c r="F50" s="638" t="s">
        <v>177</v>
      </c>
      <c r="G50" s="638"/>
      <c r="H50" s="638"/>
      <c r="I50" s="639"/>
      <c r="J50" s="643">
        <v>65</v>
      </c>
      <c r="K50" s="644"/>
      <c r="L50" s="645"/>
      <c r="M50" s="643"/>
      <c r="N50" s="644"/>
      <c r="O50" s="645"/>
      <c r="P50" s="63"/>
      <c r="Q50" s="74"/>
      <c r="R50" s="74"/>
      <c r="S50" s="74"/>
      <c r="T50" s="74"/>
      <c r="XFC50" s="39" t="s">
        <v>459</v>
      </c>
    </row>
    <row r="51" spans="1:24 16383:16383" ht="18" customHeight="1" thickBot="1" x14ac:dyDescent="0.35">
      <c r="B51" s="75"/>
      <c r="C51" s="75"/>
      <c r="F51" s="629" t="s">
        <v>295</v>
      </c>
      <c r="G51" s="629"/>
      <c r="H51" s="629"/>
      <c r="I51" s="632"/>
      <c r="J51" s="654">
        <v>908</v>
      </c>
      <c r="K51" s="655"/>
      <c r="L51" s="656"/>
      <c r="M51" s="654"/>
      <c r="N51" s="655"/>
      <c r="O51" s="656"/>
      <c r="P51" s="63"/>
      <c r="XFC51" s="39" t="s">
        <v>460</v>
      </c>
    </row>
    <row r="52" spans="1:24 16383:16383" ht="10.5" customHeight="1" x14ac:dyDescent="0.3">
      <c r="B52" s="75"/>
      <c r="C52" s="75"/>
      <c r="D52" s="76"/>
      <c r="E52" s="76"/>
      <c r="F52" s="76"/>
      <c r="G52" s="77"/>
      <c r="H52" s="75"/>
      <c r="I52" s="75"/>
      <c r="J52" s="75"/>
      <c r="K52" s="78"/>
      <c r="L52" s="78"/>
      <c r="M52" s="78"/>
      <c r="N52" s="78"/>
      <c r="O52" s="78"/>
      <c r="XFC52" s="39" t="s">
        <v>461</v>
      </c>
    </row>
    <row r="53" spans="1:24 16383:16383" ht="10.5" hidden="1" customHeight="1" x14ac:dyDescent="0.3">
      <c r="A53" s="637"/>
      <c r="B53" s="637"/>
      <c r="C53" s="637"/>
      <c r="D53" s="637"/>
      <c r="E53" s="637"/>
      <c r="F53" s="637"/>
      <c r="G53" s="637"/>
      <c r="H53" s="637"/>
      <c r="I53" s="637"/>
      <c r="J53" s="637"/>
      <c r="K53" s="637"/>
      <c r="L53" s="637"/>
      <c r="M53" s="637"/>
      <c r="N53" s="637"/>
      <c r="O53" s="635"/>
      <c r="P53" s="635"/>
      <c r="Q53" s="635"/>
      <c r="R53" s="635"/>
      <c r="S53" s="635"/>
      <c r="T53" s="635"/>
      <c r="XFC53" s="39" t="s">
        <v>462</v>
      </c>
    </row>
    <row r="54" spans="1:24 16383:16383" ht="10.5" hidden="1" customHeight="1" x14ac:dyDescent="0.3">
      <c r="A54" s="636"/>
      <c r="B54" s="636"/>
      <c r="C54" s="636"/>
      <c r="D54" s="636"/>
      <c r="E54" s="636"/>
      <c r="F54" s="636"/>
      <c r="G54" s="636"/>
      <c r="H54" s="636"/>
      <c r="I54" s="636"/>
      <c r="J54" s="636"/>
      <c r="K54" s="636"/>
      <c r="L54" s="636"/>
      <c r="M54" s="636"/>
      <c r="N54" s="636"/>
      <c r="O54" s="636"/>
      <c r="P54" s="636"/>
      <c r="Q54" s="636"/>
      <c r="R54" s="636"/>
      <c r="S54" s="636"/>
      <c r="T54" s="636"/>
      <c r="XFC54" s="39" t="s">
        <v>463</v>
      </c>
    </row>
    <row r="55" spans="1:24 16383:16383" ht="10.5" hidden="1" customHeight="1" x14ac:dyDescent="0.3">
      <c r="A55" s="636"/>
      <c r="B55" s="636"/>
      <c r="C55" s="636"/>
      <c r="D55" s="636"/>
      <c r="E55" s="636"/>
      <c r="F55" s="636"/>
      <c r="G55" s="636"/>
      <c r="H55" s="636"/>
      <c r="I55" s="636"/>
      <c r="J55" s="636"/>
      <c r="K55" s="636"/>
      <c r="L55" s="636"/>
      <c r="M55" s="636"/>
      <c r="N55" s="636"/>
      <c r="O55" s="636"/>
      <c r="P55" s="636"/>
      <c r="Q55" s="636"/>
      <c r="R55" s="636"/>
      <c r="S55" s="636"/>
      <c r="T55" s="636"/>
      <c r="XFC55" s="39" t="s">
        <v>464</v>
      </c>
    </row>
    <row r="56" spans="1:24 16383:16383" ht="10.5" hidden="1" customHeight="1" x14ac:dyDescent="0.3">
      <c r="A56" s="636"/>
      <c r="B56" s="636"/>
      <c r="C56" s="633"/>
      <c r="D56" s="633"/>
      <c r="E56" s="633"/>
      <c r="F56" s="633"/>
      <c r="G56" s="633"/>
      <c r="H56" s="636"/>
      <c r="I56" s="636"/>
      <c r="J56" s="633"/>
      <c r="K56" s="633"/>
      <c r="L56" s="633"/>
      <c r="M56" s="633"/>
      <c r="N56" s="633"/>
      <c r="O56" s="636"/>
      <c r="P56" s="636"/>
      <c r="Q56" s="633"/>
      <c r="R56" s="633"/>
      <c r="S56" s="633"/>
      <c r="T56" s="633"/>
      <c r="XFC56" s="39" t="s">
        <v>465</v>
      </c>
    </row>
    <row r="57" spans="1:24 16383:16383" ht="10.5" hidden="1" customHeight="1" x14ac:dyDescent="0.3">
      <c r="A57" s="506"/>
      <c r="B57" s="506"/>
      <c r="C57" s="506"/>
      <c r="D57" s="506"/>
      <c r="E57" s="506"/>
      <c r="F57" s="506"/>
      <c r="G57" s="506"/>
      <c r="H57" s="506"/>
      <c r="I57" s="506"/>
      <c r="J57" s="506"/>
      <c r="K57" s="506"/>
      <c r="L57" s="506"/>
      <c r="M57" s="506"/>
      <c r="N57" s="506"/>
      <c r="O57" s="506"/>
      <c r="P57" s="634"/>
      <c r="Q57" s="634"/>
      <c r="R57" s="634"/>
      <c r="S57" s="634"/>
      <c r="T57" s="634"/>
      <c r="X57" s="226"/>
      <c r="XFC57" s="39" t="s">
        <v>466</v>
      </c>
    </row>
    <row r="58" spans="1:24 16383:16383" ht="10.5" hidden="1" customHeight="1" x14ac:dyDescent="0.3">
      <c r="A58" s="506"/>
      <c r="B58" s="506"/>
      <c r="C58" s="506"/>
      <c r="D58" s="506"/>
      <c r="E58" s="506"/>
      <c r="F58" s="506"/>
      <c r="G58" s="506"/>
      <c r="H58" s="506"/>
      <c r="I58" s="506"/>
      <c r="J58" s="506"/>
      <c r="K58" s="506"/>
      <c r="L58" s="506"/>
      <c r="M58" s="506"/>
      <c r="N58" s="506"/>
      <c r="O58" s="506"/>
      <c r="P58" s="634"/>
      <c r="Q58" s="634"/>
      <c r="R58" s="634"/>
      <c r="S58" s="634"/>
      <c r="T58" s="634"/>
      <c r="X58" s="226"/>
      <c r="XFC58" s="39" t="s">
        <v>467</v>
      </c>
    </row>
    <row r="59" spans="1:24 16383:16383" ht="10.5" hidden="1" customHeight="1" x14ac:dyDescent="0.3">
      <c r="A59" s="625"/>
      <c r="B59" s="625"/>
      <c r="C59" s="625"/>
      <c r="D59" s="625"/>
      <c r="E59" s="625"/>
      <c r="F59" s="625"/>
      <c r="G59" s="625"/>
      <c r="H59" s="625"/>
      <c r="I59" s="625"/>
      <c r="J59" s="625"/>
      <c r="K59" s="625"/>
      <c r="L59" s="625"/>
      <c r="M59" s="635"/>
      <c r="N59" s="635"/>
      <c r="O59" s="635"/>
      <c r="P59" s="634"/>
      <c r="Q59" s="634"/>
      <c r="R59" s="634"/>
      <c r="S59" s="634"/>
      <c r="T59" s="634"/>
      <c r="X59" s="226"/>
      <c r="XFC59" s="39" t="s">
        <v>468</v>
      </c>
    </row>
    <row r="60" spans="1:24 16383:16383" ht="10.5" hidden="1" customHeight="1" x14ac:dyDescent="0.3">
      <c r="A60" s="625"/>
      <c r="B60" s="625"/>
      <c r="C60" s="625"/>
      <c r="D60" s="625"/>
      <c r="E60" s="625"/>
      <c r="F60" s="625"/>
      <c r="G60" s="625"/>
      <c r="H60" s="625"/>
      <c r="I60" s="625"/>
      <c r="J60" s="625"/>
      <c r="K60" s="625"/>
      <c r="L60" s="625"/>
      <c r="M60" s="635"/>
      <c r="N60" s="635"/>
      <c r="O60" s="635"/>
      <c r="P60" s="634"/>
      <c r="Q60" s="634"/>
      <c r="R60" s="634"/>
      <c r="S60" s="634"/>
      <c r="T60" s="634"/>
      <c r="X60" s="226"/>
      <c r="XFC60" s="39" t="s">
        <v>469</v>
      </c>
    </row>
    <row r="61" spans="1:24 16383:16383" ht="10.5" customHeight="1" x14ac:dyDescent="0.3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61"/>
      <c r="N61" s="61"/>
      <c r="O61" s="61"/>
      <c r="P61" s="79"/>
      <c r="Q61" s="79"/>
      <c r="R61" s="79"/>
      <c r="S61" s="79"/>
      <c r="T61" s="79"/>
      <c r="X61" s="226"/>
      <c r="XFC61" s="39" t="s">
        <v>470</v>
      </c>
    </row>
    <row r="62" spans="1:24 16383:16383" x14ac:dyDescent="0.3">
      <c r="A62" s="625"/>
      <c r="B62" s="625"/>
      <c r="C62" s="70"/>
      <c r="D62" s="70"/>
      <c r="E62" s="626" t="s">
        <v>187</v>
      </c>
      <c r="F62" s="627"/>
      <c r="G62" s="627"/>
      <c r="H62" s="627"/>
      <c r="I62" s="627"/>
      <c r="J62" s="627"/>
      <c r="K62" s="627"/>
      <c r="L62" s="627"/>
      <c r="M62" s="627"/>
      <c r="N62" s="627"/>
      <c r="O62" s="627"/>
      <c r="P62" s="627"/>
      <c r="Q62" s="628"/>
      <c r="R62" s="80"/>
      <c r="S62" s="79"/>
      <c r="T62" s="79"/>
      <c r="X62" s="226"/>
      <c r="XFC62" s="39" t="s">
        <v>471</v>
      </c>
    </row>
    <row r="63" spans="1:24 16383:16383" x14ac:dyDescent="0.3">
      <c r="A63" s="70"/>
      <c r="B63" s="70"/>
      <c r="C63" s="70"/>
      <c r="D63" s="70"/>
      <c r="E63" s="629" t="s">
        <v>188</v>
      </c>
      <c r="F63" s="629"/>
      <c r="G63" s="629"/>
      <c r="H63" s="630" t="s">
        <v>189</v>
      </c>
      <c r="I63" s="630"/>
      <c r="J63" s="630"/>
      <c r="K63" s="631"/>
      <c r="L63" s="632" t="s">
        <v>190</v>
      </c>
      <c r="M63" s="630"/>
      <c r="N63" s="630"/>
      <c r="O63" s="630"/>
      <c r="P63" s="630"/>
      <c r="Q63" s="631"/>
      <c r="R63" s="79"/>
      <c r="S63" s="79"/>
      <c r="T63" s="79"/>
      <c r="XFC63" s="39" t="s">
        <v>472</v>
      </c>
    </row>
    <row r="64" spans="1:24 16383:16383" x14ac:dyDescent="0.3">
      <c r="A64" s="70"/>
      <c r="B64" s="70"/>
      <c r="C64" s="70"/>
      <c r="D64" s="70"/>
      <c r="E64" s="615">
        <v>1</v>
      </c>
      <c r="F64" s="616"/>
      <c r="G64" s="617"/>
      <c r="H64" s="615">
        <v>30</v>
      </c>
      <c r="I64" s="616"/>
      <c r="J64" s="616"/>
      <c r="K64" s="617"/>
      <c r="L64" s="618">
        <f>I20</f>
        <v>0.25</v>
      </c>
      <c r="M64" s="616"/>
      <c r="N64" s="616"/>
      <c r="O64" s="616"/>
      <c r="P64" s="616"/>
      <c r="Q64" s="617"/>
      <c r="R64" s="79"/>
      <c r="S64" s="79"/>
      <c r="T64" s="79"/>
      <c r="XFC64" s="39" t="s">
        <v>473</v>
      </c>
    </row>
    <row r="65" spans="1:20 16383:16383" x14ac:dyDescent="0.3">
      <c r="A65" s="70"/>
      <c r="B65" s="70"/>
      <c r="C65" s="70"/>
      <c r="D65" s="70"/>
      <c r="E65" s="615">
        <v>2</v>
      </c>
      <c r="F65" s="616"/>
      <c r="G65" s="617"/>
      <c r="H65" s="615">
        <v>30</v>
      </c>
      <c r="I65" s="616"/>
      <c r="J65" s="616"/>
      <c r="K65" s="617"/>
      <c r="L65" s="618">
        <f>L64</f>
        <v>0.25</v>
      </c>
      <c r="M65" s="616"/>
      <c r="N65" s="616"/>
      <c r="O65" s="616"/>
      <c r="P65" s="616"/>
      <c r="Q65" s="617"/>
      <c r="R65" s="79"/>
      <c r="S65" s="79"/>
      <c r="T65" s="79"/>
      <c r="XFC65" s="39" t="s">
        <v>474</v>
      </c>
    </row>
    <row r="66" spans="1:20 16383:16383" x14ac:dyDescent="0.3">
      <c r="A66" s="70"/>
      <c r="B66" s="70"/>
      <c r="C66" s="70"/>
      <c r="D66" s="70"/>
      <c r="E66" s="615">
        <v>3</v>
      </c>
      <c r="F66" s="616"/>
      <c r="G66" s="617"/>
      <c r="H66" s="615">
        <v>30</v>
      </c>
      <c r="I66" s="616"/>
      <c r="J66" s="616"/>
      <c r="K66" s="617"/>
      <c r="L66" s="618">
        <f>L64</f>
        <v>0.25</v>
      </c>
      <c r="M66" s="616"/>
      <c r="N66" s="616"/>
      <c r="O66" s="616"/>
      <c r="P66" s="616"/>
      <c r="Q66" s="617"/>
      <c r="R66" s="79"/>
      <c r="S66" s="79"/>
      <c r="T66" s="79"/>
      <c r="XFC66" s="39" t="s">
        <v>475</v>
      </c>
    </row>
    <row r="67" spans="1:20 16383:16383" ht="9.75" customHeight="1" thickBot="1" x14ac:dyDescent="0.35">
      <c r="A67" s="70"/>
      <c r="B67" s="70"/>
      <c r="C67" s="70"/>
      <c r="D67" s="70"/>
      <c r="E67"/>
      <c r="F67"/>
      <c r="G67"/>
      <c r="H67"/>
      <c r="I67"/>
      <c r="J67"/>
      <c r="K67"/>
      <c r="L67"/>
      <c r="M67"/>
      <c r="N67"/>
      <c r="O67"/>
      <c r="P67"/>
      <c r="Q67"/>
      <c r="R67" s="79"/>
      <c r="S67" s="79"/>
      <c r="T67" s="79"/>
      <c r="XFC67" s="39" t="s">
        <v>476</v>
      </c>
    </row>
    <row r="68" spans="1:20 16383:16383" ht="15" customHeight="1" x14ac:dyDescent="0.3">
      <c r="A68" s="784" t="s">
        <v>273</v>
      </c>
      <c r="B68" s="785"/>
      <c r="C68" s="785"/>
      <c r="D68" s="785"/>
      <c r="E68" s="786"/>
      <c r="F68" s="790" t="str">
        <f>IF(A68=Q137,Q138,Q137)</f>
        <v xml:space="preserve">Patrón Estándar </v>
      </c>
      <c r="G68" s="790"/>
      <c r="H68" s="790"/>
      <c r="I68" s="790"/>
      <c r="J68" s="790"/>
      <c r="K68" s="790"/>
      <c r="L68" s="790"/>
      <c r="M68" s="790"/>
      <c r="N68" s="790"/>
      <c r="O68" s="790"/>
      <c r="P68" s="790"/>
      <c r="Q68" s="790"/>
      <c r="R68" s="790"/>
      <c r="S68" s="790"/>
      <c r="T68" s="790"/>
      <c r="XFC68" s="39" t="s">
        <v>477</v>
      </c>
    </row>
    <row r="69" spans="1:20 16383:16383" x14ac:dyDescent="0.3">
      <c r="A69" s="787"/>
      <c r="B69" s="788"/>
      <c r="C69" s="788"/>
      <c r="D69" s="788"/>
      <c r="E69" s="789"/>
      <c r="F69" s="790"/>
      <c r="G69" s="790"/>
      <c r="H69" s="790"/>
      <c r="I69" s="790"/>
      <c r="J69" s="790"/>
      <c r="K69" s="790"/>
      <c r="L69" s="790"/>
      <c r="M69" s="790"/>
      <c r="N69" s="790"/>
      <c r="O69" s="790"/>
      <c r="P69" s="790"/>
      <c r="Q69" s="790"/>
      <c r="R69" s="790"/>
      <c r="S69" s="790"/>
      <c r="T69" s="790"/>
      <c r="XFC69" s="39" t="s">
        <v>478</v>
      </c>
    </row>
    <row r="70" spans="1:20 16383:16383" x14ac:dyDescent="0.3">
      <c r="A70" s="787"/>
      <c r="B70" s="788"/>
      <c r="C70" s="788"/>
      <c r="D70" s="788"/>
      <c r="E70" s="789"/>
      <c r="F70" s="623" t="s">
        <v>7</v>
      </c>
      <c r="G70" s="624"/>
      <c r="H70" s="624"/>
      <c r="I70" s="624"/>
      <c r="J70" s="624"/>
      <c r="K70" s="624"/>
      <c r="L70" s="624"/>
      <c r="M70" s="624"/>
      <c r="N70" s="624"/>
      <c r="O70" s="70"/>
      <c r="P70" s="70"/>
      <c r="Q70" s="70"/>
      <c r="R70" s="79"/>
      <c r="S70" s="79"/>
      <c r="T70" s="79"/>
      <c r="XFC70" s="39" t="s">
        <v>479</v>
      </c>
    </row>
    <row r="71" spans="1:20 16383:16383" x14ac:dyDescent="0.3">
      <c r="A71" s="787"/>
      <c r="B71" s="788"/>
      <c r="C71" s="788"/>
      <c r="D71" s="788"/>
      <c r="E71" s="789"/>
      <c r="F71" s="619" t="s">
        <v>6</v>
      </c>
      <c r="G71" s="620"/>
      <c r="H71" s="620"/>
      <c r="I71" s="620"/>
      <c r="J71" s="620"/>
      <c r="K71" s="620"/>
      <c r="L71" s="620"/>
      <c r="M71" s="70"/>
      <c r="N71" s="70"/>
      <c r="O71" s="70"/>
      <c r="P71" s="70"/>
      <c r="Q71" s="70"/>
      <c r="R71" s="79"/>
      <c r="S71" s="79"/>
      <c r="T71" s="79"/>
      <c r="XFC71" s="39" t="s">
        <v>480</v>
      </c>
    </row>
    <row r="72" spans="1:20 16383:16383" x14ac:dyDescent="0.3">
      <c r="A72" s="787"/>
      <c r="B72" s="788"/>
      <c r="C72" s="788"/>
      <c r="D72" s="788"/>
      <c r="E72" s="789"/>
      <c r="F72" s="621" t="s">
        <v>5</v>
      </c>
      <c r="G72" s="622"/>
      <c r="H72" s="622"/>
      <c r="I72" s="622"/>
      <c r="J72" s="622"/>
      <c r="K72" s="70"/>
      <c r="L72" s="70"/>
      <c r="M72" s="70"/>
      <c r="N72" s="70"/>
      <c r="O72" s="70"/>
      <c r="P72" s="70"/>
      <c r="Q72" s="70"/>
      <c r="R72" s="79"/>
      <c r="S72" s="79"/>
      <c r="T72" s="79"/>
      <c r="XFC72" s="39" t="s">
        <v>481</v>
      </c>
    </row>
    <row r="73" spans="1:20 16383:16383" ht="15" thickBot="1" x14ac:dyDescent="0.35">
      <c r="A73" s="787"/>
      <c r="B73" s="788"/>
      <c r="C73" s="788"/>
      <c r="D73" s="788"/>
      <c r="E73" s="789"/>
      <c r="F73"/>
      <c r="G73"/>
      <c r="H73"/>
      <c r="I73"/>
      <c r="J73" s="70"/>
      <c r="K73" s="70"/>
      <c r="L73" s="81"/>
      <c r="M73" s="70"/>
      <c r="N73" s="70"/>
      <c r="O73" s="70"/>
      <c r="P73" s="70"/>
      <c r="Q73" s="70"/>
      <c r="R73" s="79"/>
      <c r="S73" s="79"/>
      <c r="T73" s="79"/>
      <c r="XFC73" s="39" t="s">
        <v>482</v>
      </c>
    </row>
    <row r="74" spans="1:20 16383:16383" x14ac:dyDescent="0.3">
      <c r="A74" s="787"/>
      <c r="B74" s="788"/>
      <c r="C74" s="788"/>
      <c r="D74" s="788"/>
      <c r="E74" s="789"/>
      <c r="F74" s="388" t="s">
        <v>1</v>
      </c>
      <c r="G74" s="389" t="s">
        <v>2</v>
      </c>
      <c r="H74" s="389" t="s">
        <v>3</v>
      </c>
      <c r="I74" s="390" t="s">
        <v>4</v>
      </c>
      <c r="J74" s="70"/>
      <c r="K74" s="70"/>
      <c r="L74" s="81"/>
      <c r="M74" s="70"/>
      <c r="N74" s="70"/>
      <c r="O74" s="70"/>
      <c r="P74" s="70"/>
      <c r="Q74" s="70"/>
      <c r="R74" s="79"/>
      <c r="S74" s="79"/>
      <c r="T74" s="79"/>
      <c r="XFC74" s="39" t="s">
        <v>483</v>
      </c>
    </row>
    <row r="75" spans="1:20 16383:16383" x14ac:dyDescent="0.3">
      <c r="A75" s="539" t="str">
        <f>IF(A68="Valor indicación","indicaciones de IBC","Indicaciones de Patron")</f>
        <v>indicaciones de IBC</v>
      </c>
      <c r="B75" s="539"/>
      <c r="C75" s="539"/>
      <c r="D75" s="539"/>
      <c r="E75" s="539" t="str">
        <f>IF(A68="Valor indicación","indicaciones de Patron","Indicaciones de IBC")</f>
        <v>indicaciones de Patron</v>
      </c>
      <c r="F75" s="539"/>
      <c r="G75" s="539"/>
      <c r="H75" s="539"/>
      <c r="I75" s="539"/>
      <c r="J75" s="539"/>
      <c r="K75" s="539"/>
      <c r="L75" s="539"/>
      <c r="M75" s="539"/>
      <c r="N75" s="539"/>
      <c r="O75" s="539" t="s">
        <v>191</v>
      </c>
      <c r="P75" s="539"/>
      <c r="Q75" s="539"/>
      <c r="R75" s="539"/>
      <c r="S75" s="539"/>
      <c r="T75" s="539"/>
      <c r="XFC75" s="39" t="s">
        <v>484</v>
      </c>
    </row>
    <row r="76" spans="1:20 16383:16383" x14ac:dyDescent="0.3">
      <c r="A76" s="598" t="s">
        <v>192</v>
      </c>
      <c r="B76" s="599"/>
      <c r="C76" s="598" t="str">
        <f>CONCATENATE("Puntos a calibrar e indicación Instrumento en", " [",F20,"]")</f>
        <v>Puntos a calibrar e indicación Instrumento en [InH2O]</v>
      </c>
      <c r="D76" s="599"/>
      <c r="E76" s="591" t="s">
        <v>268</v>
      </c>
      <c r="F76" s="592"/>
      <c r="G76" s="595" t="s">
        <v>193</v>
      </c>
      <c r="H76" s="595"/>
      <c r="I76" s="595" t="s">
        <v>194</v>
      </c>
      <c r="J76" s="595"/>
      <c r="K76" s="591" t="s">
        <v>268</v>
      </c>
      <c r="L76" s="592"/>
      <c r="M76" s="595" t="s">
        <v>193</v>
      </c>
      <c r="N76" s="595"/>
      <c r="O76" s="595" t="s">
        <v>296</v>
      </c>
      <c r="P76" s="595"/>
      <c r="Q76" s="591" t="s">
        <v>268</v>
      </c>
      <c r="R76" s="592"/>
      <c r="S76" s="595" t="s">
        <v>193</v>
      </c>
      <c r="T76" s="595"/>
      <c r="XFC76" s="39" t="s">
        <v>485</v>
      </c>
    </row>
    <row r="77" spans="1:20 16383:16383" ht="20.25" customHeight="1" x14ac:dyDescent="0.3">
      <c r="A77" s="600"/>
      <c r="B77" s="601"/>
      <c r="C77" s="600"/>
      <c r="D77" s="601"/>
      <c r="E77" s="593"/>
      <c r="F77" s="594"/>
      <c r="G77" s="595"/>
      <c r="H77" s="595"/>
      <c r="I77" s="595"/>
      <c r="J77" s="595"/>
      <c r="K77" s="593"/>
      <c r="L77" s="594"/>
      <c r="M77" s="595"/>
      <c r="N77" s="595"/>
      <c r="O77" s="595"/>
      <c r="P77" s="595"/>
      <c r="Q77" s="593"/>
      <c r="R77" s="594"/>
      <c r="S77" s="595"/>
      <c r="T77" s="595"/>
      <c r="XFC77" s="39" t="s">
        <v>486</v>
      </c>
    </row>
    <row r="78" spans="1:20 16383:16383" ht="15" customHeight="1" x14ac:dyDescent="0.3">
      <c r="A78" s="559">
        <v>1</v>
      </c>
      <c r="B78" s="560"/>
      <c r="C78" s="611">
        <v>0</v>
      </c>
      <c r="D78" s="610"/>
      <c r="E78" s="823">
        <v>6.7000000000000002E-3</v>
      </c>
      <c r="F78" s="824"/>
      <c r="G78" s="823">
        <v>4.4999999999999997E-3</v>
      </c>
      <c r="H78" s="824"/>
      <c r="I78" s="607" t="s">
        <v>271</v>
      </c>
      <c r="J78" s="608"/>
      <c r="K78" s="612"/>
      <c r="L78" s="603"/>
      <c r="M78" s="612"/>
      <c r="N78" s="603"/>
      <c r="O78" s="613" t="str">
        <f>L21</f>
        <v xml:space="preserve">Clase de Fabricante </v>
      </c>
      <c r="P78" s="614"/>
      <c r="Q78" s="557"/>
      <c r="R78" s="558"/>
      <c r="S78" s="557"/>
      <c r="T78" s="558"/>
      <c r="XFC78" s="39" t="s">
        <v>487</v>
      </c>
    </row>
    <row r="79" spans="1:20 16383:16383" x14ac:dyDescent="0.3">
      <c r="A79" s="559">
        <v>2</v>
      </c>
      <c r="B79" s="560"/>
      <c r="C79" s="609">
        <v>0.05</v>
      </c>
      <c r="D79" s="610"/>
      <c r="E79" s="825">
        <v>5.1799999999999999E-2</v>
      </c>
      <c r="F79" s="824"/>
      <c r="G79" s="825">
        <v>4.9799999999999997E-2</v>
      </c>
      <c r="H79" s="824"/>
      <c r="I79" s="607" t="s">
        <v>271</v>
      </c>
      <c r="J79" s="608"/>
      <c r="K79" s="602"/>
      <c r="L79" s="603"/>
      <c r="M79" s="602"/>
      <c r="N79" s="603"/>
      <c r="O79" s="614"/>
      <c r="P79" s="614"/>
      <c r="Q79" s="557"/>
      <c r="R79" s="558"/>
      <c r="S79" s="557"/>
      <c r="T79" s="558"/>
      <c r="XFC79" s="39" t="s">
        <v>488</v>
      </c>
    </row>
    <row r="80" spans="1:20 16383:16383" x14ac:dyDescent="0.3">
      <c r="A80" s="559">
        <v>3</v>
      </c>
      <c r="B80" s="560"/>
      <c r="C80" s="609">
        <v>0.1</v>
      </c>
      <c r="D80" s="610"/>
      <c r="E80" s="825">
        <v>9.64E-2</v>
      </c>
      <c r="F80" s="824"/>
      <c r="G80" s="825">
        <v>9.5600000000000004E-2</v>
      </c>
      <c r="H80" s="824"/>
      <c r="I80" s="607" t="s">
        <v>271</v>
      </c>
      <c r="J80" s="608"/>
      <c r="K80" s="602"/>
      <c r="L80" s="603"/>
      <c r="M80" s="602"/>
      <c r="N80" s="603"/>
      <c r="O80" s="614"/>
      <c r="P80" s="614"/>
      <c r="Q80" s="557"/>
      <c r="R80" s="558"/>
      <c r="S80" s="557"/>
      <c r="T80" s="558"/>
      <c r="XFC80" s="39" t="s">
        <v>489</v>
      </c>
    </row>
    <row r="81" spans="1:29 16383:16383" x14ac:dyDescent="0.3">
      <c r="A81" s="559">
        <v>4</v>
      </c>
      <c r="B81" s="560"/>
      <c r="C81" s="609">
        <v>0.15</v>
      </c>
      <c r="D81" s="610"/>
      <c r="E81" s="825">
        <v>0.15049999999999999</v>
      </c>
      <c r="F81" s="824"/>
      <c r="G81" s="825">
        <v>0.14729999999999999</v>
      </c>
      <c r="H81" s="824"/>
      <c r="I81" s="607" t="s">
        <v>271</v>
      </c>
      <c r="J81" s="608"/>
      <c r="K81" s="602"/>
      <c r="L81" s="603"/>
      <c r="M81" s="602"/>
      <c r="N81" s="603"/>
      <c r="O81" s="614"/>
      <c r="P81" s="614"/>
      <c r="Q81" s="557"/>
      <c r="R81" s="558"/>
      <c r="S81" s="557"/>
      <c r="T81" s="558"/>
      <c r="XFC81" s="39" t="s">
        <v>490</v>
      </c>
    </row>
    <row r="82" spans="1:29 16383:16383" x14ac:dyDescent="0.3">
      <c r="A82" s="559">
        <v>5</v>
      </c>
      <c r="B82" s="560"/>
      <c r="C82" s="609">
        <v>0.2</v>
      </c>
      <c r="D82" s="610"/>
      <c r="E82" s="825">
        <v>0.2021</v>
      </c>
      <c r="F82" s="824"/>
      <c r="G82" s="825">
        <v>0.1973</v>
      </c>
      <c r="H82" s="824"/>
      <c r="I82" s="607" t="s">
        <v>271</v>
      </c>
      <c r="J82" s="608"/>
      <c r="K82" s="602"/>
      <c r="L82" s="603"/>
      <c r="M82" s="602"/>
      <c r="N82" s="603"/>
      <c r="O82" s="614"/>
      <c r="P82" s="614"/>
      <c r="Q82" s="557"/>
      <c r="R82" s="558"/>
      <c r="S82" s="557"/>
      <c r="T82" s="558"/>
      <c r="XFC82" s="39" t="s">
        <v>491</v>
      </c>
    </row>
    <row r="83" spans="1:29 16383:16383" x14ac:dyDescent="0.3">
      <c r="A83" s="559">
        <v>6</v>
      </c>
      <c r="B83" s="560"/>
      <c r="C83" s="609">
        <v>0.25</v>
      </c>
      <c r="D83" s="610"/>
      <c r="E83" s="825">
        <v>0.25130000000000002</v>
      </c>
      <c r="F83" s="824"/>
      <c r="G83" s="825">
        <v>0.2505</v>
      </c>
      <c r="H83" s="824"/>
      <c r="I83" s="607" t="s">
        <v>271</v>
      </c>
      <c r="J83" s="608"/>
      <c r="K83" s="602"/>
      <c r="L83" s="603"/>
      <c r="M83" s="602"/>
      <c r="N83" s="603"/>
      <c r="O83" s="614"/>
      <c r="P83" s="614"/>
      <c r="Q83" s="557"/>
      <c r="R83" s="558"/>
      <c r="S83" s="557"/>
      <c r="T83" s="558"/>
      <c r="XFC83" s="39" t="s">
        <v>492</v>
      </c>
    </row>
    <row r="84" spans="1:29 16383:16383" x14ac:dyDescent="0.3">
      <c r="A84" s="559">
        <v>7</v>
      </c>
      <c r="B84" s="560"/>
      <c r="C84" s="602"/>
      <c r="D84" s="603"/>
      <c r="E84" s="602"/>
      <c r="F84" s="603"/>
      <c r="G84" s="602"/>
      <c r="H84" s="603"/>
      <c r="I84" s="607" t="s">
        <v>271</v>
      </c>
      <c r="J84" s="608"/>
      <c r="K84" s="602"/>
      <c r="L84" s="603"/>
      <c r="M84" s="602"/>
      <c r="N84" s="603"/>
      <c r="O84" s="614"/>
      <c r="P84" s="614"/>
      <c r="Q84" s="557"/>
      <c r="R84" s="558"/>
      <c r="S84" s="557"/>
      <c r="T84" s="558"/>
      <c r="XFC84" s="39" t="s">
        <v>493</v>
      </c>
    </row>
    <row r="85" spans="1:29 16383:16383" x14ac:dyDescent="0.3">
      <c r="A85" s="559">
        <v>8</v>
      </c>
      <c r="B85" s="560"/>
      <c r="C85" s="602"/>
      <c r="D85" s="603"/>
      <c r="E85" s="602"/>
      <c r="F85" s="603"/>
      <c r="G85" s="602"/>
      <c r="H85" s="603"/>
      <c r="I85" s="607" t="s">
        <v>271</v>
      </c>
      <c r="J85" s="608"/>
      <c r="K85" s="602"/>
      <c r="L85" s="603"/>
      <c r="M85" s="602"/>
      <c r="N85" s="603"/>
      <c r="O85" s="614"/>
      <c r="P85" s="614"/>
      <c r="Q85" s="557"/>
      <c r="R85" s="558"/>
      <c r="S85" s="557"/>
      <c r="T85" s="558"/>
      <c r="XFC85" s="39" t="s">
        <v>494</v>
      </c>
    </row>
    <row r="86" spans="1:29 16383:16383" x14ac:dyDescent="0.3">
      <c r="A86" s="559">
        <v>9</v>
      </c>
      <c r="B86" s="560"/>
      <c r="C86" s="602"/>
      <c r="D86" s="603"/>
      <c r="E86" s="602"/>
      <c r="F86" s="603"/>
      <c r="G86" s="602"/>
      <c r="H86" s="603"/>
      <c r="I86" s="607" t="s">
        <v>271</v>
      </c>
      <c r="J86" s="608"/>
      <c r="K86" s="602"/>
      <c r="L86" s="603"/>
      <c r="M86" s="602"/>
      <c r="N86" s="603"/>
      <c r="O86" s="614"/>
      <c r="P86" s="614"/>
      <c r="Q86" s="82"/>
      <c r="R86" s="83"/>
      <c r="S86" s="82"/>
      <c r="T86" s="83"/>
      <c r="XFC86" s="39" t="s">
        <v>495</v>
      </c>
    </row>
    <row r="87" spans="1:29 16383:16383" x14ac:dyDescent="0.3">
      <c r="A87" s="559">
        <v>10</v>
      </c>
      <c r="B87" s="560"/>
      <c r="C87" s="602"/>
      <c r="D87" s="603"/>
      <c r="E87" s="602"/>
      <c r="F87" s="603"/>
      <c r="G87" s="602"/>
      <c r="H87" s="603"/>
      <c r="I87" s="607" t="s">
        <v>271</v>
      </c>
      <c r="J87" s="608"/>
      <c r="K87" s="602"/>
      <c r="L87" s="603"/>
      <c r="M87" s="602"/>
      <c r="N87" s="603"/>
      <c r="O87" s="614"/>
      <c r="P87" s="614"/>
      <c r="Q87" s="557"/>
      <c r="R87" s="558"/>
      <c r="S87" s="557"/>
      <c r="T87" s="558"/>
      <c r="XFC87" s="39" t="s">
        <v>496</v>
      </c>
    </row>
    <row r="88" spans="1:29 16383:16383" ht="12" customHeight="1" x14ac:dyDescent="0.3">
      <c r="E88" s="84"/>
      <c r="F88" s="84"/>
      <c r="G88" s="84"/>
      <c r="H88" s="85"/>
      <c r="I88" s="85"/>
      <c r="J88" s="85"/>
      <c r="K88" s="86"/>
      <c r="L88" s="86"/>
      <c r="M88" s="86"/>
      <c r="N88" s="86"/>
      <c r="O88" s="86"/>
      <c r="P88" s="86"/>
      <c r="Q88" s="86"/>
      <c r="R88" s="87"/>
      <c r="S88" s="87"/>
      <c r="T88" s="87"/>
      <c r="XFC88" s="39" t="s">
        <v>497</v>
      </c>
    </row>
    <row r="89" spans="1:29 16383:16383" ht="10.5" customHeight="1" x14ac:dyDescent="0.3">
      <c r="E89" s="84"/>
      <c r="F89" s="84"/>
      <c r="G89" s="84"/>
      <c r="H89" s="85"/>
      <c r="I89" s="85"/>
      <c r="J89" s="85"/>
      <c r="K89" s="86"/>
      <c r="L89" s="86"/>
      <c r="M89" s="86"/>
      <c r="N89" s="86"/>
      <c r="O89" s="86"/>
      <c r="P89" s="86"/>
      <c r="Q89" s="86"/>
      <c r="R89" s="87"/>
      <c r="S89" s="87"/>
      <c r="T89" s="87"/>
      <c r="XFC89" s="39" t="s">
        <v>498</v>
      </c>
    </row>
    <row r="90" spans="1:29 16383:16383" hidden="1" x14ac:dyDescent="0.3">
      <c r="A90" s="604" t="s">
        <v>297</v>
      </c>
      <c r="B90" s="604"/>
      <c r="C90" s="604"/>
      <c r="D90" s="604"/>
      <c r="E90" s="604"/>
      <c r="F90" s="604"/>
      <c r="G90" s="604"/>
      <c r="H90" s="604"/>
      <c r="I90" s="604"/>
      <c r="J90" s="604"/>
      <c r="K90" s="604"/>
      <c r="L90" s="604"/>
      <c r="M90" s="604"/>
      <c r="N90" s="605"/>
      <c r="O90" s="606" t="s">
        <v>191</v>
      </c>
      <c r="P90" s="606"/>
      <c r="Q90" s="606"/>
      <c r="R90" s="606"/>
      <c r="S90" s="606"/>
      <c r="T90" s="606"/>
      <c r="V90" s="58"/>
      <c r="XFC90" s="39" t="s">
        <v>499</v>
      </c>
    </row>
    <row r="91" spans="1:29 16383:16383" hidden="1" x14ac:dyDescent="0.3">
      <c r="A91" s="598" t="s">
        <v>192</v>
      </c>
      <c r="B91" s="599"/>
      <c r="C91" s="598" t="str">
        <f>CONCATENATE("Puntos a calibrar e indicación Instrumento en", " [",I33,"]")</f>
        <v>Puntos a calibrar e indicación Instrumento en []</v>
      </c>
      <c r="D91" s="599"/>
      <c r="E91" s="591" t="s">
        <v>268</v>
      </c>
      <c r="F91" s="592"/>
      <c r="G91" s="595" t="s">
        <v>193</v>
      </c>
      <c r="H91" s="595"/>
      <c r="I91" s="595" t="s">
        <v>194</v>
      </c>
      <c r="J91" s="595"/>
      <c r="K91" s="591" t="s">
        <v>268</v>
      </c>
      <c r="L91" s="592"/>
      <c r="M91" s="595" t="s">
        <v>193</v>
      </c>
      <c r="N91" s="595"/>
      <c r="O91" s="595" t="s">
        <v>296</v>
      </c>
      <c r="P91" s="595"/>
      <c r="Q91" s="591" t="s">
        <v>268</v>
      </c>
      <c r="R91" s="592"/>
      <c r="S91" s="595" t="s">
        <v>193</v>
      </c>
      <c r="T91" s="595"/>
      <c r="V91"/>
      <c r="W91"/>
      <c r="X91"/>
      <c r="Y91"/>
      <c r="Z91"/>
      <c r="AA91"/>
      <c r="AB91"/>
      <c r="AC91"/>
      <c r="XFC91" s="39" t="s">
        <v>500</v>
      </c>
    </row>
    <row r="92" spans="1:29 16383:16383" hidden="1" x14ac:dyDescent="0.3">
      <c r="A92" s="600"/>
      <c r="B92" s="601"/>
      <c r="C92" s="600"/>
      <c r="D92" s="601"/>
      <c r="E92" s="593"/>
      <c r="F92" s="594"/>
      <c r="G92" s="595"/>
      <c r="H92" s="595"/>
      <c r="I92" s="595"/>
      <c r="J92" s="595"/>
      <c r="K92" s="593"/>
      <c r="L92" s="594"/>
      <c r="M92" s="595"/>
      <c r="N92" s="595"/>
      <c r="O92" s="595"/>
      <c r="P92" s="595"/>
      <c r="Q92" s="593"/>
      <c r="R92" s="594"/>
      <c r="S92" s="595"/>
      <c r="T92" s="595"/>
      <c r="V92"/>
      <c r="W92"/>
      <c r="X92"/>
      <c r="Y92"/>
      <c r="Z92"/>
      <c r="AA92"/>
      <c r="AB92"/>
      <c r="AC92"/>
      <c r="XFC92" s="39" t="s">
        <v>501</v>
      </c>
    </row>
    <row r="93" spans="1:29 16383:16383" hidden="1" x14ac:dyDescent="0.3">
      <c r="A93" s="559">
        <v>1</v>
      </c>
      <c r="B93" s="560"/>
      <c r="C93" s="561">
        <f>C78/$G$105</f>
        <v>0</v>
      </c>
      <c r="D93" s="562"/>
      <c r="E93" s="555">
        <f>E78/$G$105</f>
        <v>2.4205289758994796E-4</v>
      </c>
      <c r="F93" s="556"/>
      <c r="G93" s="555">
        <f>G78/$G$105</f>
        <v>1.6257284166489039E-4</v>
      </c>
      <c r="H93" s="556"/>
      <c r="I93" s="589" t="s">
        <v>271</v>
      </c>
      <c r="J93" s="590"/>
      <c r="K93" s="555">
        <f>K78/$G$105</f>
        <v>0</v>
      </c>
      <c r="L93" s="556"/>
      <c r="M93" s="555">
        <f>M78/$G$105</f>
        <v>0</v>
      </c>
      <c r="N93" s="556"/>
      <c r="O93" s="596" t="str">
        <f>L21</f>
        <v xml:space="preserve">Clase de Fabricante </v>
      </c>
      <c r="P93" s="597"/>
      <c r="Q93" s="557"/>
      <c r="R93" s="558"/>
      <c r="S93" s="557"/>
      <c r="T93" s="558"/>
      <c r="V93"/>
      <c r="W93"/>
      <c r="X93"/>
      <c r="Y93"/>
      <c r="Z93"/>
      <c r="AA93"/>
      <c r="AB93"/>
      <c r="AC93"/>
      <c r="XFC93" s="39" t="s">
        <v>502</v>
      </c>
    </row>
    <row r="94" spans="1:29 16383:16383" hidden="1" x14ac:dyDescent="0.3">
      <c r="A94" s="559">
        <v>2</v>
      </c>
      <c r="B94" s="560"/>
      <c r="C94" s="561">
        <f t="shared" ref="C94:C102" si="0">C79/$G$105</f>
        <v>1.8063649073876713E-3</v>
      </c>
      <c r="D94" s="562"/>
      <c r="E94" s="555">
        <f t="shared" ref="E94:E102" si="1">E79/$G$105</f>
        <v>1.8713940440536272E-3</v>
      </c>
      <c r="F94" s="556"/>
      <c r="G94" s="555">
        <f t="shared" ref="G94:G102" si="2">G79/$G$105</f>
        <v>1.7991394477581205E-3</v>
      </c>
      <c r="H94" s="556"/>
      <c r="I94" s="589" t="s">
        <v>271</v>
      </c>
      <c r="J94" s="590"/>
      <c r="K94" s="555">
        <f t="shared" ref="K94:K102" si="3">K79/$G$105</f>
        <v>0</v>
      </c>
      <c r="L94" s="556"/>
      <c r="M94" s="555">
        <f t="shared" ref="M94:M102" si="4">M79/$G$105</f>
        <v>0</v>
      </c>
      <c r="N94" s="556"/>
      <c r="O94" s="597"/>
      <c r="P94" s="597"/>
      <c r="Q94" s="557"/>
      <c r="R94" s="558"/>
      <c r="S94" s="557"/>
      <c r="T94" s="558"/>
      <c r="V94"/>
      <c r="W94"/>
      <c r="X94"/>
      <c r="Y94"/>
      <c r="Z94"/>
      <c r="AA94"/>
      <c r="AB94"/>
      <c r="AC94"/>
      <c r="XFC94" s="39" t="s">
        <v>503</v>
      </c>
    </row>
    <row r="95" spans="1:29 16383:16383" hidden="1" x14ac:dyDescent="0.3">
      <c r="A95" s="559">
        <v>3</v>
      </c>
      <c r="B95" s="560"/>
      <c r="C95" s="561">
        <f t="shared" si="0"/>
        <v>3.6127298147753425E-3</v>
      </c>
      <c r="D95" s="562"/>
      <c r="E95" s="555">
        <f t="shared" si="1"/>
        <v>3.4826715414434301E-3</v>
      </c>
      <c r="F95" s="556"/>
      <c r="G95" s="555">
        <f t="shared" si="2"/>
        <v>3.4537697029252273E-3</v>
      </c>
      <c r="H95" s="556"/>
      <c r="I95" s="589" t="s">
        <v>271</v>
      </c>
      <c r="J95" s="590"/>
      <c r="K95" s="555">
        <f t="shared" si="3"/>
        <v>0</v>
      </c>
      <c r="L95" s="556"/>
      <c r="M95" s="555">
        <f t="shared" si="4"/>
        <v>0</v>
      </c>
      <c r="N95" s="556"/>
      <c r="O95" s="597"/>
      <c r="P95" s="597"/>
      <c r="Q95" s="557"/>
      <c r="R95" s="558"/>
      <c r="S95" s="557"/>
      <c r="T95" s="558"/>
      <c r="V95"/>
      <c r="W95"/>
      <c r="X95"/>
      <c r="Y95"/>
      <c r="Z95"/>
      <c r="AA95"/>
      <c r="AB95"/>
      <c r="AC95"/>
      <c r="XFC95" s="39" t="s">
        <v>504</v>
      </c>
    </row>
    <row r="96" spans="1:29 16383:16383" hidden="1" x14ac:dyDescent="0.3">
      <c r="A96" s="559">
        <v>4</v>
      </c>
      <c r="B96" s="560"/>
      <c r="C96" s="561">
        <f t="shared" si="0"/>
        <v>5.4190947221630136E-3</v>
      </c>
      <c r="D96" s="562"/>
      <c r="E96" s="555">
        <f t="shared" si="1"/>
        <v>5.4371583712368903E-3</v>
      </c>
      <c r="F96" s="556"/>
      <c r="G96" s="555">
        <f t="shared" si="2"/>
        <v>5.3215510171640791E-3</v>
      </c>
      <c r="H96" s="556"/>
      <c r="I96" s="589" t="s">
        <v>271</v>
      </c>
      <c r="J96" s="590"/>
      <c r="K96" s="555">
        <f t="shared" si="3"/>
        <v>0</v>
      </c>
      <c r="L96" s="556"/>
      <c r="M96" s="555">
        <f t="shared" si="4"/>
        <v>0</v>
      </c>
      <c r="N96" s="556"/>
      <c r="O96" s="597"/>
      <c r="P96" s="597"/>
      <c r="Q96" s="557"/>
      <c r="R96" s="558"/>
      <c r="S96" s="557"/>
      <c r="T96" s="558"/>
      <c r="V96"/>
      <c r="W96"/>
      <c r="X96"/>
      <c r="Y96"/>
      <c r="Z96"/>
      <c r="AA96"/>
      <c r="AB96"/>
      <c r="AC96"/>
      <c r="XFC96" s="39" t="s">
        <v>505</v>
      </c>
    </row>
    <row r="97" spans="1:29 16383:16383" hidden="1" x14ac:dyDescent="0.3">
      <c r="A97" s="559">
        <v>5</v>
      </c>
      <c r="B97" s="560"/>
      <c r="C97" s="561">
        <f t="shared" si="0"/>
        <v>7.2254596295506851E-3</v>
      </c>
      <c r="D97" s="562"/>
      <c r="E97" s="555">
        <f t="shared" si="1"/>
        <v>7.3013269556609674E-3</v>
      </c>
      <c r="F97" s="556"/>
      <c r="G97" s="555">
        <f t="shared" si="2"/>
        <v>7.1279159245517506E-3</v>
      </c>
      <c r="H97" s="556"/>
      <c r="I97" s="589" t="s">
        <v>271</v>
      </c>
      <c r="J97" s="590"/>
      <c r="K97" s="555">
        <f t="shared" si="3"/>
        <v>0</v>
      </c>
      <c r="L97" s="556"/>
      <c r="M97" s="555">
        <f t="shared" si="4"/>
        <v>0</v>
      </c>
      <c r="N97" s="556"/>
      <c r="O97" s="597"/>
      <c r="P97" s="597"/>
      <c r="Q97" s="557"/>
      <c r="R97" s="558"/>
      <c r="S97" s="557"/>
      <c r="T97" s="558"/>
      <c r="V97"/>
      <c r="W97"/>
      <c r="X97"/>
      <c r="Y97"/>
      <c r="Z97"/>
      <c r="AA97"/>
      <c r="AB97"/>
      <c r="AC97"/>
      <c r="XFC97" s="39" t="s">
        <v>506</v>
      </c>
    </row>
    <row r="98" spans="1:29 16383:16383" hidden="1" x14ac:dyDescent="0.3">
      <c r="A98" s="559">
        <v>6</v>
      </c>
      <c r="B98" s="560"/>
      <c r="C98" s="561">
        <f t="shared" si="0"/>
        <v>9.0318245369383557E-3</v>
      </c>
      <c r="D98" s="562"/>
      <c r="E98" s="555">
        <f t="shared" si="1"/>
        <v>9.0787900245304365E-3</v>
      </c>
      <c r="F98" s="556"/>
      <c r="G98" s="555">
        <f t="shared" si="2"/>
        <v>9.0498881860122324E-3</v>
      </c>
      <c r="H98" s="556"/>
      <c r="I98" s="589" t="s">
        <v>271</v>
      </c>
      <c r="J98" s="590"/>
      <c r="K98" s="555">
        <f t="shared" si="3"/>
        <v>0</v>
      </c>
      <c r="L98" s="556"/>
      <c r="M98" s="555">
        <f t="shared" si="4"/>
        <v>0</v>
      </c>
      <c r="N98" s="556"/>
      <c r="O98" s="597"/>
      <c r="P98" s="597"/>
      <c r="Q98" s="557"/>
      <c r="R98" s="558"/>
      <c r="S98" s="557"/>
      <c r="T98" s="558"/>
      <c r="V98"/>
      <c r="W98"/>
      <c r="X98"/>
      <c r="Y98"/>
      <c r="Z98"/>
      <c r="AA98"/>
      <c r="AB98"/>
      <c r="AC98"/>
      <c r="XFC98" s="39" t="s">
        <v>507</v>
      </c>
    </row>
    <row r="99" spans="1:29 16383:16383" hidden="1" x14ac:dyDescent="0.3">
      <c r="A99" s="559">
        <v>7</v>
      </c>
      <c r="B99" s="560"/>
      <c r="C99" s="561">
        <f t="shared" si="0"/>
        <v>0</v>
      </c>
      <c r="D99" s="562"/>
      <c r="E99" s="555">
        <f t="shared" si="1"/>
        <v>0</v>
      </c>
      <c r="F99" s="556"/>
      <c r="G99" s="555">
        <f t="shared" si="2"/>
        <v>0</v>
      </c>
      <c r="H99" s="556"/>
      <c r="I99" s="589" t="s">
        <v>271</v>
      </c>
      <c r="J99" s="590"/>
      <c r="K99" s="555">
        <f t="shared" si="3"/>
        <v>0</v>
      </c>
      <c r="L99" s="556"/>
      <c r="M99" s="555">
        <f t="shared" si="4"/>
        <v>0</v>
      </c>
      <c r="N99" s="556"/>
      <c r="O99" s="597"/>
      <c r="P99" s="597"/>
      <c r="Q99" s="557"/>
      <c r="R99" s="558"/>
      <c r="S99" s="557"/>
      <c r="T99" s="558"/>
      <c r="V99"/>
      <c r="W99"/>
      <c r="X99"/>
      <c r="Y99"/>
      <c r="Z99"/>
      <c r="AA99"/>
      <c r="AB99"/>
      <c r="AC99"/>
      <c r="XFC99" s="39" t="s">
        <v>508</v>
      </c>
    </row>
    <row r="100" spans="1:29 16383:16383" hidden="1" x14ac:dyDescent="0.3">
      <c r="A100" s="559">
        <v>8</v>
      </c>
      <c r="B100" s="560"/>
      <c r="C100" s="561">
        <f t="shared" si="0"/>
        <v>0</v>
      </c>
      <c r="D100" s="562"/>
      <c r="E100" s="555">
        <f t="shared" si="1"/>
        <v>0</v>
      </c>
      <c r="F100" s="556"/>
      <c r="G100" s="555">
        <f t="shared" si="2"/>
        <v>0</v>
      </c>
      <c r="H100" s="556"/>
      <c r="I100" s="589" t="s">
        <v>271</v>
      </c>
      <c r="J100" s="590"/>
      <c r="K100" s="555">
        <f t="shared" si="3"/>
        <v>0</v>
      </c>
      <c r="L100" s="556"/>
      <c r="M100" s="555">
        <f t="shared" si="4"/>
        <v>0</v>
      </c>
      <c r="N100" s="556"/>
      <c r="O100" s="597"/>
      <c r="P100" s="597"/>
      <c r="Q100" s="557"/>
      <c r="R100" s="558"/>
      <c r="S100" s="557"/>
      <c r="T100" s="558"/>
      <c r="V100"/>
      <c r="W100"/>
      <c r="X100"/>
      <c r="Y100"/>
      <c r="Z100"/>
      <c r="AA100"/>
      <c r="AB100"/>
      <c r="AC100"/>
      <c r="XFC100" s="39" t="s">
        <v>509</v>
      </c>
    </row>
    <row r="101" spans="1:29 16383:16383" hidden="1" x14ac:dyDescent="0.3">
      <c r="A101" s="559">
        <v>9</v>
      </c>
      <c r="B101" s="560"/>
      <c r="C101" s="561">
        <f t="shared" si="0"/>
        <v>0</v>
      </c>
      <c r="D101" s="562"/>
      <c r="E101" s="555">
        <f t="shared" si="1"/>
        <v>0</v>
      </c>
      <c r="F101" s="556"/>
      <c r="G101" s="555">
        <f t="shared" si="2"/>
        <v>0</v>
      </c>
      <c r="H101" s="556"/>
      <c r="I101" s="589" t="s">
        <v>271</v>
      </c>
      <c r="J101" s="590"/>
      <c r="K101" s="555">
        <f t="shared" si="3"/>
        <v>0</v>
      </c>
      <c r="L101" s="556"/>
      <c r="M101" s="555">
        <f t="shared" si="4"/>
        <v>0</v>
      </c>
      <c r="N101" s="556"/>
      <c r="O101" s="597"/>
      <c r="P101" s="597"/>
      <c r="Q101" s="82"/>
      <c r="R101" s="83"/>
      <c r="S101" s="82"/>
      <c r="T101" s="83"/>
      <c r="V101"/>
      <c r="W101"/>
      <c r="X101"/>
      <c r="Y101"/>
      <c r="Z101"/>
      <c r="AA101"/>
      <c r="AB101"/>
      <c r="AC101"/>
      <c r="XFC101" s="39" t="s">
        <v>510</v>
      </c>
    </row>
    <row r="102" spans="1:29 16383:16383" hidden="1" x14ac:dyDescent="0.3">
      <c r="A102" s="559">
        <v>10</v>
      </c>
      <c r="B102" s="560"/>
      <c r="C102" s="561">
        <f t="shared" si="0"/>
        <v>0</v>
      </c>
      <c r="D102" s="562"/>
      <c r="E102" s="555">
        <f t="shared" si="1"/>
        <v>0</v>
      </c>
      <c r="F102" s="556"/>
      <c r="G102" s="555">
        <f t="shared" si="2"/>
        <v>0</v>
      </c>
      <c r="H102" s="556"/>
      <c r="I102" s="563" t="s">
        <v>271</v>
      </c>
      <c r="J102" s="563"/>
      <c r="K102" s="555">
        <f t="shared" si="3"/>
        <v>0</v>
      </c>
      <c r="L102" s="556"/>
      <c r="M102" s="555">
        <f t="shared" si="4"/>
        <v>0</v>
      </c>
      <c r="N102" s="556"/>
      <c r="O102" s="597"/>
      <c r="P102" s="597"/>
      <c r="Q102" s="557"/>
      <c r="R102" s="558"/>
      <c r="S102" s="557"/>
      <c r="T102" s="558"/>
      <c r="V102"/>
      <c r="W102"/>
      <c r="X102"/>
      <c r="Y102"/>
      <c r="Z102"/>
      <c r="AA102"/>
      <c r="AB102"/>
      <c r="AC102"/>
      <c r="XFC102" s="39" t="s">
        <v>511</v>
      </c>
    </row>
    <row r="103" spans="1:29 16383:16383" ht="15" hidden="1" thickBot="1" x14ac:dyDescent="0.35">
      <c r="E103" s="84"/>
      <c r="F103" s="84"/>
      <c r="G103" s="84"/>
      <c r="H103" s="85"/>
      <c r="I103" s="85"/>
      <c r="J103" s="85"/>
      <c r="K103" s="86"/>
      <c r="L103" s="86"/>
      <c r="M103" s="86"/>
      <c r="N103" s="86"/>
      <c r="O103" s="86"/>
      <c r="P103" s="86"/>
      <c r="Q103" s="86"/>
      <c r="V103"/>
      <c r="W103"/>
      <c r="X103"/>
      <c r="Y103"/>
      <c r="Z103"/>
      <c r="AA103"/>
      <c r="AB103"/>
      <c r="AC103"/>
      <c r="XFC103" s="39" t="s">
        <v>512</v>
      </c>
    </row>
    <row r="104" spans="1:29 16383:16383" ht="15" hidden="1" thickBot="1" x14ac:dyDescent="0.35">
      <c r="C104" s="775" t="s">
        <v>101</v>
      </c>
      <c r="D104" s="775"/>
      <c r="E104" s="775"/>
      <c r="F104" s="776"/>
      <c r="G104" s="105" t="str">
        <f>F20</f>
        <v>InH2O</v>
      </c>
      <c r="H104" s="777" t="s">
        <v>102</v>
      </c>
      <c r="I104" s="777"/>
      <c r="J104" s="777"/>
      <c r="K104" s="777"/>
      <c r="L104" s="772" t="s">
        <v>68</v>
      </c>
      <c r="M104" s="773"/>
      <c r="N104" s="103" t="s">
        <v>112</v>
      </c>
      <c r="O104" s="103">
        <f>MATCH(G104,CONVERSION!B4:M4,0)</f>
        <v>7</v>
      </c>
      <c r="P104" s="86"/>
      <c r="Q104" s="86"/>
      <c r="V104"/>
      <c r="W104"/>
      <c r="X104"/>
      <c r="Y104"/>
      <c r="Z104"/>
      <c r="AA104"/>
      <c r="AB104"/>
      <c r="AC104"/>
      <c r="XFC104" s="39" t="s">
        <v>513</v>
      </c>
    </row>
    <row r="105" spans="1:29 16383:16383" hidden="1" x14ac:dyDescent="0.3">
      <c r="C105" s="775" t="s">
        <v>113</v>
      </c>
      <c r="D105" s="775"/>
      <c r="E105" s="775"/>
      <c r="F105" s="775"/>
      <c r="G105" s="774">
        <f>INDEX(CONVERSION!B5:M16,O104,O105)</f>
        <v>27.6799</v>
      </c>
      <c r="H105" s="432"/>
      <c r="I105" s="432"/>
      <c r="J105" s="432"/>
      <c r="K105" s="432"/>
      <c r="L105" s="774"/>
      <c r="M105" s="774"/>
      <c r="N105" s="103" t="s">
        <v>111</v>
      </c>
      <c r="O105" s="103">
        <f>MATCH(L104,CONVERSION!A5:A16,0)</f>
        <v>6</v>
      </c>
      <c r="P105" s="86"/>
      <c r="Q105" s="86"/>
      <c r="V105"/>
      <c r="W105"/>
      <c r="X105"/>
      <c r="Y105"/>
      <c r="Z105"/>
      <c r="AA105"/>
      <c r="AB105"/>
      <c r="AC105"/>
      <c r="XFC105" s="39" t="s">
        <v>514</v>
      </c>
    </row>
    <row r="106" spans="1:29 16383:16383" ht="12" customHeight="1" thickBot="1" x14ac:dyDescent="0.35">
      <c r="B106" s="88"/>
      <c r="C106" s="88"/>
      <c r="D106" s="88"/>
      <c r="E106" s="88"/>
      <c r="F106" s="89"/>
      <c r="G106" s="89"/>
      <c r="H106" s="89"/>
      <c r="I106" s="89"/>
      <c r="L106" s="88"/>
      <c r="M106" s="88"/>
      <c r="N106" s="88"/>
      <c r="O106" s="88"/>
      <c r="P106" s="89"/>
      <c r="Q106" s="89"/>
      <c r="R106" s="89"/>
      <c r="S106" s="89"/>
      <c r="V106"/>
      <c r="W106"/>
      <c r="X106"/>
      <c r="Y106"/>
      <c r="Z106"/>
      <c r="AA106"/>
      <c r="AB106"/>
      <c r="AC106"/>
      <c r="XFC106" s="39" t="s">
        <v>515</v>
      </c>
    </row>
    <row r="107" spans="1:29 16383:16383" x14ac:dyDescent="0.3">
      <c r="B107" s="541" t="s">
        <v>195</v>
      </c>
      <c r="C107" s="542"/>
      <c r="D107" s="543"/>
      <c r="E107" s="544"/>
      <c r="F107" s="544"/>
      <c r="G107" s="544"/>
      <c r="H107" s="544"/>
      <c r="I107" s="544"/>
      <c r="J107" s="544"/>
      <c r="K107" s="544"/>
      <c r="L107" s="544"/>
      <c r="M107" s="544"/>
      <c r="N107" s="544"/>
      <c r="O107" s="544"/>
      <c r="P107" s="544"/>
      <c r="Q107" s="544"/>
      <c r="R107" s="544"/>
      <c r="S107" s="545"/>
      <c r="W107"/>
      <c r="X107"/>
      <c r="Y107"/>
      <c r="Z107"/>
      <c r="AA107"/>
      <c r="AB107"/>
      <c r="AC107"/>
      <c r="XFC107" s="39" t="s">
        <v>516</v>
      </c>
    </row>
    <row r="108" spans="1:29 16383:16383" x14ac:dyDescent="0.3">
      <c r="B108" s="546"/>
      <c r="C108" s="547"/>
      <c r="D108" s="547"/>
      <c r="E108" s="547"/>
      <c r="F108" s="547"/>
      <c r="G108" s="547"/>
      <c r="H108" s="547"/>
      <c r="I108" s="547"/>
      <c r="J108" s="547"/>
      <c r="K108" s="547"/>
      <c r="L108" s="547"/>
      <c r="M108" s="547"/>
      <c r="N108" s="547"/>
      <c r="O108" s="547"/>
      <c r="P108" s="547"/>
      <c r="Q108" s="547"/>
      <c r="R108" s="547"/>
      <c r="S108" s="548"/>
      <c r="XFC108" s="39" t="s">
        <v>517</v>
      </c>
    </row>
    <row r="109" spans="1:29 16383:16383" x14ac:dyDescent="0.3">
      <c r="B109" s="549"/>
      <c r="C109" s="550"/>
      <c r="D109" s="550"/>
      <c r="E109" s="550"/>
      <c r="F109" s="550"/>
      <c r="G109" s="550"/>
      <c r="H109" s="550"/>
      <c r="I109" s="550"/>
      <c r="J109" s="550"/>
      <c r="K109" s="550"/>
      <c r="L109" s="550"/>
      <c r="M109" s="550"/>
      <c r="N109" s="550"/>
      <c r="O109" s="550"/>
      <c r="P109" s="550"/>
      <c r="Q109" s="550"/>
      <c r="R109" s="550"/>
      <c r="S109" s="551"/>
      <c r="XFC109" s="39" t="s">
        <v>518</v>
      </c>
    </row>
    <row r="110" spans="1:29 16383:16383" x14ac:dyDescent="0.3">
      <c r="B110" s="552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53"/>
      <c r="P110" s="553"/>
      <c r="Q110" s="553"/>
      <c r="R110" s="553"/>
      <c r="S110" s="554"/>
      <c r="XFC110" s="39" t="s">
        <v>519</v>
      </c>
    </row>
    <row r="111" spans="1:29 16383:16383" ht="15" thickBot="1" x14ac:dyDescent="0.35">
      <c r="B111" s="567"/>
      <c r="C111" s="568"/>
      <c r="D111" s="568"/>
      <c r="E111" s="568"/>
      <c r="F111" s="568"/>
      <c r="G111" s="568"/>
      <c r="H111" s="568"/>
      <c r="I111" s="568"/>
      <c r="J111" s="568"/>
      <c r="K111" s="568"/>
      <c r="L111" s="568"/>
      <c r="M111" s="568"/>
      <c r="N111" s="568"/>
      <c r="O111" s="568"/>
      <c r="P111" s="568"/>
      <c r="Q111" s="568"/>
      <c r="R111" s="568"/>
      <c r="S111" s="569"/>
      <c r="XFC111" s="39" t="s">
        <v>520</v>
      </c>
    </row>
    <row r="112" spans="1:29 16383:16383" ht="12" customHeight="1" x14ac:dyDescent="0.3">
      <c r="B112" s="88"/>
      <c r="C112" s="88"/>
      <c r="D112" s="88"/>
      <c r="E112" s="88"/>
      <c r="F112" s="89"/>
      <c r="G112" s="89"/>
      <c r="H112" s="89"/>
      <c r="I112" s="89"/>
      <c r="L112" s="88"/>
      <c r="M112" s="88"/>
      <c r="N112" s="88"/>
      <c r="O112" s="88"/>
      <c r="P112" s="89"/>
      <c r="Q112" s="89"/>
      <c r="R112" s="89"/>
      <c r="S112" s="89"/>
      <c r="XFC112" s="39" t="s">
        <v>521</v>
      </c>
    </row>
    <row r="113" spans="1:20 16383:16383" ht="12" customHeight="1" x14ac:dyDescent="0.3">
      <c r="I113" s="570"/>
      <c r="J113" s="570"/>
      <c r="K113" s="570"/>
      <c r="L113" s="570"/>
      <c r="M113" s="88"/>
      <c r="N113" s="88"/>
      <c r="O113" s="88"/>
      <c r="P113" s="89"/>
      <c r="Q113" s="89"/>
      <c r="R113" s="89"/>
      <c r="S113" s="89"/>
      <c r="XFC113" s="39" t="s">
        <v>522</v>
      </c>
    </row>
    <row r="114" spans="1:20 16383:16383" x14ac:dyDescent="0.3">
      <c r="B114" s="90" t="s">
        <v>196</v>
      </c>
      <c r="C114" s="91"/>
      <c r="D114" s="91"/>
      <c r="E114" s="91"/>
      <c r="F114" s="91"/>
      <c r="G114" s="91"/>
      <c r="I114" s="91"/>
      <c r="J114" s="91"/>
      <c r="K114" s="90" t="s">
        <v>197</v>
      </c>
      <c r="N114" s="92"/>
      <c r="O114" s="92"/>
      <c r="P114" s="89"/>
      <c r="Q114" s="89"/>
      <c r="R114" s="89"/>
      <c r="S114" s="89"/>
      <c r="XFC114" s="39" t="s">
        <v>523</v>
      </c>
    </row>
    <row r="115" spans="1:20 16383:16383" ht="15" thickBot="1" x14ac:dyDescent="0.35">
      <c r="B115" s="93" t="s">
        <v>198</v>
      </c>
      <c r="C115" s="91"/>
      <c r="D115" s="91"/>
      <c r="E115" s="91"/>
      <c r="F115" s="91"/>
      <c r="G115" s="91"/>
      <c r="I115" s="91"/>
      <c r="J115" s="91"/>
      <c r="K115" s="93" t="s">
        <v>199</v>
      </c>
      <c r="N115" s="92"/>
      <c r="O115" s="92"/>
      <c r="P115" s="89"/>
      <c r="Q115" s="89"/>
      <c r="R115" s="89"/>
      <c r="S115" s="89"/>
      <c r="XFC115" s="39" t="s">
        <v>524</v>
      </c>
    </row>
    <row r="116" spans="1:20 16383:16383" ht="15" thickBot="1" x14ac:dyDescent="0.35">
      <c r="B116" s="571" t="s">
        <v>321</v>
      </c>
      <c r="C116" s="572"/>
      <c r="D116" s="572"/>
      <c r="E116" s="573"/>
      <c r="F116" s="77"/>
      <c r="G116" s="77"/>
      <c r="H116" s="77"/>
      <c r="I116" s="77"/>
      <c r="J116" s="77"/>
      <c r="K116" s="571" t="s">
        <v>284</v>
      </c>
      <c r="L116" s="572"/>
      <c r="M116" s="572"/>
      <c r="N116" s="573"/>
      <c r="O116" s="77"/>
      <c r="XFC116" s="39" t="s">
        <v>525</v>
      </c>
    </row>
    <row r="117" spans="1:20 16383:16383" ht="15" thickBot="1" x14ac:dyDescent="0.35">
      <c r="B117" s="574" t="s">
        <v>207</v>
      </c>
      <c r="C117" s="575"/>
      <c r="D117" s="575"/>
      <c r="E117" s="575"/>
      <c r="F117" s="576"/>
      <c r="G117" s="77"/>
      <c r="H117" s="94"/>
      <c r="I117" s="94"/>
      <c r="J117" s="94"/>
      <c r="K117" s="577" t="s">
        <v>184</v>
      </c>
      <c r="L117" s="578"/>
      <c r="M117" s="578"/>
      <c r="N117" s="578"/>
      <c r="O117" s="579"/>
      <c r="XFC117" s="39" t="s">
        <v>526</v>
      </c>
    </row>
    <row r="118" spans="1:20 16383:16383" x14ac:dyDescent="0.3">
      <c r="B118" s="95"/>
      <c r="C118" s="95"/>
      <c r="D118" s="95"/>
      <c r="E118" s="95"/>
      <c r="F118" s="95"/>
      <c r="G118" s="77"/>
      <c r="H118" s="94"/>
      <c r="I118" s="94"/>
      <c r="J118" s="94"/>
      <c r="K118" s="96"/>
      <c r="L118" s="96"/>
      <c r="M118" s="96"/>
      <c r="N118" s="96"/>
      <c r="O118" s="96"/>
      <c r="XFC118" s="39" t="s">
        <v>527</v>
      </c>
    </row>
    <row r="119" spans="1:20 16383:16383" x14ac:dyDescent="0.3">
      <c r="B119" s="97"/>
      <c r="C119" s="97"/>
      <c r="D119" s="97"/>
      <c r="E119" s="97"/>
      <c r="F119" s="97"/>
      <c r="G119" s="77"/>
      <c r="H119" s="94"/>
      <c r="I119" s="94"/>
      <c r="J119" s="94"/>
      <c r="K119" s="96"/>
      <c r="L119" s="96"/>
      <c r="M119" s="96"/>
      <c r="N119" s="96"/>
      <c r="O119" s="96"/>
      <c r="XFC119" s="39" t="s">
        <v>528</v>
      </c>
    </row>
    <row r="120" spans="1:20 16383:16383" x14ac:dyDescent="0.3">
      <c r="B120" s="97"/>
      <c r="C120" s="97"/>
      <c r="D120" s="97"/>
      <c r="E120" s="97"/>
      <c r="F120" s="97"/>
      <c r="G120" s="77"/>
      <c r="H120" s="94"/>
      <c r="I120" s="94"/>
      <c r="J120" s="94"/>
      <c r="K120" s="96"/>
      <c r="L120" s="96"/>
      <c r="M120" s="96"/>
      <c r="N120" s="96"/>
      <c r="O120" s="96"/>
      <c r="XFC120" s="39" t="s">
        <v>529</v>
      </c>
    </row>
    <row r="121" spans="1:20 16383:16383" ht="15" hidden="1" thickBot="1" x14ac:dyDescent="0.35">
      <c r="A121" s="580">
        <f>$A$53</f>
        <v>0</v>
      </c>
      <c r="B121" s="581"/>
      <c r="C121" s="581"/>
      <c r="D121" s="581"/>
      <c r="E121" s="581"/>
      <c r="F121" s="581"/>
      <c r="G121" s="581"/>
      <c r="H121" s="581"/>
      <c r="I121" s="581"/>
      <c r="J121" s="581"/>
      <c r="K121" s="581"/>
      <c r="L121" s="581"/>
      <c r="M121" s="581"/>
      <c r="N121" s="582"/>
      <c r="O121" s="583" t="s">
        <v>200</v>
      </c>
      <c r="P121" s="584"/>
      <c r="Q121" s="584"/>
      <c r="R121" s="584"/>
      <c r="S121" s="584"/>
      <c r="T121" s="585"/>
      <c r="XFC121" s="39" t="s">
        <v>530</v>
      </c>
    </row>
    <row r="122" spans="1:20 16383:16383" hidden="1" x14ac:dyDescent="0.3">
      <c r="A122" s="586">
        <f>A54</f>
        <v>0</v>
      </c>
      <c r="B122" s="587"/>
      <c r="C122" s="587">
        <f>C54</f>
        <v>0</v>
      </c>
      <c r="D122" s="587"/>
      <c r="E122" s="587"/>
      <c r="F122" s="587"/>
      <c r="G122" s="588"/>
      <c r="H122" s="586">
        <f>H54</f>
        <v>0</v>
      </c>
      <c r="I122" s="587"/>
      <c r="J122" s="587">
        <f>J54</f>
        <v>0</v>
      </c>
      <c r="K122" s="587"/>
      <c r="L122" s="587"/>
      <c r="M122" s="587"/>
      <c r="N122" s="588"/>
      <c r="O122" s="586">
        <f>O54</f>
        <v>0</v>
      </c>
      <c r="P122" s="587"/>
      <c r="Q122" s="587">
        <f>Q54</f>
        <v>0</v>
      </c>
      <c r="R122" s="587"/>
      <c r="S122" s="587"/>
      <c r="T122" s="588"/>
      <c r="XFC122" s="39" t="s">
        <v>531</v>
      </c>
    </row>
    <row r="123" spans="1:20 16383:16383" hidden="1" x14ac:dyDescent="0.3">
      <c r="A123" s="564" t="s">
        <v>183</v>
      </c>
      <c r="B123" s="565"/>
      <c r="C123" s="565">
        <f>C55</f>
        <v>0</v>
      </c>
      <c r="D123" s="565"/>
      <c r="E123" s="565"/>
      <c r="F123" s="565"/>
      <c r="G123" s="566"/>
      <c r="H123" s="564" t="s">
        <v>183</v>
      </c>
      <c r="I123" s="565"/>
      <c r="J123" s="565">
        <f>J55</f>
        <v>0</v>
      </c>
      <c r="K123" s="565"/>
      <c r="L123" s="565"/>
      <c r="M123" s="565"/>
      <c r="N123" s="566"/>
      <c r="O123" s="564" t="s">
        <v>183</v>
      </c>
      <c r="P123" s="565"/>
      <c r="Q123" s="565">
        <f>Q55</f>
        <v>0</v>
      </c>
      <c r="R123" s="565"/>
      <c r="S123" s="565"/>
      <c r="T123" s="566"/>
      <c r="XFC123" s="39" t="s">
        <v>532</v>
      </c>
    </row>
    <row r="124" spans="1:20 16383:16383" ht="15" hidden="1" thickBot="1" x14ac:dyDescent="0.35">
      <c r="A124" s="535" t="s">
        <v>186</v>
      </c>
      <c r="B124" s="536"/>
      <c r="C124" s="537">
        <f>C56</f>
        <v>0</v>
      </c>
      <c r="D124" s="537"/>
      <c r="E124" s="537"/>
      <c r="F124" s="537"/>
      <c r="G124" s="538"/>
      <c r="H124" s="535" t="s">
        <v>186</v>
      </c>
      <c r="I124" s="536"/>
      <c r="J124" s="537">
        <f>J56</f>
        <v>0</v>
      </c>
      <c r="K124" s="537"/>
      <c r="L124" s="537"/>
      <c r="M124" s="537"/>
      <c r="N124" s="538"/>
      <c r="O124" s="535" t="s">
        <v>186</v>
      </c>
      <c r="P124" s="536"/>
      <c r="Q124" s="537">
        <f>Q56</f>
        <v>0</v>
      </c>
      <c r="R124" s="537"/>
      <c r="S124" s="537"/>
      <c r="T124" s="538"/>
      <c r="XFC124" s="39" t="s">
        <v>533</v>
      </c>
    </row>
    <row r="125" spans="1:20 16383:16383" hidden="1" x14ac:dyDescent="0.3">
      <c r="B125" s="96"/>
      <c r="C125" s="96"/>
      <c r="D125" s="96"/>
      <c r="E125" s="96"/>
      <c r="F125" s="96"/>
      <c r="G125" s="77"/>
      <c r="H125" s="94"/>
      <c r="I125" s="94"/>
      <c r="J125" s="94"/>
      <c r="K125" s="96"/>
      <c r="L125" s="96"/>
      <c r="M125" s="96"/>
      <c r="N125" s="96"/>
      <c r="O125" s="96"/>
      <c r="XFC125" s="39" t="s">
        <v>534</v>
      </c>
    </row>
    <row r="126" spans="1:20 16383:16383" ht="15" hidden="1" thickBot="1" x14ac:dyDescent="0.35">
      <c r="A126" s="72" t="s">
        <v>201</v>
      </c>
      <c r="E126" s="72" t="s">
        <v>202</v>
      </c>
      <c r="H126" s="72" t="s">
        <v>96</v>
      </c>
      <c r="I126" s="59" t="s">
        <v>203</v>
      </c>
      <c r="K126" s="72" t="s">
        <v>204</v>
      </c>
      <c r="L126" s="72"/>
      <c r="M126" s="72" t="s">
        <v>205</v>
      </c>
      <c r="Q126" s="360" t="s">
        <v>18</v>
      </c>
      <c r="R126" s="59" t="s">
        <v>298</v>
      </c>
      <c r="XFC126" s="39" t="s">
        <v>535</v>
      </c>
    </row>
    <row r="127" spans="1:20 16383:16383" hidden="1" x14ac:dyDescent="0.3">
      <c r="A127" s="59" t="s">
        <v>299</v>
      </c>
      <c r="E127" s="59" t="s">
        <v>79</v>
      </c>
      <c r="H127" s="361" t="s">
        <v>87</v>
      </c>
      <c r="I127" s="59">
        <v>6.8947590000000003E-3</v>
      </c>
      <c r="K127" s="59" t="s">
        <v>180</v>
      </c>
      <c r="M127" s="59" t="s">
        <v>184</v>
      </c>
      <c r="Q127" s="360" t="s">
        <v>305</v>
      </c>
      <c r="R127" s="59" t="s">
        <v>298</v>
      </c>
      <c r="XFC127" s="39" t="s">
        <v>536</v>
      </c>
    </row>
    <row r="128" spans="1:20 16383:16383" hidden="1" x14ac:dyDescent="0.3">
      <c r="A128" s="96" t="s">
        <v>206</v>
      </c>
      <c r="E128" s="59" t="s">
        <v>148</v>
      </c>
      <c r="H128" s="362" t="s">
        <v>104</v>
      </c>
      <c r="I128" s="59">
        <v>6.8947591000000003E-2</v>
      </c>
      <c r="K128" s="59" t="s">
        <v>301</v>
      </c>
      <c r="M128" s="59" t="s">
        <v>207</v>
      </c>
      <c r="Q128" s="360" t="s">
        <v>93</v>
      </c>
      <c r="R128" s="59" t="s">
        <v>300</v>
      </c>
      <c r="XFC128" s="39" t="s">
        <v>537</v>
      </c>
    </row>
    <row r="129" spans="1:20 16383:16383" hidden="1" x14ac:dyDescent="0.3">
      <c r="A129" s="59" t="s">
        <v>208</v>
      </c>
      <c r="E129" s="59" t="s">
        <v>209</v>
      </c>
      <c r="H129" s="362" t="s">
        <v>103</v>
      </c>
      <c r="I129" s="59">
        <v>6.8947590869999997</v>
      </c>
      <c r="K129" s="59" t="s">
        <v>210</v>
      </c>
      <c r="M129" s="59" t="s">
        <v>207</v>
      </c>
      <c r="Q129" s="360" t="s">
        <v>285</v>
      </c>
      <c r="R129" s="59" t="s">
        <v>300</v>
      </c>
      <c r="XFC129" s="39" t="s">
        <v>538</v>
      </c>
    </row>
    <row r="130" spans="1:20 16383:16383" hidden="1" x14ac:dyDescent="0.3">
      <c r="A130" s="59" t="s">
        <v>302</v>
      </c>
      <c r="H130" s="362" t="s">
        <v>105</v>
      </c>
      <c r="I130" s="59">
        <v>68.947590868000006</v>
      </c>
      <c r="K130" s="59" t="s">
        <v>284</v>
      </c>
      <c r="M130" s="59" t="s">
        <v>184</v>
      </c>
      <c r="Q130" s="360"/>
      <c r="XFC130" s="39" t="s">
        <v>539</v>
      </c>
    </row>
    <row r="131" spans="1:20 16383:16383" hidden="1" x14ac:dyDescent="0.3">
      <c r="A131" s="59" t="s">
        <v>630</v>
      </c>
      <c r="H131" s="362" t="s">
        <v>106</v>
      </c>
      <c r="I131" s="59">
        <v>6.8947590869999997</v>
      </c>
      <c r="K131" s="59" t="s">
        <v>320</v>
      </c>
      <c r="Q131" s="59" t="s">
        <v>209</v>
      </c>
      <c r="R131" s="59" t="s">
        <v>209</v>
      </c>
      <c r="XFC131" s="39" t="s">
        <v>540</v>
      </c>
    </row>
    <row r="132" spans="1:20 16383:16383" hidden="1" x14ac:dyDescent="0.3">
      <c r="A132" s="59" t="s">
        <v>303</v>
      </c>
      <c r="H132" s="362" t="s">
        <v>68</v>
      </c>
      <c r="I132" s="59">
        <v>1</v>
      </c>
      <c r="K132" s="59" t="s">
        <v>321</v>
      </c>
      <c r="Q132" s="59" t="s">
        <v>9</v>
      </c>
      <c r="XFC132" s="39" t="s">
        <v>541</v>
      </c>
    </row>
    <row r="133" spans="1:20 16383:16383" hidden="1" x14ac:dyDescent="0.3">
      <c r="A133" s="59" t="s">
        <v>304</v>
      </c>
      <c r="H133" s="362" t="s">
        <v>107</v>
      </c>
      <c r="I133" s="59">
        <v>70.308912022000001</v>
      </c>
      <c r="K133" s="59" t="s">
        <v>322</v>
      </c>
      <c r="Q133" s="59" t="s">
        <v>54</v>
      </c>
      <c r="XFC133" s="39" t="s">
        <v>542</v>
      </c>
    </row>
    <row r="134" spans="1:20 16383:16383" hidden="1" x14ac:dyDescent="0.3">
      <c r="A134" s="59" t="s">
        <v>123</v>
      </c>
      <c r="H134" s="362" t="s">
        <v>108</v>
      </c>
      <c r="I134" s="59">
        <v>27.680674024999998</v>
      </c>
      <c r="K134" s="59" t="s">
        <v>621</v>
      </c>
      <c r="Q134" s="59" t="s">
        <v>0</v>
      </c>
      <c r="XFC134" s="39" t="s">
        <v>543</v>
      </c>
    </row>
    <row r="135" spans="1:20 16383:16383" hidden="1" x14ac:dyDescent="0.3">
      <c r="A135" s="59" t="s">
        <v>124</v>
      </c>
      <c r="H135" s="362" t="s">
        <v>109</v>
      </c>
      <c r="I135" s="59">
        <v>2.036027185</v>
      </c>
      <c r="K135" s="59" t="s">
        <v>641</v>
      </c>
      <c r="XFC135" s="39" t="s">
        <v>544</v>
      </c>
    </row>
    <row r="136" spans="1:20 16383:16383" ht="15" hidden="1" thickBot="1" x14ac:dyDescent="0.35">
      <c r="H136" s="363" t="s">
        <v>110</v>
      </c>
      <c r="I136" s="59">
        <v>5.1715092010000001</v>
      </c>
      <c r="Q136" t="s">
        <v>120</v>
      </c>
      <c r="XFC136" s="39" t="s">
        <v>545</v>
      </c>
    </row>
    <row r="137" spans="1:20 16383:16383" ht="15" hidden="1" thickBot="1" x14ac:dyDescent="0.35">
      <c r="H137" s="59" t="s">
        <v>272</v>
      </c>
      <c r="I137" s="59">
        <v>7.0306961570000004</v>
      </c>
      <c r="Q137" s="364" t="s">
        <v>291</v>
      </c>
      <c r="XFC137" s="39" t="s">
        <v>546</v>
      </c>
    </row>
    <row r="138" spans="1:20 16383:16383" ht="15" hidden="1" thickBot="1" x14ac:dyDescent="0.35">
      <c r="H138" s="59" t="s">
        <v>319</v>
      </c>
      <c r="I138" s="216">
        <v>51.7149</v>
      </c>
      <c r="Q138" s="365" t="s">
        <v>273</v>
      </c>
      <c r="XFC138" s="39" t="s">
        <v>547</v>
      </c>
    </row>
    <row r="139" spans="1:20 16383:16383" x14ac:dyDescent="0.3">
      <c r="XFC139" s="39" t="s">
        <v>548</v>
      </c>
    </row>
    <row r="140" spans="1:20 16383:16383" x14ac:dyDescent="0.3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XFC140" s="39" t="s">
        <v>549</v>
      </c>
    </row>
    <row r="141" spans="1:20 16383:16383" x14ac:dyDescent="0.3">
      <c r="R141" s="39"/>
      <c r="S141" s="39"/>
      <c r="T141" s="39"/>
      <c r="XFC141" s="39" t="s">
        <v>550</v>
      </c>
    </row>
    <row r="142" spans="1:20 16383:16383" x14ac:dyDescent="0.3">
      <c r="R142" s="39"/>
      <c r="S142" s="39"/>
      <c r="T142" s="39"/>
      <c r="XFC142" s="39" t="s">
        <v>551</v>
      </c>
    </row>
    <row r="143" spans="1:20 16383:16383" x14ac:dyDescent="0.3">
      <c r="XFC143" s="39" t="s">
        <v>552</v>
      </c>
    </row>
    <row r="144" spans="1:20 16383:16383" x14ac:dyDescent="0.3">
      <c r="XFC144" s="39" t="s">
        <v>552</v>
      </c>
    </row>
    <row r="145" spans="16383:16383" x14ac:dyDescent="0.3">
      <c r="XFC145" s="39" t="s">
        <v>553</v>
      </c>
    </row>
    <row r="146" spans="16383:16383" x14ac:dyDescent="0.3">
      <c r="XFC146" s="39" t="s">
        <v>554</v>
      </c>
    </row>
    <row r="147" spans="16383:16383" x14ac:dyDescent="0.3">
      <c r="XFC147" s="39" t="s">
        <v>555</v>
      </c>
    </row>
    <row r="148" spans="16383:16383" x14ac:dyDescent="0.3">
      <c r="XFC148" s="39" t="s">
        <v>556</v>
      </c>
    </row>
    <row r="149" spans="16383:16383" x14ac:dyDescent="0.3">
      <c r="XFC149" s="39" t="s">
        <v>557</v>
      </c>
    </row>
    <row r="150" spans="16383:16383" x14ac:dyDescent="0.3">
      <c r="XFC150" s="39" t="s">
        <v>558</v>
      </c>
    </row>
    <row r="151" spans="16383:16383" x14ac:dyDescent="0.3">
      <c r="XFC151" s="39" t="s">
        <v>559</v>
      </c>
    </row>
    <row r="152" spans="16383:16383" x14ac:dyDescent="0.3">
      <c r="XFC152" s="39" t="s">
        <v>560</v>
      </c>
    </row>
    <row r="153" spans="16383:16383" x14ac:dyDescent="0.3">
      <c r="XFC153" s="39" t="s">
        <v>561</v>
      </c>
    </row>
    <row r="154" spans="16383:16383" x14ac:dyDescent="0.3">
      <c r="XFC154" s="39" t="s">
        <v>562</v>
      </c>
    </row>
    <row r="155" spans="16383:16383" x14ac:dyDescent="0.3">
      <c r="XFC155" s="39" t="s">
        <v>563</v>
      </c>
    </row>
    <row r="156" spans="16383:16383" x14ac:dyDescent="0.3">
      <c r="XFC156" s="39" t="s">
        <v>564</v>
      </c>
    </row>
    <row r="157" spans="16383:16383" x14ac:dyDescent="0.3">
      <c r="XFC157" s="39" t="s">
        <v>565</v>
      </c>
    </row>
    <row r="158" spans="16383:16383" x14ac:dyDescent="0.3">
      <c r="XFC158" s="39" t="s">
        <v>566</v>
      </c>
    </row>
    <row r="159" spans="16383:16383" x14ac:dyDescent="0.3">
      <c r="XFC159" s="39" t="s">
        <v>567</v>
      </c>
    </row>
    <row r="160" spans="16383:16383" x14ac:dyDescent="0.3">
      <c r="XFC160" s="39" t="s">
        <v>568</v>
      </c>
    </row>
    <row r="161" spans="16383:16383" x14ac:dyDescent="0.3">
      <c r="XFC161" s="39" t="s">
        <v>569</v>
      </c>
    </row>
    <row r="162" spans="16383:16383" x14ac:dyDescent="0.3">
      <c r="XFC162" s="39" t="s">
        <v>570</v>
      </c>
    </row>
    <row r="163" spans="16383:16383" x14ac:dyDescent="0.3">
      <c r="XFC163" s="39" t="s">
        <v>571</v>
      </c>
    </row>
    <row r="164" spans="16383:16383" x14ac:dyDescent="0.3">
      <c r="XFC164" s="39" t="s">
        <v>572</v>
      </c>
    </row>
    <row r="165" spans="16383:16383" x14ac:dyDescent="0.3">
      <c r="XFC165" s="39" t="s">
        <v>573</v>
      </c>
    </row>
    <row r="166" spans="16383:16383" x14ac:dyDescent="0.3">
      <c r="XFC166" s="39" t="s">
        <v>574</v>
      </c>
    </row>
    <row r="167" spans="16383:16383" x14ac:dyDescent="0.3">
      <c r="XFC167" s="39" t="s">
        <v>575</v>
      </c>
    </row>
    <row r="168" spans="16383:16383" x14ac:dyDescent="0.3">
      <c r="XFC168" s="39" t="s">
        <v>576</v>
      </c>
    </row>
    <row r="169" spans="16383:16383" x14ac:dyDescent="0.3">
      <c r="XFC169" s="39" t="s">
        <v>577</v>
      </c>
    </row>
    <row r="170" spans="16383:16383" x14ac:dyDescent="0.3">
      <c r="XFC170" s="39" t="s">
        <v>578</v>
      </c>
    </row>
    <row r="171" spans="16383:16383" x14ac:dyDescent="0.3">
      <c r="XFC171" s="39" t="s">
        <v>579</v>
      </c>
    </row>
    <row r="172" spans="16383:16383" x14ac:dyDescent="0.3">
      <c r="XFC172" s="39" t="s">
        <v>580</v>
      </c>
    </row>
    <row r="173" spans="16383:16383" x14ac:dyDescent="0.3">
      <c r="XFC173" s="39" t="s">
        <v>581</v>
      </c>
    </row>
    <row r="174" spans="16383:16383" x14ac:dyDescent="0.3">
      <c r="XFC174" s="39" t="s">
        <v>582</v>
      </c>
    </row>
    <row r="175" spans="16383:16383" x14ac:dyDescent="0.3">
      <c r="XFC175" s="39" t="s">
        <v>583</v>
      </c>
    </row>
    <row r="176" spans="16383:16383" x14ac:dyDescent="0.3">
      <c r="XFC176" s="39" t="s">
        <v>584</v>
      </c>
    </row>
    <row r="177" spans="16383:16383" x14ac:dyDescent="0.3">
      <c r="XFC177" s="39" t="s">
        <v>585</v>
      </c>
    </row>
    <row r="178" spans="16383:16383" x14ac:dyDescent="0.3">
      <c r="XFC178" s="39" t="s">
        <v>586</v>
      </c>
    </row>
    <row r="179" spans="16383:16383" x14ac:dyDescent="0.3">
      <c r="XFC179" s="39" t="s">
        <v>587</v>
      </c>
    </row>
    <row r="180" spans="16383:16383" x14ac:dyDescent="0.3">
      <c r="XFC180" s="39" t="s">
        <v>588</v>
      </c>
    </row>
    <row r="181" spans="16383:16383" x14ac:dyDescent="0.3">
      <c r="XFC181" s="39" t="s">
        <v>589</v>
      </c>
    </row>
    <row r="182" spans="16383:16383" x14ac:dyDescent="0.3">
      <c r="XFC182" s="39" t="s">
        <v>590</v>
      </c>
    </row>
    <row r="183" spans="16383:16383" x14ac:dyDescent="0.3">
      <c r="XFC183" s="39" t="s">
        <v>591</v>
      </c>
    </row>
    <row r="184" spans="16383:16383" x14ac:dyDescent="0.3">
      <c r="XFC184" s="39" t="s">
        <v>592</v>
      </c>
    </row>
    <row r="185" spans="16383:16383" x14ac:dyDescent="0.3">
      <c r="XFC185" s="39" t="s">
        <v>593</v>
      </c>
    </row>
    <row r="186" spans="16383:16383" x14ac:dyDescent="0.3">
      <c r="XFC186" s="39" t="s">
        <v>594</v>
      </c>
    </row>
    <row r="187" spans="16383:16383" x14ac:dyDescent="0.3">
      <c r="XFC187" s="39" t="s">
        <v>595</v>
      </c>
    </row>
    <row r="188" spans="16383:16383" x14ac:dyDescent="0.3">
      <c r="XFC188" s="39" t="s">
        <v>596</v>
      </c>
    </row>
    <row r="189" spans="16383:16383" x14ac:dyDescent="0.3">
      <c r="XFC189" s="39" t="s">
        <v>597</v>
      </c>
    </row>
    <row r="190" spans="16383:16383" x14ac:dyDescent="0.3">
      <c r="XFC190" s="39" t="s">
        <v>598</v>
      </c>
    </row>
    <row r="191" spans="16383:16383" x14ac:dyDescent="0.3">
      <c r="XFC191" s="39" t="s">
        <v>599</v>
      </c>
    </row>
    <row r="192" spans="16383:16383" x14ac:dyDescent="0.3">
      <c r="XFC192" s="39" t="s">
        <v>600</v>
      </c>
    </row>
    <row r="193" spans="16383:16383" x14ac:dyDescent="0.3">
      <c r="XFC193" s="39" t="s">
        <v>601</v>
      </c>
    </row>
    <row r="194" spans="16383:16383" x14ac:dyDescent="0.3">
      <c r="XFC194" s="39" t="s">
        <v>602</v>
      </c>
    </row>
    <row r="195" spans="16383:16383" x14ac:dyDescent="0.3">
      <c r="XFC195" s="39" t="s">
        <v>603</v>
      </c>
    </row>
    <row r="196" spans="16383:16383" x14ac:dyDescent="0.3">
      <c r="XFC196" s="39" t="s">
        <v>604</v>
      </c>
    </row>
    <row r="197" spans="16383:16383" x14ac:dyDescent="0.3">
      <c r="XFC197" s="39" t="s">
        <v>605</v>
      </c>
    </row>
    <row r="198" spans="16383:16383" x14ac:dyDescent="0.3">
      <c r="XFC198" s="39" t="s">
        <v>606</v>
      </c>
    </row>
    <row r="199" spans="16383:16383" x14ac:dyDescent="0.3">
      <c r="XFC199" s="39" t="s">
        <v>607</v>
      </c>
    </row>
    <row r="200" spans="16383:16383" x14ac:dyDescent="0.3">
      <c r="XFC200" s="39" t="s">
        <v>608</v>
      </c>
    </row>
    <row r="201" spans="16383:16383" x14ac:dyDescent="0.3">
      <c r="XFC201" s="39" t="s">
        <v>609</v>
      </c>
    </row>
    <row r="202" spans="16383:16383" x14ac:dyDescent="0.3">
      <c r="XFC202" s="39" t="s">
        <v>610</v>
      </c>
    </row>
    <row r="203" spans="16383:16383" x14ac:dyDescent="0.3">
      <c r="XFC203" s="39" t="s">
        <v>611</v>
      </c>
    </row>
    <row r="204" spans="16383:16383" x14ac:dyDescent="0.3">
      <c r="XFC204" s="39" t="s">
        <v>612</v>
      </c>
    </row>
    <row r="205" spans="16383:16383" x14ac:dyDescent="0.3">
      <c r="XFC205" s="39" t="s">
        <v>613</v>
      </c>
    </row>
    <row r="206" spans="16383:16383" x14ac:dyDescent="0.3">
      <c r="XFC206" s="39" t="s">
        <v>614</v>
      </c>
    </row>
    <row r="207" spans="16383:16383" x14ac:dyDescent="0.3">
      <c r="XFC207" s="39" t="s">
        <v>615</v>
      </c>
    </row>
    <row r="208" spans="16383:16383" x14ac:dyDescent="0.3">
      <c r="XFC208" s="39" t="s">
        <v>616</v>
      </c>
    </row>
    <row r="209" spans="16383:16383" x14ac:dyDescent="0.3">
      <c r="XFC209" s="39" t="s">
        <v>617</v>
      </c>
    </row>
    <row r="210" spans="16383:16383" x14ac:dyDescent="0.3">
      <c r="XFC210" s="39" t="s">
        <v>618</v>
      </c>
    </row>
    <row r="211" spans="16383:16383" x14ac:dyDescent="0.3">
      <c r="XFC211" s="39" t="s">
        <v>618</v>
      </c>
    </row>
    <row r="212" spans="16383:16383" x14ac:dyDescent="0.3">
      <c r="XFC212" s="39" t="s">
        <v>618</v>
      </c>
    </row>
    <row r="213" spans="16383:16383" x14ac:dyDescent="0.3">
      <c r="XFC213" s="39" t="s">
        <v>618</v>
      </c>
    </row>
    <row r="214" spans="16383:16383" x14ac:dyDescent="0.3">
      <c r="XFC214" s="39" t="s">
        <v>618</v>
      </c>
    </row>
    <row r="215" spans="16383:16383" x14ac:dyDescent="0.3">
      <c r="XFC215" s="39" t="s">
        <v>618</v>
      </c>
    </row>
    <row r="216" spans="16383:16383" x14ac:dyDescent="0.3">
      <c r="XFC216" s="39" t="s">
        <v>618</v>
      </c>
    </row>
    <row r="217" spans="16383:16383" x14ac:dyDescent="0.3">
      <c r="XFC217" s="39" t="s">
        <v>618</v>
      </c>
    </row>
    <row r="218" spans="16383:16383" x14ac:dyDescent="0.3">
      <c r="XFC218" s="39" t="s">
        <v>618</v>
      </c>
    </row>
    <row r="219" spans="16383:16383" x14ac:dyDescent="0.3">
      <c r="XFC219" s="39" t="s">
        <v>618</v>
      </c>
    </row>
    <row r="220" spans="16383:16383" x14ac:dyDescent="0.3">
      <c r="XFC220" s="39" t="s">
        <v>618</v>
      </c>
    </row>
    <row r="221" spans="16383:16383" x14ac:dyDescent="0.3">
      <c r="XFC221" s="39" t="s">
        <v>618</v>
      </c>
    </row>
    <row r="222" spans="16383:16383" x14ac:dyDescent="0.3">
      <c r="XFC222" s="39" t="s">
        <v>618</v>
      </c>
    </row>
    <row r="223" spans="16383:16383" x14ac:dyDescent="0.3">
      <c r="XFC223" s="39" t="s">
        <v>618</v>
      </c>
    </row>
    <row r="224" spans="16383:16383" x14ac:dyDescent="0.3">
      <c r="XFC224" s="39" t="s">
        <v>618</v>
      </c>
    </row>
    <row r="225" spans="16383:16383" x14ac:dyDescent="0.3">
      <c r="XFC225" s="39" t="s">
        <v>618</v>
      </c>
    </row>
    <row r="226" spans="16383:16383" x14ac:dyDescent="0.3">
      <c r="XFC226" s="39" t="s">
        <v>618</v>
      </c>
    </row>
    <row r="227" spans="16383:16383" x14ac:dyDescent="0.3">
      <c r="XFC227" s="39" t="s">
        <v>618</v>
      </c>
    </row>
    <row r="228" spans="16383:16383" x14ac:dyDescent="0.3">
      <c r="XFC228" s="39" t="s">
        <v>618</v>
      </c>
    </row>
    <row r="229" spans="16383:16383" x14ac:dyDescent="0.3">
      <c r="XFC229" s="39" t="s">
        <v>618</v>
      </c>
    </row>
    <row r="230" spans="16383:16383" x14ac:dyDescent="0.3">
      <c r="XFC230" s="39" t="s">
        <v>618</v>
      </c>
    </row>
    <row r="231" spans="16383:16383" x14ac:dyDescent="0.3">
      <c r="XFC231" s="39" t="s">
        <v>618</v>
      </c>
    </row>
    <row r="232" spans="16383:16383" x14ac:dyDescent="0.3">
      <c r="XFC232" s="39" t="s">
        <v>618</v>
      </c>
    </row>
    <row r="233" spans="16383:16383" x14ac:dyDescent="0.3">
      <c r="XFC233" s="39" t="s">
        <v>618</v>
      </c>
    </row>
    <row r="234" spans="16383:16383" x14ac:dyDescent="0.3">
      <c r="XFC234" s="39" t="s">
        <v>618</v>
      </c>
    </row>
    <row r="235" spans="16383:16383" x14ac:dyDescent="0.3">
      <c r="XFC235" s="39" t="s">
        <v>618</v>
      </c>
    </row>
    <row r="236" spans="16383:16383" x14ac:dyDescent="0.3">
      <c r="XFC236" s="39" t="s">
        <v>618</v>
      </c>
    </row>
    <row r="237" spans="16383:16383" x14ac:dyDescent="0.3">
      <c r="XFC237" s="39" t="s">
        <v>618</v>
      </c>
    </row>
    <row r="238" spans="16383:16383" x14ac:dyDescent="0.3">
      <c r="XFC238" s="39" t="s">
        <v>618</v>
      </c>
    </row>
    <row r="239" spans="16383:16383" x14ac:dyDescent="0.3">
      <c r="XFC239" s="39" t="s">
        <v>618</v>
      </c>
    </row>
    <row r="240" spans="16383:16383" x14ac:dyDescent="0.3">
      <c r="XFC240" s="39" t="s">
        <v>618</v>
      </c>
    </row>
    <row r="241" spans="16383:16383" x14ac:dyDescent="0.3">
      <c r="XFC241" s="39" t="s">
        <v>618</v>
      </c>
    </row>
    <row r="242" spans="16383:16383" x14ac:dyDescent="0.3">
      <c r="XFC242" s="39" t="s">
        <v>618</v>
      </c>
    </row>
    <row r="243" spans="16383:16383" x14ac:dyDescent="0.3">
      <c r="XFC243" s="39" t="s">
        <v>618</v>
      </c>
    </row>
    <row r="244" spans="16383:16383" x14ac:dyDescent="0.3">
      <c r="XFC244" s="39" t="s">
        <v>618</v>
      </c>
    </row>
    <row r="245" spans="16383:16383" x14ac:dyDescent="0.3">
      <c r="XFC245" s="39" t="s">
        <v>618</v>
      </c>
    </row>
    <row r="246" spans="16383:16383" x14ac:dyDescent="0.3">
      <c r="XFC246" s="39" t="s">
        <v>618</v>
      </c>
    </row>
    <row r="247" spans="16383:16383" x14ac:dyDescent="0.3">
      <c r="XFC247" s="39" t="s">
        <v>618</v>
      </c>
    </row>
    <row r="248" spans="16383:16383" x14ac:dyDescent="0.3">
      <c r="XFC248" s="39" t="s">
        <v>618</v>
      </c>
    </row>
    <row r="249" spans="16383:16383" x14ac:dyDescent="0.3">
      <c r="XFC249" s="39" t="s">
        <v>618</v>
      </c>
    </row>
    <row r="250" spans="16383:16383" x14ac:dyDescent="0.3">
      <c r="XFC250" s="39" t="s">
        <v>618</v>
      </c>
    </row>
    <row r="251" spans="16383:16383" x14ac:dyDescent="0.3">
      <c r="XFC251" s="39" t="s">
        <v>618</v>
      </c>
    </row>
    <row r="252" spans="16383:16383" x14ac:dyDescent="0.3">
      <c r="XFC252" s="39" t="s">
        <v>618</v>
      </c>
    </row>
    <row r="253" spans="16383:16383" x14ac:dyDescent="0.3">
      <c r="XFC253" s="39" t="s">
        <v>618</v>
      </c>
    </row>
    <row r="254" spans="16383:16383" x14ac:dyDescent="0.3">
      <c r="XFC254" s="39" t="s">
        <v>618</v>
      </c>
    </row>
    <row r="255" spans="16383:16383" x14ac:dyDescent="0.3">
      <c r="XFC255" s="39" t="s">
        <v>618</v>
      </c>
    </row>
    <row r="256" spans="16383:16383" x14ac:dyDescent="0.3">
      <c r="XFC256" s="39" t="s">
        <v>618</v>
      </c>
    </row>
    <row r="257" spans="16383:16383" x14ac:dyDescent="0.3">
      <c r="XFC257" s="39" t="s">
        <v>618</v>
      </c>
    </row>
    <row r="258" spans="16383:16383" x14ac:dyDescent="0.3">
      <c r="XFC258" s="39" t="s">
        <v>618</v>
      </c>
    </row>
    <row r="259" spans="16383:16383" x14ac:dyDescent="0.3">
      <c r="XFC259" s="39" t="s">
        <v>618</v>
      </c>
    </row>
    <row r="260" spans="16383:16383" x14ac:dyDescent="0.3">
      <c r="XFC260" s="39" t="s">
        <v>618</v>
      </c>
    </row>
    <row r="261" spans="16383:16383" x14ac:dyDescent="0.3">
      <c r="XFC261" s="39" t="s">
        <v>618</v>
      </c>
    </row>
    <row r="262" spans="16383:16383" x14ac:dyDescent="0.3">
      <c r="XFC262" s="39" t="s">
        <v>618</v>
      </c>
    </row>
    <row r="263" spans="16383:16383" x14ac:dyDescent="0.3">
      <c r="XFC263" s="39" t="s">
        <v>618</v>
      </c>
    </row>
    <row r="264" spans="16383:16383" x14ac:dyDescent="0.3">
      <c r="XFC264" s="39" t="s">
        <v>618</v>
      </c>
    </row>
    <row r="265" spans="16383:16383" x14ac:dyDescent="0.3">
      <c r="XFC265" s="39" t="s">
        <v>618</v>
      </c>
    </row>
    <row r="266" spans="16383:16383" x14ac:dyDescent="0.3">
      <c r="XFC266" s="39" t="s">
        <v>618</v>
      </c>
    </row>
    <row r="267" spans="16383:16383" x14ac:dyDescent="0.3">
      <c r="XFC267" s="39" t="s">
        <v>618</v>
      </c>
    </row>
    <row r="268" spans="16383:16383" x14ac:dyDescent="0.3">
      <c r="XFC268" s="39" t="s">
        <v>618</v>
      </c>
    </row>
    <row r="269" spans="16383:16383" x14ac:dyDescent="0.3">
      <c r="XFC269" s="39" t="s">
        <v>618</v>
      </c>
    </row>
    <row r="270" spans="16383:16383" x14ac:dyDescent="0.3">
      <c r="XFC270" s="39" t="s">
        <v>618</v>
      </c>
    </row>
    <row r="271" spans="16383:16383" x14ac:dyDescent="0.3">
      <c r="XFC271" s="39" t="s">
        <v>618</v>
      </c>
    </row>
    <row r="272" spans="16383:16383" x14ac:dyDescent="0.3">
      <c r="XFC272" s="39" t="s">
        <v>618</v>
      </c>
    </row>
    <row r="273" spans="16383:16383" x14ac:dyDescent="0.3">
      <c r="XFC273" s="39" t="s">
        <v>618</v>
      </c>
    </row>
    <row r="274" spans="16383:16383" x14ac:dyDescent="0.3">
      <c r="XFC274" s="39" t="s">
        <v>618</v>
      </c>
    </row>
    <row r="275" spans="16383:16383" x14ac:dyDescent="0.3">
      <c r="XFC275" s="39" t="s">
        <v>618</v>
      </c>
    </row>
    <row r="276" spans="16383:16383" x14ac:dyDescent="0.3">
      <c r="XFC276" s="39" t="s">
        <v>618</v>
      </c>
    </row>
    <row r="277" spans="16383:16383" x14ac:dyDescent="0.3">
      <c r="XFC277" s="39" t="s">
        <v>618</v>
      </c>
    </row>
    <row r="278" spans="16383:16383" x14ac:dyDescent="0.3">
      <c r="XFC278" s="39" t="s">
        <v>618</v>
      </c>
    </row>
    <row r="279" spans="16383:16383" x14ac:dyDescent="0.3">
      <c r="XFC279" s="39" t="s">
        <v>618</v>
      </c>
    </row>
    <row r="280" spans="16383:16383" x14ac:dyDescent="0.3">
      <c r="XFC280" s="39" t="s">
        <v>618</v>
      </c>
    </row>
    <row r="281" spans="16383:16383" x14ac:dyDescent="0.3">
      <c r="XFC281" s="39" t="s">
        <v>618</v>
      </c>
    </row>
    <row r="282" spans="16383:16383" x14ac:dyDescent="0.3">
      <c r="XFC282" s="39" t="s">
        <v>618</v>
      </c>
    </row>
    <row r="283" spans="16383:16383" x14ac:dyDescent="0.3">
      <c r="XFC283" s="39" t="s">
        <v>618</v>
      </c>
    </row>
    <row r="284" spans="16383:16383" x14ac:dyDescent="0.3">
      <c r="XFC284" s="39" t="s">
        <v>618</v>
      </c>
    </row>
    <row r="285" spans="16383:16383" x14ac:dyDescent="0.3">
      <c r="XFC285" s="39" t="s">
        <v>618</v>
      </c>
    </row>
    <row r="286" spans="16383:16383" x14ac:dyDescent="0.3">
      <c r="XFC286" s="39" t="s">
        <v>618</v>
      </c>
    </row>
    <row r="287" spans="16383:16383" x14ac:dyDescent="0.3">
      <c r="XFC287" s="39" t="s">
        <v>618</v>
      </c>
    </row>
    <row r="288" spans="16383:16383" x14ac:dyDescent="0.3">
      <c r="XFC288" s="39" t="s">
        <v>618</v>
      </c>
    </row>
    <row r="289" spans="16383:16383" x14ac:dyDescent="0.3">
      <c r="XFC289" s="39" t="s">
        <v>618</v>
      </c>
    </row>
    <row r="290" spans="16383:16383" x14ac:dyDescent="0.3">
      <c r="XFC290" s="39" t="s">
        <v>618</v>
      </c>
    </row>
    <row r="291" spans="16383:16383" x14ac:dyDescent="0.3">
      <c r="XFC291" s="39" t="s">
        <v>618</v>
      </c>
    </row>
    <row r="292" spans="16383:16383" x14ac:dyDescent="0.3">
      <c r="XFC292" s="39" t="s">
        <v>618</v>
      </c>
    </row>
    <row r="293" spans="16383:16383" x14ac:dyDescent="0.3">
      <c r="XFC293" s="39" t="s">
        <v>618</v>
      </c>
    </row>
    <row r="294" spans="16383:16383" x14ac:dyDescent="0.3">
      <c r="XFC294" s="39" t="s">
        <v>618</v>
      </c>
    </row>
    <row r="295" spans="16383:16383" x14ac:dyDescent="0.3">
      <c r="XFC295" s="39" t="s">
        <v>618</v>
      </c>
    </row>
    <row r="296" spans="16383:16383" x14ac:dyDescent="0.3">
      <c r="XFC296" s="39" t="s">
        <v>618</v>
      </c>
    </row>
    <row r="297" spans="16383:16383" x14ac:dyDescent="0.3">
      <c r="XFC297" s="39" t="s">
        <v>618</v>
      </c>
    </row>
    <row r="298" spans="16383:16383" x14ac:dyDescent="0.3">
      <c r="XFC298" s="39" t="s">
        <v>618</v>
      </c>
    </row>
    <row r="299" spans="16383:16383" x14ac:dyDescent="0.3">
      <c r="XFC299" s="39" t="s">
        <v>618</v>
      </c>
    </row>
    <row r="300" spans="16383:16383" x14ac:dyDescent="0.3">
      <c r="XFC300" s="39" t="s">
        <v>618</v>
      </c>
    </row>
    <row r="301" spans="16383:16383" x14ac:dyDescent="0.3">
      <c r="XFC301" s="39" t="s">
        <v>618</v>
      </c>
    </row>
    <row r="302" spans="16383:16383" x14ac:dyDescent="0.3">
      <c r="XFC302" s="39" t="s">
        <v>618</v>
      </c>
    </row>
    <row r="303" spans="16383:16383" x14ac:dyDescent="0.3">
      <c r="XFC303" s="39" t="s">
        <v>618</v>
      </c>
    </row>
    <row r="304" spans="16383:16383" x14ac:dyDescent="0.3">
      <c r="XFC304" s="39" t="s">
        <v>618</v>
      </c>
    </row>
    <row r="305" spans="16383:16383" x14ac:dyDescent="0.3">
      <c r="XFC305" s="39" t="s">
        <v>618</v>
      </c>
    </row>
    <row r="306" spans="16383:16383" x14ac:dyDescent="0.3">
      <c r="XFC306" s="39" t="s">
        <v>618</v>
      </c>
    </row>
    <row r="307" spans="16383:16383" x14ac:dyDescent="0.3">
      <c r="XFC307" s="39" t="s">
        <v>618</v>
      </c>
    </row>
    <row r="308" spans="16383:16383" x14ac:dyDescent="0.3">
      <c r="XFC308" s="39" t="s">
        <v>618</v>
      </c>
    </row>
    <row r="309" spans="16383:16383" x14ac:dyDescent="0.3">
      <c r="XFC309" s="39" t="s">
        <v>618</v>
      </c>
    </row>
    <row r="310" spans="16383:16383" x14ac:dyDescent="0.3">
      <c r="XFC310" s="39" t="s">
        <v>618</v>
      </c>
    </row>
    <row r="311" spans="16383:16383" x14ac:dyDescent="0.3">
      <c r="XFC311" s="39" t="s">
        <v>618</v>
      </c>
    </row>
    <row r="312" spans="16383:16383" x14ac:dyDescent="0.3">
      <c r="XFC312" s="39" t="s">
        <v>618</v>
      </c>
    </row>
    <row r="313" spans="16383:16383" x14ac:dyDescent="0.3">
      <c r="XFC313" s="39" t="s">
        <v>618</v>
      </c>
    </row>
    <row r="314" spans="16383:16383" x14ac:dyDescent="0.3">
      <c r="XFC314" s="39" t="s">
        <v>618</v>
      </c>
    </row>
    <row r="315" spans="16383:16383" x14ac:dyDescent="0.3">
      <c r="XFC315" s="39" t="s">
        <v>618</v>
      </c>
    </row>
    <row r="316" spans="16383:16383" x14ac:dyDescent="0.3">
      <c r="XFC316" s="39" t="s">
        <v>618</v>
      </c>
    </row>
    <row r="317" spans="16383:16383" x14ac:dyDescent="0.3">
      <c r="XFC317" s="39" t="s">
        <v>618</v>
      </c>
    </row>
    <row r="318" spans="16383:16383" x14ac:dyDescent="0.3">
      <c r="XFC318" s="39" t="s">
        <v>618</v>
      </c>
    </row>
    <row r="319" spans="16383:16383" x14ac:dyDescent="0.3">
      <c r="XFC319" s="39" t="s">
        <v>618</v>
      </c>
    </row>
    <row r="320" spans="16383:16383" x14ac:dyDescent="0.3">
      <c r="XFC320" s="39" t="s">
        <v>618</v>
      </c>
    </row>
    <row r="321" spans="16383:16383" x14ac:dyDescent="0.3">
      <c r="XFC321" s="39" t="s">
        <v>618</v>
      </c>
    </row>
    <row r="322" spans="16383:16383" x14ac:dyDescent="0.3">
      <c r="XFC322" s="39" t="s">
        <v>618</v>
      </c>
    </row>
    <row r="323" spans="16383:16383" x14ac:dyDescent="0.3">
      <c r="XFC323" s="39" t="s">
        <v>618</v>
      </c>
    </row>
    <row r="324" spans="16383:16383" x14ac:dyDescent="0.3">
      <c r="XFC324" s="39" t="s">
        <v>618</v>
      </c>
    </row>
    <row r="325" spans="16383:16383" x14ac:dyDescent="0.3">
      <c r="XFC325" s="39" t="s">
        <v>618</v>
      </c>
    </row>
    <row r="326" spans="16383:16383" x14ac:dyDescent="0.3">
      <c r="XFC326" s="39" t="s">
        <v>618</v>
      </c>
    </row>
    <row r="327" spans="16383:16383" x14ac:dyDescent="0.3">
      <c r="XFC327" s="39" t="s">
        <v>618</v>
      </c>
    </row>
    <row r="328" spans="16383:16383" x14ac:dyDescent="0.3">
      <c r="XFC328" s="39" t="s">
        <v>618</v>
      </c>
    </row>
    <row r="329" spans="16383:16383" x14ac:dyDescent="0.3">
      <c r="XFC329" s="39" t="s">
        <v>618</v>
      </c>
    </row>
    <row r="330" spans="16383:16383" x14ac:dyDescent="0.3">
      <c r="XFC330" s="39" t="s">
        <v>618</v>
      </c>
    </row>
    <row r="331" spans="16383:16383" x14ac:dyDescent="0.3">
      <c r="XFC331" s="39" t="s">
        <v>618</v>
      </c>
    </row>
    <row r="332" spans="16383:16383" x14ac:dyDescent="0.3">
      <c r="XFC332" s="39" t="s">
        <v>618</v>
      </c>
    </row>
    <row r="333" spans="16383:16383" x14ac:dyDescent="0.3">
      <c r="XFC333" s="39" t="s">
        <v>618</v>
      </c>
    </row>
    <row r="334" spans="16383:16383" x14ac:dyDescent="0.3">
      <c r="XFC334" s="39" t="s">
        <v>618</v>
      </c>
    </row>
    <row r="335" spans="16383:16383" x14ac:dyDescent="0.3">
      <c r="XFC335" s="39" t="s">
        <v>618</v>
      </c>
    </row>
    <row r="336" spans="16383:16383" x14ac:dyDescent="0.3">
      <c r="XFC336" s="39" t="s">
        <v>618</v>
      </c>
    </row>
    <row r="337" spans="16383:16383" x14ac:dyDescent="0.3">
      <c r="XFC337" s="39" t="s">
        <v>618</v>
      </c>
    </row>
    <row r="338" spans="16383:16383" x14ac:dyDescent="0.3">
      <c r="XFC338" s="39" t="s">
        <v>618</v>
      </c>
    </row>
    <row r="339" spans="16383:16383" x14ac:dyDescent="0.3">
      <c r="XFC339" s="39" t="s">
        <v>618</v>
      </c>
    </row>
    <row r="340" spans="16383:16383" x14ac:dyDescent="0.3">
      <c r="XFC340" s="39" t="s">
        <v>618</v>
      </c>
    </row>
    <row r="341" spans="16383:16383" x14ac:dyDescent="0.3">
      <c r="XFC341" s="39" t="s">
        <v>618</v>
      </c>
    </row>
    <row r="342" spans="16383:16383" x14ac:dyDescent="0.3">
      <c r="XFC342" s="39" t="s">
        <v>618</v>
      </c>
    </row>
    <row r="343" spans="16383:16383" x14ac:dyDescent="0.3">
      <c r="XFC343" s="39" t="s">
        <v>618</v>
      </c>
    </row>
    <row r="344" spans="16383:16383" x14ac:dyDescent="0.3">
      <c r="XFC344" s="39" t="s">
        <v>618</v>
      </c>
    </row>
    <row r="345" spans="16383:16383" x14ac:dyDescent="0.3">
      <c r="XFC345" s="39" t="s">
        <v>618</v>
      </c>
    </row>
    <row r="346" spans="16383:16383" x14ac:dyDescent="0.3">
      <c r="XFC346" s="39" t="s">
        <v>618</v>
      </c>
    </row>
    <row r="347" spans="16383:16383" x14ac:dyDescent="0.3">
      <c r="XFC347" s="39" t="s">
        <v>618</v>
      </c>
    </row>
    <row r="348" spans="16383:16383" x14ac:dyDescent="0.3">
      <c r="XFC348" s="39" t="s">
        <v>618</v>
      </c>
    </row>
    <row r="349" spans="16383:16383" x14ac:dyDescent="0.3">
      <c r="XFC349" s="39" t="s">
        <v>618</v>
      </c>
    </row>
    <row r="350" spans="16383:16383" x14ac:dyDescent="0.3">
      <c r="XFC350" s="39" t="s">
        <v>618</v>
      </c>
    </row>
    <row r="351" spans="16383:16383" x14ac:dyDescent="0.3">
      <c r="XFC351" s="39" t="s">
        <v>618</v>
      </c>
    </row>
    <row r="352" spans="16383:16383" x14ac:dyDescent="0.3">
      <c r="XFC352" s="39" t="s">
        <v>618</v>
      </c>
    </row>
    <row r="353" spans="16383:16383" x14ac:dyDescent="0.3">
      <c r="XFC353" s="39" t="s">
        <v>618</v>
      </c>
    </row>
    <row r="354" spans="16383:16383" x14ac:dyDescent="0.3">
      <c r="XFC354" s="39" t="s">
        <v>618</v>
      </c>
    </row>
    <row r="355" spans="16383:16383" x14ac:dyDescent="0.3">
      <c r="XFC355" s="39" t="s">
        <v>618</v>
      </c>
    </row>
    <row r="356" spans="16383:16383" x14ac:dyDescent="0.3">
      <c r="XFC356" s="39" t="s">
        <v>618</v>
      </c>
    </row>
    <row r="357" spans="16383:16383" x14ac:dyDescent="0.3">
      <c r="XFC357" s="39" t="s">
        <v>618</v>
      </c>
    </row>
    <row r="358" spans="16383:16383" x14ac:dyDescent="0.3">
      <c r="XFC358" s="39" t="s">
        <v>618</v>
      </c>
    </row>
    <row r="359" spans="16383:16383" x14ac:dyDescent="0.3">
      <c r="XFC359" s="39" t="s">
        <v>618</v>
      </c>
    </row>
    <row r="360" spans="16383:16383" x14ac:dyDescent="0.3">
      <c r="XFC360" s="39" t="s">
        <v>618</v>
      </c>
    </row>
    <row r="361" spans="16383:16383" x14ac:dyDescent="0.3">
      <c r="XFC361" s="39" t="s">
        <v>618</v>
      </c>
    </row>
    <row r="362" spans="16383:16383" x14ac:dyDescent="0.3">
      <c r="XFC362" s="39" t="s">
        <v>618</v>
      </c>
    </row>
    <row r="363" spans="16383:16383" x14ac:dyDescent="0.3">
      <c r="XFC363" s="39" t="s">
        <v>618</v>
      </c>
    </row>
    <row r="364" spans="16383:16383" x14ac:dyDescent="0.3">
      <c r="XFC364" s="39" t="s">
        <v>618</v>
      </c>
    </row>
    <row r="365" spans="16383:16383" x14ac:dyDescent="0.3">
      <c r="XFC365" s="39" t="s">
        <v>618</v>
      </c>
    </row>
    <row r="366" spans="16383:16383" x14ac:dyDescent="0.3">
      <c r="XFC366" s="39" t="s">
        <v>618</v>
      </c>
    </row>
    <row r="367" spans="16383:16383" x14ac:dyDescent="0.3">
      <c r="XFC367" s="39" t="s">
        <v>618</v>
      </c>
    </row>
    <row r="368" spans="16383:16383" x14ac:dyDescent="0.3">
      <c r="XFC368" s="39" t="s">
        <v>618</v>
      </c>
    </row>
    <row r="369" spans="16383:16383" x14ac:dyDescent="0.3">
      <c r="XFC369" s="39" t="s">
        <v>618</v>
      </c>
    </row>
    <row r="370" spans="16383:16383" x14ac:dyDescent="0.3">
      <c r="XFC370" s="39" t="s">
        <v>618</v>
      </c>
    </row>
    <row r="371" spans="16383:16383" x14ac:dyDescent="0.3">
      <c r="XFC371" s="39" t="s">
        <v>618</v>
      </c>
    </row>
    <row r="372" spans="16383:16383" x14ac:dyDescent="0.3">
      <c r="XFC372" s="39" t="s">
        <v>618</v>
      </c>
    </row>
    <row r="373" spans="16383:16383" x14ac:dyDescent="0.3">
      <c r="XFC373" s="39" t="s">
        <v>618</v>
      </c>
    </row>
    <row r="374" spans="16383:16383" x14ac:dyDescent="0.3">
      <c r="XFC374" s="39" t="s">
        <v>618</v>
      </c>
    </row>
    <row r="375" spans="16383:16383" x14ac:dyDescent="0.3">
      <c r="XFC375" s="39" t="s">
        <v>618</v>
      </c>
    </row>
    <row r="376" spans="16383:16383" x14ac:dyDescent="0.3">
      <c r="XFC376" s="39" t="s">
        <v>618</v>
      </c>
    </row>
    <row r="377" spans="16383:16383" x14ac:dyDescent="0.3">
      <c r="XFC377" s="39" t="s">
        <v>618</v>
      </c>
    </row>
    <row r="378" spans="16383:16383" x14ac:dyDescent="0.3">
      <c r="XFC378" s="39" t="s">
        <v>618</v>
      </c>
    </row>
    <row r="379" spans="16383:16383" x14ac:dyDescent="0.3">
      <c r="XFC379" s="39" t="s">
        <v>618</v>
      </c>
    </row>
    <row r="380" spans="16383:16383" x14ac:dyDescent="0.3">
      <c r="XFC380" s="39" t="s">
        <v>618</v>
      </c>
    </row>
    <row r="381" spans="16383:16383" x14ac:dyDescent="0.3">
      <c r="XFC381" s="39" t="s">
        <v>618</v>
      </c>
    </row>
    <row r="382" spans="16383:16383" x14ac:dyDescent="0.3">
      <c r="XFC382" s="39" t="s">
        <v>618</v>
      </c>
    </row>
    <row r="383" spans="16383:16383" x14ac:dyDescent="0.3">
      <c r="XFC383" s="39" t="s">
        <v>618</v>
      </c>
    </row>
    <row r="384" spans="16383:16383" x14ac:dyDescent="0.3">
      <c r="XFC384" s="39" t="s">
        <v>618</v>
      </c>
    </row>
    <row r="385" spans="16383:16383" x14ac:dyDescent="0.3">
      <c r="XFC385" s="39" t="s">
        <v>618</v>
      </c>
    </row>
    <row r="386" spans="16383:16383" x14ac:dyDescent="0.3">
      <c r="XFC386" s="39" t="s">
        <v>618</v>
      </c>
    </row>
    <row r="387" spans="16383:16383" x14ac:dyDescent="0.3">
      <c r="XFC387" s="39" t="s">
        <v>618</v>
      </c>
    </row>
    <row r="388" spans="16383:16383" x14ac:dyDescent="0.3">
      <c r="XFC388" s="39" t="s">
        <v>618</v>
      </c>
    </row>
    <row r="389" spans="16383:16383" x14ac:dyDescent="0.3">
      <c r="XFC389" s="39" t="s">
        <v>618</v>
      </c>
    </row>
    <row r="390" spans="16383:16383" x14ac:dyDescent="0.3">
      <c r="XFC390" s="39" t="s">
        <v>618</v>
      </c>
    </row>
    <row r="391" spans="16383:16383" x14ac:dyDescent="0.3">
      <c r="XFC391" s="39" t="s">
        <v>618</v>
      </c>
    </row>
    <row r="392" spans="16383:16383" x14ac:dyDescent="0.3">
      <c r="XFC392" s="39" t="s">
        <v>618</v>
      </c>
    </row>
    <row r="393" spans="16383:16383" x14ac:dyDescent="0.3">
      <c r="XFC393" s="39" t="s">
        <v>618</v>
      </c>
    </row>
    <row r="394" spans="16383:16383" x14ac:dyDescent="0.3">
      <c r="XFC394" s="39" t="s">
        <v>618</v>
      </c>
    </row>
    <row r="395" spans="16383:16383" x14ac:dyDescent="0.3">
      <c r="XFC395" s="39" t="s">
        <v>618</v>
      </c>
    </row>
    <row r="396" spans="16383:16383" x14ac:dyDescent="0.3">
      <c r="XFC396" s="39" t="s">
        <v>618</v>
      </c>
    </row>
    <row r="397" spans="16383:16383" x14ac:dyDescent="0.3">
      <c r="XFC397" s="39" t="s">
        <v>618</v>
      </c>
    </row>
    <row r="398" spans="16383:16383" x14ac:dyDescent="0.3">
      <c r="XFC398" s="39" t="s">
        <v>618</v>
      </c>
    </row>
    <row r="399" spans="16383:16383" x14ac:dyDescent="0.3">
      <c r="XFC399" s="39" t="s">
        <v>618</v>
      </c>
    </row>
    <row r="400" spans="16383:16383" x14ac:dyDescent="0.3">
      <c r="XFC400" s="39" t="s">
        <v>618</v>
      </c>
    </row>
    <row r="401" spans="16383:16383" x14ac:dyDescent="0.3">
      <c r="XFC401" s="39" t="s">
        <v>618</v>
      </c>
    </row>
    <row r="402" spans="16383:16383" x14ac:dyDescent="0.3">
      <c r="XFC402" s="39" t="s">
        <v>618</v>
      </c>
    </row>
    <row r="403" spans="16383:16383" x14ac:dyDescent="0.3">
      <c r="XFC403" s="39" t="s">
        <v>618</v>
      </c>
    </row>
    <row r="404" spans="16383:16383" x14ac:dyDescent="0.3">
      <c r="XFC404" s="39" t="s">
        <v>618</v>
      </c>
    </row>
    <row r="405" spans="16383:16383" x14ac:dyDescent="0.3">
      <c r="XFC405" s="39" t="s">
        <v>618</v>
      </c>
    </row>
    <row r="406" spans="16383:16383" x14ac:dyDescent="0.3">
      <c r="XFC406" s="39" t="s">
        <v>618</v>
      </c>
    </row>
    <row r="407" spans="16383:16383" x14ac:dyDescent="0.3">
      <c r="XFC407" s="39" t="s">
        <v>618</v>
      </c>
    </row>
    <row r="408" spans="16383:16383" x14ac:dyDescent="0.3">
      <c r="XFC408" s="39" t="s">
        <v>618</v>
      </c>
    </row>
    <row r="409" spans="16383:16383" x14ac:dyDescent="0.3">
      <c r="XFC409" s="39" t="s">
        <v>618</v>
      </c>
    </row>
    <row r="410" spans="16383:16383" x14ac:dyDescent="0.3">
      <c r="XFC410" s="39" t="s">
        <v>618</v>
      </c>
    </row>
    <row r="411" spans="16383:16383" x14ac:dyDescent="0.3">
      <c r="XFC411" s="39" t="s">
        <v>618</v>
      </c>
    </row>
    <row r="412" spans="16383:16383" x14ac:dyDescent="0.3">
      <c r="XFC412" s="39" t="s">
        <v>618</v>
      </c>
    </row>
    <row r="413" spans="16383:16383" x14ac:dyDescent="0.3">
      <c r="XFC413" s="39" t="s">
        <v>618</v>
      </c>
    </row>
    <row r="414" spans="16383:16383" x14ac:dyDescent="0.3">
      <c r="XFC414" s="39" t="s">
        <v>618</v>
      </c>
    </row>
    <row r="415" spans="16383:16383" x14ac:dyDescent="0.3">
      <c r="XFC415" s="39" t="s">
        <v>618</v>
      </c>
    </row>
    <row r="416" spans="16383:16383" x14ac:dyDescent="0.3">
      <c r="XFC416" s="39" t="s">
        <v>618</v>
      </c>
    </row>
    <row r="417" spans="16383:16383" x14ac:dyDescent="0.3">
      <c r="XFC417" s="39" t="s">
        <v>618</v>
      </c>
    </row>
    <row r="418" spans="16383:16383" x14ac:dyDescent="0.3">
      <c r="XFC418" s="39" t="s">
        <v>618</v>
      </c>
    </row>
    <row r="419" spans="16383:16383" x14ac:dyDescent="0.3">
      <c r="XFC419" s="39" t="s">
        <v>618</v>
      </c>
    </row>
    <row r="420" spans="16383:16383" x14ac:dyDescent="0.3">
      <c r="XFC420" s="39" t="s">
        <v>618</v>
      </c>
    </row>
    <row r="421" spans="16383:16383" x14ac:dyDescent="0.3">
      <c r="XFC421" s="39" t="s">
        <v>618</v>
      </c>
    </row>
    <row r="422" spans="16383:16383" x14ac:dyDescent="0.3">
      <c r="XFC422" s="39" t="s">
        <v>618</v>
      </c>
    </row>
    <row r="423" spans="16383:16383" x14ac:dyDescent="0.3">
      <c r="XFC423" s="39" t="s">
        <v>618</v>
      </c>
    </row>
    <row r="424" spans="16383:16383" x14ac:dyDescent="0.3">
      <c r="XFC424" s="39" t="s">
        <v>618</v>
      </c>
    </row>
    <row r="425" spans="16383:16383" x14ac:dyDescent="0.3">
      <c r="XFC425" s="39" t="s">
        <v>618</v>
      </c>
    </row>
    <row r="426" spans="16383:16383" x14ac:dyDescent="0.3">
      <c r="XFC426" s="39" t="s">
        <v>618</v>
      </c>
    </row>
    <row r="427" spans="16383:16383" x14ac:dyDescent="0.3">
      <c r="XFC427" s="39" t="s">
        <v>618</v>
      </c>
    </row>
    <row r="428" spans="16383:16383" x14ac:dyDescent="0.3">
      <c r="XFC428" s="39" t="s">
        <v>618</v>
      </c>
    </row>
    <row r="429" spans="16383:16383" x14ac:dyDescent="0.3">
      <c r="XFC429" s="39" t="s">
        <v>618</v>
      </c>
    </row>
    <row r="430" spans="16383:16383" x14ac:dyDescent="0.3">
      <c r="XFC430" s="39" t="s">
        <v>618</v>
      </c>
    </row>
    <row r="431" spans="16383:16383" x14ac:dyDescent="0.3">
      <c r="XFC431" s="39" t="s">
        <v>618</v>
      </c>
    </row>
    <row r="432" spans="16383:16383" x14ac:dyDescent="0.3">
      <c r="XFC432" s="39" t="s">
        <v>618</v>
      </c>
    </row>
    <row r="433" spans="16383:16383" x14ac:dyDescent="0.3">
      <c r="XFC433" s="39" t="s">
        <v>618</v>
      </c>
    </row>
    <row r="434" spans="16383:16383" x14ac:dyDescent="0.3">
      <c r="XFC434" s="39" t="s">
        <v>618</v>
      </c>
    </row>
    <row r="435" spans="16383:16383" x14ac:dyDescent="0.3">
      <c r="XFC435" s="39" t="s">
        <v>618</v>
      </c>
    </row>
    <row r="436" spans="16383:16383" x14ac:dyDescent="0.3">
      <c r="XFC436" s="39" t="s">
        <v>618</v>
      </c>
    </row>
    <row r="437" spans="16383:16383" x14ac:dyDescent="0.3">
      <c r="XFC437" s="39" t="s">
        <v>618</v>
      </c>
    </row>
    <row r="438" spans="16383:16383" x14ac:dyDescent="0.3">
      <c r="XFC438" s="39" t="s">
        <v>618</v>
      </c>
    </row>
    <row r="439" spans="16383:16383" x14ac:dyDescent="0.3">
      <c r="XFC439" s="39" t="s">
        <v>618</v>
      </c>
    </row>
    <row r="440" spans="16383:16383" x14ac:dyDescent="0.3">
      <c r="XFC440" s="39" t="s">
        <v>618</v>
      </c>
    </row>
    <row r="441" spans="16383:16383" x14ac:dyDescent="0.3">
      <c r="XFC441" s="39" t="s">
        <v>618</v>
      </c>
    </row>
    <row r="442" spans="16383:16383" x14ac:dyDescent="0.3">
      <c r="XFC442" s="39" t="s">
        <v>618</v>
      </c>
    </row>
    <row r="443" spans="16383:16383" x14ac:dyDescent="0.3">
      <c r="XFC443" s="39" t="s">
        <v>618</v>
      </c>
    </row>
    <row r="444" spans="16383:16383" x14ac:dyDescent="0.3">
      <c r="XFC444" s="39" t="s">
        <v>618</v>
      </c>
    </row>
    <row r="445" spans="16383:16383" x14ac:dyDescent="0.3">
      <c r="XFC445" s="39" t="s">
        <v>618</v>
      </c>
    </row>
    <row r="446" spans="16383:16383" x14ac:dyDescent="0.3">
      <c r="XFC446" s="39" t="s">
        <v>618</v>
      </c>
    </row>
    <row r="447" spans="16383:16383" x14ac:dyDescent="0.3">
      <c r="XFC447" s="39" t="s">
        <v>618</v>
      </c>
    </row>
    <row r="448" spans="16383:16383" x14ac:dyDescent="0.3">
      <c r="XFC448" s="39" t="s">
        <v>618</v>
      </c>
    </row>
    <row r="449" spans="16383:16383" x14ac:dyDescent="0.3">
      <c r="XFC449" s="39" t="s">
        <v>618</v>
      </c>
    </row>
    <row r="450" spans="16383:16383" x14ac:dyDescent="0.3">
      <c r="XFC450" s="39" t="s">
        <v>618</v>
      </c>
    </row>
    <row r="451" spans="16383:16383" x14ac:dyDescent="0.3">
      <c r="XFC451" s="39" t="s">
        <v>618</v>
      </c>
    </row>
    <row r="452" spans="16383:16383" x14ac:dyDescent="0.3">
      <c r="XFC452" s="39" t="s">
        <v>618</v>
      </c>
    </row>
    <row r="453" spans="16383:16383" x14ac:dyDescent="0.3">
      <c r="XFC453" s="39" t="s">
        <v>618</v>
      </c>
    </row>
    <row r="454" spans="16383:16383" x14ac:dyDescent="0.3">
      <c r="XFC454" s="39" t="s">
        <v>618</v>
      </c>
    </row>
    <row r="455" spans="16383:16383" x14ac:dyDescent="0.3">
      <c r="XFC455" s="39" t="s">
        <v>618</v>
      </c>
    </row>
    <row r="456" spans="16383:16383" x14ac:dyDescent="0.3">
      <c r="XFC456" s="39" t="s">
        <v>618</v>
      </c>
    </row>
    <row r="457" spans="16383:16383" x14ac:dyDescent="0.3">
      <c r="XFC457" s="39" t="s">
        <v>618</v>
      </c>
    </row>
    <row r="458" spans="16383:16383" x14ac:dyDescent="0.3">
      <c r="XFC458" s="39" t="s">
        <v>618</v>
      </c>
    </row>
    <row r="459" spans="16383:16383" x14ac:dyDescent="0.3">
      <c r="XFC459" s="39" t="s">
        <v>618</v>
      </c>
    </row>
    <row r="460" spans="16383:16383" x14ac:dyDescent="0.3">
      <c r="XFC460" s="39" t="s">
        <v>618</v>
      </c>
    </row>
    <row r="461" spans="16383:16383" x14ac:dyDescent="0.3">
      <c r="XFC461" s="39" t="s">
        <v>618</v>
      </c>
    </row>
    <row r="462" spans="16383:16383" x14ac:dyDescent="0.3">
      <c r="XFC462" s="39" t="s">
        <v>618</v>
      </c>
    </row>
    <row r="463" spans="16383:16383" x14ac:dyDescent="0.3">
      <c r="XFC463" s="39" t="s">
        <v>618</v>
      </c>
    </row>
    <row r="464" spans="16383:16383" x14ac:dyDescent="0.3">
      <c r="XFC464" s="39" t="s">
        <v>618</v>
      </c>
    </row>
    <row r="465" spans="16383:16383" x14ac:dyDescent="0.3">
      <c r="XFC465" s="39" t="s">
        <v>618</v>
      </c>
    </row>
    <row r="466" spans="16383:16383" x14ac:dyDescent="0.3">
      <c r="XFC466" s="39" t="s">
        <v>618</v>
      </c>
    </row>
    <row r="467" spans="16383:16383" x14ac:dyDescent="0.3">
      <c r="XFC467" s="39" t="s">
        <v>618</v>
      </c>
    </row>
    <row r="468" spans="16383:16383" x14ac:dyDescent="0.3">
      <c r="XFC468" s="39" t="s">
        <v>618</v>
      </c>
    </row>
    <row r="469" spans="16383:16383" x14ac:dyDescent="0.3">
      <c r="XFC469" s="39" t="s">
        <v>618</v>
      </c>
    </row>
    <row r="470" spans="16383:16383" x14ac:dyDescent="0.3">
      <c r="XFC470" s="39" t="s">
        <v>618</v>
      </c>
    </row>
    <row r="471" spans="16383:16383" x14ac:dyDescent="0.3">
      <c r="XFC471" s="39" t="s">
        <v>618</v>
      </c>
    </row>
    <row r="472" spans="16383:16383" x14ac:dyDescent="0.3">
      <c r="XFC472" s="39" t="s">
        <v>618</v>
      </c>
    </row>
    <row r="473" spans="16383:16383" x14ac:dyDescent="0.3">
      <c r="XFC473" s="39" t="s">
        <v>618</v>
      </c>
    </row>
    <row r="474" spans="16383:16383" x14ac:dyDescent="0.3">
      <c r="XFC474" s="39" t="s">
        <v>618</v>
      </c>
    </row>
    <row r="475" spans="16383:16383" x14ac:dyDescent="0.3">
      <c r="XFC475" s="39" t="s">
        <v>618</v>
      </c>
    </row>
    <row r="476" spans="16383:16383" x14ac:dyDescent="0.3">
      <c r="XFC476" s="39" t="s">
        <v>618</v>
      </c>
    </row>
    <row r="477" spans="16383:16383" x14ac:dyDescent="0.3">
      <c r="XFC477" s="39" t="s">
        <v>618</v>
      </c>
    </row>
    <row r="478" spans="16383:16383" x14ac:dyDescent="0.3">
      <c r="XFC478" s="39" t="s">
        <v>618</v>
      </c>
    </row>
    <row r="479" spans="16383:16383" x14ac:dyDescent="0.3">
      <c r="XFC479" s="39" t="s">
        <v>618</v>
      </c>
    </row>
    <row r="480" spans="16383:16383" x14ac:dyDescent="0.3">
      <c r="XFC480" s="39" t="s">
        <v>618</v>
      </c>
    </row>
    <row r="481" spans="16383:16383" x14ac:dyDescent="0.3">
      <c r="XFC481" s="39" t="s">
        <v>618</v>
      </c>
    </row>
    <row r="482" spans="16383:16383" x14ac:dyDescent="0.3">
      <c r="XFC482" s="39" t="s">
        <v>618</v>
      </c>
    </row>
    <row r="483" spans="16383:16383" x14ac:dyDescent="0.3">
      <c r="XFC483" s="39" t="s">
        <v>618</v>
      </c>
    </row>
    <row r="484" spans="16383:16383" x14ac:dyDescent="0.3">
      <c r="XFC484" s="39" t="s">
        <v>618</v>
      </c>
    </row>
    <row r="485" spans="16383:16383" x14ac:dyDescent="0.3">
      <c r="XFC485" s="39" t="s">
        <v>618</v>
      </c>
    </row>
    <row r="486" spans="16383:16383" x14ac:dyDescent="0.3">
      <c r="XFC486" s="39" t="s">
        <v>618</v>
      </c>
    </row>
    <row r="487" spans="16383:16383" x14ac:dyDescent="0.3">
      <c r="XFC487" s="39" t="s">
        <v>618</v>
      </c>
    </row>
    <row r="488" spans="16383:16383" x14ac:dyDescent="0.3">
      <c r="XFC488" s="39" t="s">
        <v>618</v>
      </c>
    </row>
    <row r="489" spans="16383:16383" x14ac:dyDescent="0.3">
      <c r="XFC489" s="39" t="s">
        <v>618</v>
      </c>
    </row>
    <row r="490" spans="16383:16383" x14ac:dyDescent="0.3">
      <c r="XFC490" s="39" t="s">
        <v>618</v>
      </c>
    </row>
    <row r="491" spans="16383:16383" x14ac:dyDescent="0.3">
      <c r="XFC491" s="39" t="s">
        <v>618</v>
      </c>
    </row>
    <row r="492" spans="16383:16383" x14ac:dyDescent="0.3">
      <c r="XFC492" s="39" t="s">
        <v>618</v>
      </c>
    </row>
    <row r="493" spans="16383:16383" x14ac:dyDescent="0.3">
      <c r="XFC493" s="39" t="s">
        <v>618</v>
      </c>
    </row>
    <row r="494" spans="16383:16383" x14ac:dyDescent="0.3">
      <c r="XFC494" s="39" t="s">
        <v>618</v>
      </c>
    </row>
    <row r="495" spans="16383:16383" x14ac:dyDescent="0.3">
      <c r="XFC495" s="39" t="s">
        <v>618</v>
      </c>
    </row>
    <row r="496" spans="16383:16383" x14ac:dyDescent="0.3">
      <c r="XFC496" s="39" t="s">
        <v>618</v>
      </c>
    </row>
    <row r="497" spans="16383:16383" x14ac:dyDescent="0.3">
      <c r="XFC497" s="39" t="s">
        <v>618</v>
      </c>
    </row>
    <row r="498" spans="16383:16383" x14ac:dyDescent="0.3">
      <c r="XFC498" s="39" t="s">
        <v>618</v>
      </c>
    </row>
    <row r="499" spans="16383:16383" x14ac:dyDescent="0.3">
      <c r="XFC499" s="39" t="s">
        <v>618</v>
      </c>
    </row>
    <row r="500" spans="16383:16383" x14ac:dyDescent="0.3">
      <c r="XFC500" s="39" t="s">
        <v>618</v>
      </c>
    </row>
    <row r="501" spans="16383:16383" x14ac:dyDescent="0.3">
      <c r="XFC501" s="39" t="s">
        <v>618</v>
      </c>
    </row>
    <row r="502" spans="16383:16383" x14ac:dyDescent="0.3">
      <c r="XFC502" s="39" t="s">
        <v>618</v>
      </c>
    </row>
    <row r="503" spans="16383:16383" x14ac:dyDescent="0.3">
      <c r="XFC503" s="39" t="s">
        <v>618</v>
      </c>
    </row>
    <row r="504" spans="16383:16383" x14ac:dyDescent="0.3">
      <c r="XFC504" s="39" t="s">
        <v>618</v>
      </c>
    </row>
    <row r="505" spans="16383:16383" x14ac:dyDescent="0.3">
      <c r="XFC505" s="39" t="s">
        <v>618</v>
      </c>
    </row>
    <row r="506" spans="16383:16383" x14ac:dyDescent="0.3">
      <c r="XFC506" s="39" t="s">
        <v>618</v>
      </c>
    </row>
    <row r="507" spans="16383:16383" x14ac:dyDescent="0.3">
      <c r="XFC507" s="39" t="s">
        <v>618</v>
      </c>
    </row>
    <row r="508" spans="16383:16383" x14ac:dyDescent="0.3">
      <c r="XFC508" s="39" t="s">
        <v>618</v>
      </c>
    </row>
    <row r="509" spans="16383:16383" x14ac:dyDescent="0.3">
      <c r="XFC509" s="39" t="s">
        <v>618</v>
      </c>
    </row>
    <row r="510" spans="16383:16383" x14ac:dyDescent="0.3">
      <c r="XFC510" s="39" t="s">
        <v>618</v>
      </c>
    </row>
    <row r="511" spans="16383:16383" x14ac:dyDescent="0.3">
      <c r="XFC511" s="39" t="s">
        <v>618</v>
      </c>
    </row>
    <row r="512" spans="16383:16383" x14ac:dyDescent="0.3">
      <c r="XFC512" s="39" t="s">
        <v>618</v>
      </c>
    </row>
    <row r="513" spans="16383:16383" x14ac:dyDescent="0.3">
      <c r="XFC513" s="39" t="s">
        <v>618</v>
      </c>
    </row>
    <row r="514" spans="16383:16383" x14ac:dyDescent="0.3">
      <c r="XFC514" s="39" t="s">
        <v>618</v>
      </c>
    </row>
    <row r="515" spans="16383:16383" x14ac:dyDescent="0.3">
      <c r="XFC515" s="39" t="s">
        <v>618</v>
      </c>
    </row>
    <row r="516" spans="16383:16383" x14ac:dyDescent="0.3">
      <c r="XFC516" s="39" t="s">
        <v>618</v>
      </c>
    </row>
    <row r="517" spans="16383:16383" x14ac:dyDescent="0.3">
      <c r="XFC517" s="39" t="s">
        <v>618</v>
      </c>
    </row>
    <row r="518" spans="16383:16383" x14ac:dyDescent="0.3">
      <c r="XFC518" s="39" t="s">
        <v>618</v>
      </c>
    </row>
    <row r="519" spans="16383:16383" x14ac:dyDescent="0.3">
      <c r="XFC519" s="39" t="s">
        <v>618</v>
      </c>
    </row>
    <row r="520" spans="16383:16383" x14ac:dyDescent="0.3">
      <c r="XFC520" s="39" t="s">
        <v>618</v>
      </c>
    </row>
    <row r="521" spans="16383:16383" x14ac:dyDescent="0.3">
      <c r="XFC521" s="39" t="s">
        <v>618</v>
      </c>
    </row>
    <row r="522" spans="16383:16383" x14ac:dyDescent="0.3">
      <c r="XFC522" s="39" t="s">
        <v>618</v>
      </c>
    </row>
    <row r="523" spans="16383:16383" x14ac:dyDescent="0.3">
      <c r="XFC523" s="39" t="s">
        <v>618</v>
      </c>
    </row>
    <row r="524" spans="16383:16383" x14ac:dyDescent="0.3">
      <c r="XFC524" s="39" t="s">
        <v>618</v>
      </c>
    </row>
    <row r="525" spans="16383:16383" x14ac:dyDescent="0.3">
      <c r="XFC525" s="39" t="s">
        <v>618</v>
      </c>
    </row>
    <row r="526" spans="16383:16383" x14ac:dyDescent="0.3">
      <c r="XFC526" s="39" t="s">
        <v>618</v>
      </c>
    </row>
    <row r="527" spans="16383:16383" x14ac:dyDescent="0.3">
      <c r="XFC527" s="39" t="s">
        <v>618</v>
      </c>
    </row>
    <row r="528" spans="16383:16383" x14ac:dyDescent="0.3">
      <c r="XFC528" s="39" t="s">
        <v>618</v>
      </c>
    </row>
    <row r="529" spans="16383:16383" x14ac:dyDescent="0.3">
      <c r="XFC529" s="39" t="s">
        <v>618</v>
      </c>
    </row>
    <row r="530" spans="16383:16383" x14ac:dyDescent="0.3">
      <c r="XFC530" s="39" t="s">
        <v>618</v>
      </c>
    </row>
    <row r="531" spans="16383:16383" x14ac:dyDescent="0.3">
      <c r="XFC531" s="39" t="s">
        <v>618</v>
      </c>
    </row>
    <row r="532" spans="16383:16383" x14ac:dyDescent="0.3">
      <c r="XFC532" s="39" t="s">
        <v>618</v>
      </c>
    </row>
    <row r="533" spans="16383:16383" x14ac:dyDescent="0.3">
      <c r="XFC533" s="39" t="s">
        <v>618</v>
      </c>
    </row>
    <row r="534" spans="16383:16383" x14ac:dyDescent="0.3">
      <c r="XFC534" s="39" t="s">
        <v>618</v>
      </c>
    </row>
    <row r="535" spans="16383:16383" x14ac:dyDescent="0.3">
      <c r="XFC535" s="39" t="s">
        <v>618</v>
      </c>
    </row>
    <row r="536" spans="16383:16383" x14ac:dyDescent="0.3">
      <c r="XFC536" s="39" t="s">
        <v>618</v>
      </c>
    </row>
    <row r="537" spans="16383:16383" x14ac:dyDescent="0.3">
      <c r="XFC537" s="39" t="s">
        <v>618</v>
      </c>
    </row>
    <row r="538" spans="16383:16383" x14ac:dyDescent="0.3">
      <c r="XFC538" s="39" t="s">
        <v>618</v>
      </c>
    </row>
    <row r="539" spans="16383:16383" x14ac:dyDescent="0.3">
      <c r="XFC539" s="39" t="s">
        <v>618</v>
      </c>
    </row>
    <row r="540" spans="16383:16383" x14ac:dyDescent="0.3">
      <c r="XFC540" s="39" t="s">
        <v>618</v>
      </c>
    </row>
    <row r="541" spans="16383:16383" x14ac:dyDescent="0.3">
      <c r="XFC541" s="39" t="s">
        <v>618</v>
      </c>
    </row>
    <row r="542" spans="16383:16383" x14ac:dyDescent="0.3">
      <c r="XFC542" s="39" t="s">
        <v>618</v>
      </c>
    </row>
    <row r="543" spans="16383:16383" x14ac:dyDescent="0.3">
      <c r="XFC543" s="39" t="s">
        <v>618</v>
      </c>
    </row>
    <row r="544" spans="16383:16383" x14ac:dyDescent="0.3">
      <c r="XFC544" s="39" t="s">
        <v>618</v>
      </c>
    </row>
    <row r="545" spans="16383:16383" x14ac:dyDescent="0.3">
      <c r="XFC545" s="39" t="s">
        <v>618</v>
      </c>
    </row>
    <row r="546" spans="16383:16383" x14ac:dyDescent="0.3">
      <c r="XFC546" s="39" t="s">
        <v>618</v>
      </c>
    </row>
    <row r="547" spans="16383:16383" x14ac:dyDescent="0.3">
      <c r="XFC547" s="39" t="s">
        <v>618</v>
      </c>
    </row>
    <row r="548" spans="16383:16383" x14ac:dyDescent="0.3">
      <c r="XFC548" s="39" t="s">
        <v>618</v>
      </c>
    </row>
    <row r="549" spans="16383:16383" x14ac:dyDescent="0.3">
      <c r="XFC549" s="39" t="s">
        <v>618</v>
      </c>
    </row>
    <row r="550" spans="16383:16383" x14ac:dyDescent="0.3">
      <c r="XFC550" s="39" t="s">
        <v>618</v>
      </c>
    </row>
    <row r="551" spans="16383:16383" x14ac:dyDescent="0.3">
      <c r="XFC551" s="39" t="s">
        <v>618</v>
      </c>
    </row>
    <row r="552" spans="16383:16383" x14ac:dyDescent="0.3">
      <c r="XFC552" s="39" t="s">
        <v>618</v>
      </c>
    </row>
    <row r="553" spans="16383:16383" x14ac:dyDescent="0.3">
      <c r="XFC553" s="39" t="s">
        <v>618</v>
      </c>
    </row>
    <row r="554" spans="16383:16383" x14ac:dyDescent="0.3">
      <c r="XFC554" s="39" t="s">
        <v>618</v>
      </c>
    </row>
    <row r="555" spans="16383:16383" x14ac:dyDescent="0.3">
      <c r="XFC555" s="39" t="s">
        <v>618</v>
      </c>
    </row>
    <row r="556" spans="16383:16383" x14ac:dyDescent="0.3">
      <c r="XFC556" s="39" t="s">
        <v>618</v>
      </c>
    </row>
    <row r="557" spans="16383:16383" x14ac:dyDescent="0.3">
      <c r="XFC557" s="39" t="s">
        <v>618</v>
      </c>
    </row>
    <row r="558" spans="16383:16383" x14ac:dyDescent="0.3">
      <c r="XFC558" s="39" t="s">
        <v>618</v>
      </c>
    </row>
    <row r="559" spans="16383:16383" x14ac:dyDescent="0.3">
      <c r="XFC559" s="39" t="s">
        <v>618</v>
      </c>
    </row>
    <row r="560" spans="16383:16383" x14ac:dyDescent="0.3">
      <c r="XFC560" s="39" t="s">
        <v>618</v>
      </c>
    </row>
    <row r="561" spans="16383:16383" x14ac:dyDescent="0.3">
      <c r="XFC561" s="39" t="s">
        <v>618</v>
      </c>
    </row>
    <row r="562" spans="16383:16383" x14ac:dyDescent="0.3">
      <c r="XFC562" s="39" t="s">
        <v>618</v>
      </c>
    </row>
    <row r="563" spans="16383:16383" x14ac:dyDescent="0.3">
      <c r="XFC563" s="39" t="s">
        <v>618</v>
      </c>
    </row>
    <row r="564" spans="16383:16383" x14ac:dyDescent="0.3">
      <c r="XFC564" s="39" t="s">
        <v>618</v>
      </c>
    </row>
    <row r="565" spans="16383:16383" x14ac:dyDescent="0.3">
      <c r="XFC565" s="39" t="s">
        <v>618</v>
      </c>
    </row>
    <row r="566" spans="16383:16383" x14ac:dyDescent="0.3">
      <c r="XFC566" s="39" t="s">
        <v>618</v>
      </c>
    </row>
    <row r="567" spans="16383:16383" x14ac:dyDescent="0.3">
      <c r="XFC567" s="39" t="s">
        <v>618</v>
      </c>
    </row>
    <row r="568" spans="16383:16383" x14ac:dyDescent="0.3">
      <c r="XFC568" s="39" t="s">
        <v>618</v>
      </c>
    </row>
    <row r="569" spans="16383:16383" x14ac:dyDescent="0.3">
      <c r="XFC569" s="39" t="s">
        <v>618</v>
      </c>
    </row>
    <row r="570" spans="16383:16383" x14ac:dyDescent="0.3">
      <c r="XFC570" s="39" t="s">
        <v>618</v>
      </c>
    </row>
    <row r="571" spans="16383:16383" x14ac:dyDescent="0.3">
      <c r="XFC571" s="39" t="s">
        <v>618</v>
      </c>
    </row>
    <row r="572" spans="16383:16383" x14ac:dyDescent="0.3">
      <c r="XFC572" s="39" t="s">
        <v>618</v>
      </c>
    </row>
    <row r="573" spans="16383:16383" x14ac:dyDescent="0.3">
      <c r="XFC573" s="39" t="s">
        <v>618</v>
      </c>
    </row>
    <row r="574" spans="16383:16383" x14ac:dyDescent="0.3">
      <c r="XFC574" s="39" t="s">
        <v>618</v>
      </c>
    </row>
    <row r="575" spans="16383:16383" x14ac:dyDescent="0.3">
      <c r="XFC575" s="39" t="s">
        <v>618</v>
      </c>
    </row>
    <row r="576" spans="16383:16383" x14ac:dyDescent="0.3">
      <c r="XFC576" s="39" t="s">
        <v>618</v>
      </c>
    </row>
    <row r="577" spans="16383:16383" x14ac:dyDescent="0.3">
      <c r="XFC577" s="39" t="s">
        <v>618</v>
      </c>
    </row>
    <row r="578" spans="16383:16383" x14ac:dyDescent="0.3">
      <c r="XFC578" s="39" t="s">
        <v>618</v>
      </c>
    </row>
    <row r="579" spans="16383:16383" x14ac:dyDescent="0.3">
      <c r="XFC579" s="39" t="s">
        <v>618</v>
      </c>
    </row>
    <row r="580" spans="16383:16383" x14ac:dyDescent="0.3">
      <c r="XFC580" s="39" t="s">
        <v>618</v>
      </c>
    </row>
    <row r="581" spans="16383:16383" x14ac:dyDescent="0.3">
      <c r="XFC581" s="39" t="s">
        <v>618</v>
      </c>
    </row>
    <row r="582" spans="16383:16383" x14ac:dyDescent="0.3">
      <c r="XFC582" s="39" t="s">
        <v>618</v>
      </c>
    </row>
    <row r="583" spans="16383:16383" x14ac:dyDescent="0.3">
      <c r="XFC583" s="39" t="s">
        <v>618</v>
      </c>
    </row>
    <row r="584" spans="16383:16383" x14ac:dyDescent="0.3">
      <c r="XFC584" s="39" t="s">
        <v>618</v>
      </c>
    </row>
    <row r="585" spans="16383:16383" x14ac:dyDescent="0.3">
      <c r="XFC585" s="39" t="s">
        <v>618</v>
      </c>
    </row>
    <row r="586" spans="16383:16383" x14ac:dyDescent="0.3">
      <c r="XFC586" s="39" t="s">
        <v>618</v>
      </c>
    </row>
    <row r="587" spans="16383:16383" x14ac:dyDescent="0.3">
      <c r="XFC587" s="39" t="s">
        <v>618</v>
      </c>
    </row>
    <row r="588" spans="16383:16383" x14ac:dyDescent="0.3">
      <c r="XFC588" s="39" t="s">
        <v>618</v>
      </c>
    </row>
    <row r="589" spans="16383:16383" x14ac:dyDescent="0.3">
      <c r="XFC589" s="39" t="s">
        <v>618</v>
      </c>
    </row>
    <row r="590" spans="16383:16383" x14ac:dyDescent="0.3">
      <c r="XFC590" s="39" t="s">
        <v>618</v>
      </c>
    </row>
    <row r="591" spans="16383:16383" x14ac:dyDescent="0.3">
      <c r="XFC591" s="39" t="s">
        <v>618</v>
      </c>
    </row>
    <row r="592" spans="16383:16383" x14ac:dyDescent="0.3">
      <c r="XFC592" s="39" t="s">
        <v>618</v>
      </c>
    </row>
    <row r="593" spans="16383:16383" x14ac:dyDescent="0.3">
      <c r="XFC593" s="39" t="s">
        <v>618</v>
      </c>
    </row>
    <row r="594" spans="16383:16383" x14ac:dyDescent="0.3">
      <c r="XFC594" s="39" t="s">
        <v>618</v>
      </c>
    </row>
    <row r="595" spans="16383:16383" x14ac:dyDescent="0.3">
      <c r="XFC595" s="39" t="s">
        <v>618</v>
      </c>
    </row>
    <row r="596" spans="16383:16383" x14ac:dyDescent="0.3">
      <c r="XFC596" s="39" t="s">
        <v>618</v>
      </c>
    </row>
    <row r="597" spans="16383:16383" x14ac:dyDescent="0.3">
      <c r="XFC597" s="39" t="s">
        <v>618</v>
      </c>
    </row>
    <row r="598" spans="16383:16383" x14ac:dyDescent="0.3">
      <c r="XFC598" s="39" t="s">
        <v>618</v>
      </c>
    </row>
    <row r="599" spans="16383:16383" x14ac:dyDescent="0.3">
      <c r="XFC599" s="39" t="s">
        <v>618</v>
      </c>
    </row>
    <row r="600" spans="16383:16383" x14ac:dyDescent="0.3">
      <c r="XFC600" s="39" t="s">
        <v>618</v>
      </c>
    </row>
    <row r="601" spans="16383:16383" x14ac:dyDescent="0.3">
      <c r="XFC601" s="39" t="s">
        <v>618</v>
      </c>
    </row>
    <row r="602" spans="16383:16383" x14ac:dyDescent="0.3">
      <c r="XFC602" s="39" t="s">
        <v>618</v>
      </c>
    </row>
    <row r="603" spans="16383:16383" x14ac:dyDescent="0.3">
      <c r="XFC603" s="39" t="s">
        <v>618</v>
      </c>
    </row>
    <row r="604" spans="16383:16383" x14ac:dyDescent="0.3">
      <c r="XFC604" s="39" t="s">
        <v>618</v>
      </c>
    </row>
    <row r="605" spans="16383:16383" x14ac:dyDescent="0.3">
      <c r="XFC605" s="39" t="s">
        <v>618</v>
      </c>
    </row>
    <row r="606" spans="16383:16383" x14ac:dyDescent="0.3">
      <c r="XFC606" s="39" t="s">
        <v>618</v>
      </c>
    </row>
    <row r="607" spans="16383:16383" x14ac:dyDescent="0.3">
      <c r="XFC607" s="39" t="s">
        <v>618</v>
      </c>
    </row>
    <row r="608" spans="16383:16383" x14ac:dyDescent="0.3">
      <c r="XFC608" s="39" t="s">
        <v>618</v>
      </c>
    </row>
    <row r="609" spans="16383:16383" x14ac:dyDescent="0.3">
      <c r="XFC609" s="39" t="s">
        <v>618</v>
      </c>
    </row>
    <row r="610" spans="16383:16383" x14ac:dyDescent="0.3">
      <c r="XFC610" s="39" t="s">
        <v>618</v>
      </c>
    </row>
    <row r="611" spans="16383:16383" x14ac:dyDescent="0.3">
      <c r="XFC611" s="39" t="s">
        <v>618</v>
      </c>
    </row>
    <row r="612" spans="16383:16383" x14ac:dyDescent="0.3">
      <c r="XFC612" s="39" t="s">
        <v>618</v>
      </c>
    </row>
    <row r="613" spans="16383:16383" x14ac:dyDescent="0.3">
      <c r="XFC613" s="39" t="s">
        <v>618</v>
      </c>
    </row>
    <row r="614" spans="16383:16383" x14ac:dyDescent="0.3">
      <c r="XFC614" s="39" t="s">
        <v>618</v>
      </c>
    </row>
    <row r="615" spans="16383:16383" x14ac:dyDescent="0.3">
      <c r="XFC615" s="39" t="s">
        <v>618</v>
      </c>
    </row>
    <row r="616" spans="16383:16383" x14ac:dyDescent="0.3">
      <c r="XFC616" s="39" t="s">
        <v>618</v>
      </c>
    </row>
    <row r="617" spans="16383:16383" x14ac:dyDescent="0.3">
      <c r="XFC617" s="39" t="s">
        <v>618</v>
      </c>
    </row>
    <row r="618" spans="16383:16383" x14ac:dyDescent="0.3">
      <c r="XFC618" s="39" t="s">
        <v>618</v>
      </c>
    </row>
    <row r="619" spans="16383:16383" x14ac:dyDescent="0.3">
      <c r="XFC619" s="39" t="s">
        <v>618</v>
      </c>
    </row>
    <row r="620" spans="16383:16383" x14ac:dyDescent="0.3">
      <c r="XFC620" s="39" t="s">
        <v>618</v>
      </c>
    </row>
    <row r="621" spans="16383:16383" x14ac:dyDescent="0.3">
      <c r="XFC621" s="39" t="s">
        <v>618</v>
      </c>
    </row>
    <row r="622" spans="16383:16383" x14ac:dyDescent="0.3">
      <c r="XFC622" s="39" t="s">
        <v>618</v>
      </c>
    </row>
    <row r="623" spans="16383:16383" x14ac:dyDescent="0.3">
      <c r="XFC623" s="39" t="s">
        <v>618</v>
      </c>
    </row>
    <row r="624" spans="16383:16383" x14ac:dyDescent="0.3">
      <c r="XFC624" s="39" t="s">
        <v>618</v>
      </c>
    </row>
    <row r="625" spans="16383:16383" x14ac:dyDescent="0.3">
      <c r="XFC625" s="39" t="s">
        <v>618</v>
      </c>
    </row>
    <row r="626" spans="16383:16383" x14ac:dyDescent="0.3">
      <c r="XFC626" s="39" t="s">
        <v>618</v>
      </c>
    </row>
    <row r="627" spans="16383:16383" x14ac:dyDescent="0.3">
      <c r="XFC627" s="39" t="s">
        <v>618</v>
      </c>
    </row>
    <row r="628" spans="16383:16383" x14ac:dyDescent="0.3">
      <c r="XFC628" s="39" t="s">
        <v>618</v>
      </c>
    </row>
    <row r="629" spans="16383:16383" x14ac:dyDescent="0.3">
      <c r="XFC629" s="39" t="s">
        <v>618</v>
      </c>
    </row>
    <row r="630" spans="16383:16383" x14ac:dyDescent="0.3">
      <c r="XFC630" s="39" t="s">
        <v>618</v>
      </c>
    </row>
    <row r="631" spans="16383:16383" x14ac:dyDescent="0.3">
      <c r="XFC631" s="39" t="s">
        <v>618</v>
      </c>
    </row>
    <row r="632" spans="16383:16383" x14ac:dyDescent="0.3">
      <c r="XFC632" s="39" t="s">
        <v>618</v>
      </c>
    </row>
    <row r="633" spans="16383:16383" x14ac:dyDescent="0.3">
      <c r="XFC633" s="39" t="s">
        <v>618</v>
      </c>
    </row>
    <row r="634" spans="16383:16383" x14ac:dyDescent="0.3">
      <c r="XFC634" s="39" t="s">
        <v>618</v>
      </c>
    </row>
    <row r="635" spans="16383:16383" x14ac:dyDescent="0.3">
      <c r="XFC635" s="39" t="s">
        <v>618</v>
      </c>
    </row>
    <row r="636" spans="16383:16383" x14ac:dyDescent="0.3">
      <c r="XFC636" s="39" t="s">
        <v>618</v>
      </c>
    </row>
    <row r="637" spans="16383:16383" x14ac:dyDescent="0.3">
      <c r="XFC637" s="39" t="s">
        <v>618</v>
      </c>
    </row>
    <row r="638" spans="16383:16383" x14ac:dyDescent="0.3">
      <c r="XFC638" s="39" t="s">
        <v>618</v>
      </c>
    </row>
    <row r="639" spans="16383:16383" x14ac:dyDescent="0.3">
      <c r="XFC639" s="39" t="s">
        <v>618</v>
      </c>
    </row>
    <row r="640" spans="16383:16383" x14ac:dyDescent="0.3">
      <c r="XFC640" s="39" t="s">
        <v>618</v>
      </c>
    </row>
    <row r="641" spans="16383:16383" x14ac:dyDescent="0.3">
      <c r="XFC641" s="39" t="s">
        <v>618</v>
      </c>
    </row>
    <row r="642" spans="16383:16383" x14ac:dyDescent="0.3">
      <c r="XFC642" s="39" t="s">
        <v>618</v>
      </c>
    </row>
    <row r="643" spans="16383:16383" x14ac:dyDescent="0.3">
      <c r="XFC643" s="39" t="s">
        <v>618</v>
      </c>
    </row>
    <row r="644" spans="16383:16383" x14ac:dyDescent="0.3">
      <c r="XFC644" s="39" t="s">
        <v>618</v>
      </c>
    </row>
    <row r="645" spans="16383:16383" x14ac:dyDescent="0.3">
      <c r="XFC645" s="39" t="s">
        <v>618</v>
      </c>
    </row>
    <row r="646" spans="16383:16383" x14ac:dyDescent="0.3">
      <c r="XFC646" s="39" t="s">
        <v>618</v>
      </c>
    </row>
    <row r="647" spans="16383:16383" x14ac:dyDescent="0.3">
      <c r="XFC647" s="39" t="s">
        <v>618</v>
      </c>
    </row>
    <row r="648" spans="16383:16383" x14ac:dyDescent="0.3">
      <c r="XFC648" s="39" t="s">
        <v>618</v>
      </c>
    </row>
    <row r="649" spans="16383:16383" x14ac:dyDescent="0.3">
      <c r="XFC649" s="39" t="s">
        <v>618</v>
      </c>
    </row>
    <row r="650" spans="16383:16383" x14ac:dyDescent="0.3">
      <c r="XFC650" s="39" t="s">
        <v>618</v>
      </c>
    </row>
    <row r="651" spans="16383:16383" x14ac:dyDescent="0.3">
      <c r="XFC651" s="39" t="s">
        <v>618</v>
      </c>
    </row>
    <row r="652" spans="16383:16383" x14ac:dyDescent="0.3">
      <c r="XFC652" s="39" t="s">
        <v>618</v>
      </c>
    </row>
    <row r="653" spans="16383:16383" x14ac:dyDescent="0.3">
      <c r="XFC653" s="39" t="s">
        <v>618</v>
      </c>
    </row>
    <row r="654" spans="16383:16383" x14ac:dyDescent="0.3">
      <c r="XFC654" s="39" t="s">
        <v>618</v>
      </c>
    </row>
    <row r="655" spans="16383:16383" x14ac:dyDescent="0.3">
      <c r="XFC655" s="39" t="s">
        <v>618</v>
      </c>
    </row>
    <row r="656" spans="16383:16383" x14ac:dyDescent="0.3">
      <c r="XFC656" s="39" t="s">
        <v>618</v>
      </c>
    </row>
    <row r="657" spans="16383:16383" x14ac:dyDescent="0.3">
      <c r="XFC657" s="39" t="s">
        <v>618</v>
      </c>
    </row>
    <row r="658" spans="16383:16383" x14ac:dyDescent="0.3">
      <c r="XFC658" s="39" t="s">
        <v>618</v>
      </c>
    </row>
    <row r="659" spans="16383:16383" x14ac:dyDescent="0.3">
      <c r="XFC659" s="39" t="s">
        <v>618</v>
      </c>
    </row>
    <row r="660" spans="16383:16383" x14ac:dyDescent="0.3">
      <c r="XFC660" s="39" t="s">
        <v>618</v>
      </c>
    </row>
    <row r="661" spans="16383:16383" x14ac:dyDescent="0.3">
      <c r="XFC661" s="39" t="s">
        <v>618</v>
      </c>
    </row>
    <row r="662" spans="16383:16383" x14ac:dyDescent="0.3">
      <c r="XFC662" s="39" t="s">
        <v>618</v>
      </c>
    </row>
    <row r="663" spans="16383:16383" x14ac:dyDescent="0.3">
      <c r="XFC663" s="39" t="s">
        <v>618</v>
      </c>
    </row>
    <row r="664" spans="16383:16383" x14ac:dyDescent="0.3">
      <c r="XFC664" s="39" t="s">
        <v>618</v>
      </c>
    </row>
    <row r="665" spans="16383:16383" x14ac:dyDescent="0.3">
      <c r="XFC665" s="39" t="s">
        <v>618</v>
      </c>
    </row>
    <row r="666" spans="16383:16383" x14ac:dyDescent="0.3">
      <c r="XFC666" s="39" t="s">
        <v>618</v>
      </c>
    </row>
    <row r="667" spans="16383:16383" x14ac:dyDescent="0.3">
      <c r="XFC667" s="39" t="s">
        <v>618</v>
      </c>
    </row>
    <row r="668" spans="16383:16383" x14ac:dyDescent="0.3">
      <c r="XFC668" s="39" t="s">
        <v>618</v>
      </c>
    </row>
    <row r="669" spans="16383:16383" x14ac:dyDescent="0.3">
      <c r="XFC669" s="39" t="s">
        <v>618</v>
      </c>
    </row>
    <row r="670" spans="16383:16383" x14ac:dyDescent="0.3">
      <c r="XFC670" s="39" t="s">
        <v>618</v>
      </c>
    </row>
    <row r="671" spans="16383:16383" x14ac:dyDescent="0.3">
      <c r="XFC671" s="39" t="s">
        <v>618</v>
      </c>
    </row>
    <row r="672" spans="16383:16383" x14ac:dyDescent="0.3">
      <c r="XFC672" s="39" t="s">
        <v>618</v>
      </c>
    </row>
    <row r="673" spans="16383:16383" x14ac:dyDescent="0.3">
      <c r="XFC673" s="39" t="s">
        <v>618</v>
      </c>
    </row>
    <row r="674" spans="16383:16383" x14ac:dyDescent="0.3">
      <c r="XFC674" s="39" t="s">
        <v>618</v>
      </c>
    </row>
    <row r="675" spans="16383:16383" x14ac:dyDescent="0.3">
      <c r="XFC675" s="39" t="s">
        <v>618</v>
      </c>
    </row>
    <row r="676" spans="16383:16383" x14ac:dyDescent="0.3">
      <c r="XFC676" s="39" t="s">
        <v>618</v>
      </c>
    </row>
    <row r="677" spans="16383:16383" x14ac:dyDescent="0.3">
      <c r="XFC677" s="39" t="s">
        <v>618</v>
      </c>
    </row>
    <row r="678" spans="16383:16383" x14ac:dyDescent="0.3">
      <c r="XFC678" s="39" t="s">
        <v>618</v>
      </c>
    </row>
    <row r="679" spans="16383:16383" x14ac:dyDescent="0.3">
      <c r="XFC679" s="39" t="s">
        <v>618</v>
      </c>
    </row>
    <row r="680" spans="16383:16383" x14ac:dyDescent="0.3">
      <c r="XFC680" s="39" t="s">
        <v>618</v>
      </c>
    </row>
    <row r="681" spans="16383:16383" x14ac:dyDescent="0.3">
      <c r="XFC681" s="39" t="s">
        <v>618</v>
      </c>
    </row>
    <row r="682" spans="16383:16383" x14ac:dyDescent="0.3">
      <c r="XFC682" s="39" t="s">
        <v>618</v>
      </c>
    </row>
    <row r="683" spans="16383:16383" x14ac:dyDescent="0.3">
      <c r="XFC683" s="39" t="s">
        <v>618</v>
      </c>
    </row>
    <row r="684" spans="16383:16383" x14ac:dyDescent="0.3">
      <c r="XFC684" s="39" t="s">
        <v>618</v>
      </c>
    </row>
    <row r="685" spans="16383:16383" x14ac:dyDescent="0.3">
      <c r="XFC685" s="39" t="s">
        <v>618</v>
      </c>
    </row>
    <row r="686" spans="16383:16383" x14ac:dyDescent="0.3">
      <c r="XFC686" s="39" t="s">
        <v>618</v>
      </c>
    </row>
    <row r="687" spans="16383:16383" x14ac:dyDescent="0.3">
      <c r="XFC687" s="39" t="s">
        <v>618</v>
      </c>
    </row>
    <row r="688" spans="16383:16383" x14ac:dyDescent="0.3">
      <c r="XFC688" s="39" t="s">
        <v>618</v>
      </c>
    </row>
    <row r="689" spans="16383:16383" x14ac:dyDescent="0.3">
      <c r="XFC689" s="39" t="s">
        <v>618</v>
      </c>
    </row>
    <row r="690" spans="16383:16383" x14ac:dyDescent="0.3">
      <c r="XFC690" s="39" t="s">
        <v>618</v>
      </c>
    </row>
    <row r="691" spans="16383:16383" x14ac:dyDescent="0.3">
      <c r="XFC691" s="39" t="s">
        <v>618</v>
      </c>
    </row>
    <row r="692" spans="16383:16383" x14ac:dyDescent="0.3">
      <c r="XFC692" s="39" t="s">
        <v>618</v>
      </c>
    </row>
    <row r="693" spans="16383:16383" x14ac:dyDescent="0.3">
      <c r="XFC693" s="39" t="s">
        <v>618</v>
      </c>
    </row>
    <row r="694" spans="16383:16383" x14ac:dyDescent="0.3">
      <c r="XFC694" s="39" t="s">
        <v>618</v>
      </c>
    </row>
    <row r="695" spans="16383:16383" x14ac:dyDescent="0.3">
      <c r="XFC695" s="39" t="s">
        <v>618</v>
      </c>
    </row>
    <row r="696" spans="16383:16383" x14ac:dyDescent="0.3">
      <c r="XFC696" s="39" t="s">
        <v>618</v>
      </c>
    </row>
    <row r="697" spans="16383:16383" x14ac:dyDescent="0.3">
      <c r="XFC697" s="39" t="s">
        <v>618</v>
      </c>
    </row>
    <row r="698" spans="16383:16383" x14ac:dyDescent="0.3">
      <c r="XFC698" s="39" t="s">
        <v>618</v>
      </c>
    </row>
    <row r="699" spans="16383:16383" x14ac:dyDescent="0.3">
      <c r="XFC699" s="39" t="s">
        <v>618</v>
      </c>
    </row>
    <row r="700" spans="16383:16383" x14ac:dyDescent="0.3">
      <c r="XFC700" s="39" t="s">
        <v>618</v>
      </c>
    </row>
    <row r="701" spans="16383:16383" x14ac:dyDescent="0.3">
      <c r="XFC701" s="39" t="s">
        <v>618</v>
      </c>
    </row>
    <row r="702" spans="16383:16383" x14ac:dyDescent="0.3">
      <c r="XFC702" s="39" t="s">
        <v>618</v>
      </c>
    </row>
    <row r="703" spans="16383:16383" x14ac:dyDescent="0.3">
      <c r="XFC703" s="39" t="s">
        <v>618</v>
      </c>
    </row>
    <row r="704" spans="16383:16383" x14ac:dyDescent="0.3">
      <c r="XFC704" s="39" t="s">
        <v>618</v>
      </c>
    </row>
    <row r="705" spans="16383:16383" x14ac:dyDescent="0.3">
      <c r="XFC705" s="39" t="s">
        <v>618</v>
      </c>
    </row>
    <row r="706" spans="16383:16383" x14ac:dyDescent="0.3">
      <c r="XFC706" s="39" t="s">
        <v>618</v>
      </c>
    </row>
    <row r="707" spans="16383:16383" x14ac:dyDescent="0.3">
      <c r="XFC707" s="39" t="s">
        <v>618</v>
      </c>
    </row>
    <row r="708" spans="16383:16383" x14ac:dyDescent="0.3">
      <c r="XFC708" s="39" t="s">
        <v>618</v>
      </c>
    </row>
    <row r="709" spans="16383:16383" x14ac:dyDescent="0.3">
      <c r="XFC709" s="39" t="s">
        <v>618</v>
      </c>
    </row>
    <row r="710" spans="16383:16383" x14ac:dyDescent="0.3">
      <c r="XFC710" s="39" t="s">
        <v>618</v>
      </c>
    </row>
    <row r="711" spans="16383:16383" x14ac:dyDescent="0.3">
      <c r="XFC711" s="39" t="s">
        <v>618</v>
      </c>
    </row>
    <row r="712" spans="16383:16383" x14ac:dyDescent="0.3">
      <c r="XFC712" s="39" t="s">
        <v>618</v>
      </c>
    </row>
    <row r="713" spans="16383:16383" x14ac:dyDescent="0.3">
      <c r="XFC713" s="39" t="s">
        <v>618</v>
      </c>
    </row>
    <row r="714" spans="16383:16383" x14ac:dyDescent="0.3">
      <c r="XFC714" s="39" t="s">
        <v>618</v>
      </c>
    </row>
    <row r="715" spans="16383:16383" x14ac:dyDescent="0.3">
      <c r="XFC715" s="39" t="s">
        <v>618</v>
      </c>
    </row>
    <row r="716" spans="16383:16383" x14ac:dyDescent="0.3">
      <c r="XFC716" s="39" t="s">
        <v>618</v>
      </c>
    </row>
    <row r="717" spans="16383:16383" x14ac:dyDescent="0.3">
      <c r="XFC717" s="39" t="s">
        <v>618</v>
      </c>
    </row>
    <row r="718" spans="16383:16383" x14ac:dyDescent="0.3">
      <c r="XFC718" s="39" t="s">
        <v>618</v>
      </c>
    </row>
    <row r="719" spans="16383:16383" x14ac:dyDescent="0.3">
      <c r="XFC719" s="39" t="s">
        <v>618</v>
      </c>
    </row>
    <row r="720" spans="16383:16383" x14ac:dyDescent="0.3">
      <c r="XFC720" s="39" t="s">
        <v>618</v>
      </c>
    </row>
    <row r="721" spans="16383:16383" x14ac:dyDescent="0.3">
      <c r="XFC721" s="39" t="s">
        <v>618</v>
      </c>
    </row>
    <row r="722" spans="16383:16383" x14ac:dyDescent="0.3">
      <c r="XFC722" s="39" t="s">
        <v>618</v>
      </c>
    </row>
    <row r="723" spans="16383:16383" x14ac:dyDescent="0.3">
      <c r="XFC723" s="39" t="s">
        <v>618</v>
      </c>
    </row>
    <row r="724" spans="16383:16383" x14ac:dyDescent="0.3">
      <c r="XFC724" s="39" t="s">
        <v>618</v>
      </c>
    </row>
    <row r="725" spans="16383:16383" x14ac:dyDescent="0.3">
      <c r="XFC725" s="39" t="s">
        <v>618</v>
      </c>
    </row>
    <row r="726" spans="16383:16383" x14ac:dyDescent="0.3">
      <c r="XFC726" s="39" t="s">
        <v>618</v>
      </c>
    </row>
    <row r="727" spans="16383:16383" x14ac:dyDescent="0.3">
      <c r="XFC727" s="39" t="s">
        <v>618</v>
      </c>
    </row>
    <row r="728" spans="16383:16383" x14ac:dyDescent="0.3">
      <c r="XFC728" s="39" t="s">
        <v>618</v>
      </c>
    </row>
    <row r="729" spans="16383:16383" x14ac:dyDescent="0.3">
      <c r="XFC729" s="39" t="s">
        <v>618</v>
      </c>
    </row>
    <row r="730" spans="16383:16383" x14ac:dyDescent="0.3">
      <c r="XFC730" s="39" t="s">
        <v>618</v>
      </c>
    </row>
    <row r="731" spans="16383:16383" x14ac:dyDescent="0.3">
      <c r="XFC731" s="39" t="s">
        <v>618</v>
      </c>
    </row>
    <row r="732" spans="16383:16383" x14ac:dyDescent="0.3">
      <c r="XFC732" s="39" t="s">
        <v>618</v>
      </c>
    </row>
    <row r="733" spans="16383:16383" x14ac:dyDescent="0.3">
      <c r="XFC733" s="39" t="s">
        <v>618</v>
      </c>
    </row>
    <row r="734" spans="16383:16383" x14ac:dyDescent="0.3">
      <c r="XFC734" s="39" t="s">
        <v>618</v>
      </c>
    </row>
    <row r="735" spans="16383:16383" x14ac:dyDescent="0.3">
      <c r="XFC735" s="39" t="s">
        <v>618</v>
      </c>
    </row>
    <row r="736" spans="16383:16383" x14ac:dyDescent="0.3">
      <c r="XFC736" s="39" t="s">
        <v>618</v>
      </c>
    </row>
    <row r="737" spans="16383:16383" x14ac:dyDescent="0.3">
      <c r="XFC737" s="39" t="s">
        <v>618</v>
      </c>
    </row>
    <row r="738" spans="16383:16383" x14ac:dyDescent="0.3">
      <c r="XFC738" s="39" t="s">
        <v>618</v>
      </c>
    </row>
    <row r="739" spans="16383:16383" x14ac:dyDescent="0.3">
      <c r="XFC739" s="39" t="s">
        <v>618</v>
      </c>
    </row>
    <row r="740" spans="16383:16383" x14ac:dyDescent="0.3">
      <c r="XFC740" s="39" t="s">
        <v>618</v>
      </c>
    </row>
    <row r="741" spans="16383:16383" x14ac:dyDescent="0.3">
      <c r="XFC741" s="39" t="s">
        <v>618</v>
      </c>
    </row>
    <row r="742" spans="16383:16383" x14ac:dyDescent="0.3">
      <c r="XFC742" s="39" t="s">
        <v>618</v>
      </c>
    </row>
    <row r="743" spans="16383:16383" x14ac:dyDescent="0.3">
      <c r="XFC743" s="39" t="s">
        <v>618</v>
      </c>
    </row>
    <row r="744" spans="16383:16383" x14ac:dyDescent="0.3">
      <c r="XFC744" s="39" t="s">
        <v>618</v>
      </c>
    </row>
    <row r="745" spans="16383:16383" x14ac:dyDescent="0.3">
      <c r="XFC745" s="39" t="s">
        <v>618</v>
      </c>
    </row>
    <row r="746" spans="16383:16383" x14ac:dyDescent="0.3">
      <c r="XFC746" s="39" t="s">
        <v>618</v>
      </c>
    </row>
    <row r="747" spans="16383:16383" x14ac:dyDescent="0.3">
      <c r="XFC747" s="39" t="s">
        <v>618</v>
      </c>
    </row>
    <row r="748" spans="16383:16383" x14ac:dyDescent="0.3">
      <c r="XFC748" s="39" t="s">
        <v>618</v>
      </c>
    </row>
    <row r="749" spans="16383:16383" x14ac:dyDescent="0.3">
      <c r="XFC749" s="39" t="s">
        <v>618</v>
      </c>
    </row>
    <row r="750" spans="16383:16383" x14ac:dyDescent="0.3">
      <c r="XFC750" s="39" t="s">
        <v>618</v>
      </c>
    </row>
    <row r="751" spans="16383:16383" x14ac:dyDescent="0.3">
      <c r="XFC751" s="39" t="s">
        <v>618</v>
      </c>
    </row>
    <row r="752" spans="16383:16383" x14ac:dyDescent="0.3">
      <c r="XFC752" s="39" t="s">
        <v>618</v>
      </c>
    </row>
    <row r="753" spans="16383:16383" x14ac:dyDescent="0.3">
      <c r="XFC753" s="39" t="s">
        <v>618</v>
      </c>
    </row>
    <row r="754" spans="16383:16383" x14ac:dyDescent="0.3">
      <c r="XFC754" s="39" t="s">
        <v>618</v>
      </c>
    </row>
    <row r="755" spans="16383:16383" x14ac:dyDescent="0.3">
      <c r="XFC755" s="39" t="s">
        <v>618</v>
      </c>
    </row>
    <row r="756" spans="16383:16383" x14ac:dyDescent="0.3">
      <c r="XFC756" s="39" t="s">
        <v>618</v>
      </c>
    </row>
    <row r="757" spans="16383:16383" x14ac:dyDescent="0.3">
      <c r="XFC757" s="39" t="s">
        <v>618</v>
      </c>
    </row>
    <row r="758" spans="16383:16383" x14ac:dyDescent="0.3">
      <c r="XFC758" s="39" t="s">
        <v>618</v>
      </c>
    </row>
    <row r="759" spans="16383:16383" x14ac:dyDescent="0.3">
      <c r="XFC759" s="39" t="s">
        <v>618</v>
      </c>
    </row>
    <row r="760" spans="16383:16383" x14ac:dyDescent="0.3">
      <c r="XFC760" s="39" t="s">
        <v>618</v>
      </c>
    </row>
    <row r="761" spans="16383:16383" x14ac:dyDescent="0.3">
      <c r="XFC761" s="39" t="s">
        <v>618</v>
      </c>
    </row>
    <row r="762" spans="16383:16383" x14ac:dyDescent="0.3">
      <c r="XFC762" s="39" t="s">
        <v>618</v>
      </c>
    </row>
    <row r="763" spans="16383:16383" x14ac:dyDescent="0.3">
      <c r="XFC763" s="39" t="s">
        <v>618</v>
      </c>
    </row>
    <row r="764" spans="16383:16383" x14ac:dyDescent="0.3">
      <c r="XFC764" s="39" t="s">
        <v>618</v>
      </c>
    </row>
    <row r="765" spans="16383:16383" x14ac:dyDescent="0.3">
      <c r="XFC765" s="39" t="s">
        <v>618</v>
      </c>
    </row>
    <row r="766" spans="16383:16383" x14ac:dyDescent="0.3">
      <c r="XFC766" s="39" t="s">
        <v>618</v>
      </c>
    </row>
    <row r="767" spans="16383:16383" x14ac:dyDescent="0.3">
      <c r="XFC767" s="39" t="s">
        <v>618</v>
      </c>
    </row>
    <row r="768" spans="16383:16383" x14ac:dyDescent="0.3">
      <c r="XFC768" s="39" t="s">
        <v>618</v>
      </c>
    </row>
    <row r="769" spans="16383:16383" x14ac:dyDescent="0.3">
      <c r="XFC769" s="39" t="s">
        <v>618</v>
      </c>
    </row>
    <row r="770" spans="16383:16383" x14ac:dyDescent="0.3">
      <c r="XFC770" s="39" t="s">
        <v>618</v>
      </c>
    </row>
    <row r="771" spans="16383:16383" x14ac:dyDescent="0.3">
      <c r="XFC771" s="39" t="s">
        <v>618</v>
      </c>
    </row>
    <row r="772" spans="16383:16383" x14ac:dyDescent="0.3">
      <c r="XFC772" s="39" t="s">
        <v>618</v>
      </c>
    </row>
    <row r="773" spans="16383:16383" x14ac:dyDescent="0.3">
      <c r="XFC773" s="39" t="s">
        <v>618</v>
      </c>
    </row>
    <row r="774" spans="16383:16383" x14ac:dyDescent="0.3">
      <c r="XFC774" s="39" t="s">
        <v>618</v>
      </c>
    </row>
    <row r="775" spans="16383:16383" x14ac:dyDescent="0.3">
      <c r="XFC775" s="39" t="s">
        <v>618</v>
      </c>
    </row>
    <row r="776" spans="16383:16383" x14ac:dyDescent="0.3">
      <c r="XFC776" s="39" t="s">
        <v>618</v>
      </c>
    </row>
    <row r="777" spans="16383:16383" x14ac:dyDescent="0.3">
      <c r="XFC777" s="39" t="s">
        <v>618</v>
      </c>
    </row>
    <row r="778" spans="16383:16383" x14ac:dyDescent="0.3">
      <c r="XFC778" s="39" t="s">
        <v>618</v>
      </c>
    </row>
    <row r="779" spans="16383:16383" x14ac:dyDescent="0.3">
      <c r="XFC779" s="39" t="s">
        <v>618</v>
      </c>
    </row>
    <row r="780" spans="16383:16383" x14ac:dyDescent="0.3">
      <c r="XFC780" s="39" t="s">
        <v>618</v>
      </c>
    </row>
    <row r="781" spans="16383:16383" x14ac:dyDescent="0.3">
      <c r="XFC781" s="39" t="s">
        <v>618</v>
      </c>
    </row>
    <row r="782" spans="16383:16383" x14ac:dyDescent="0.3">
      <c r="XFC782" s="39" t="s">
        <v>618</v>
      </c>
    </row>
    <row r="783" spans="16383:16383" x14ac:dyDescent="0.3">
      <c r="XFC783" s="39" t="s">
        <v>618</v>
      </c>
    </row>
    <row r="784" spans="16383:16383" x14ac:dyDescent="0.3">
      <c r="XFC784" s="39" t="s">
        <v>618</v>
      </c>
    </row>
    <row r="785" spans="16383:16383" x14ac:dyDescent="0.3">
      <c r="XFC785" s="39" t="s">
        <v>618</v>
      </c>
    </row>
    <row r="786" spans="16383:16383" x14ac:dyDescent="0.3">
      <c r="XFC786" s="39" t="s">
        <v>618</v>
      </c>
    </row>
    <row r="787" spans="16383:16383" x14ac:dyDescent="0.3">
      <c r="XFC787" s="39" t="s">
        <v>618</v>
      </c>
    </row>
    <row r="788" spans="16383:16383" x14ac:dyDescent="0.3">
      <c r="XFC788" s="39" t="s">
        <v>618</v>
      </c>
    </row>
    <row r="789" spans="16383:16383" x14ac:dyDescent="0.3">
      <c r="XFC789" s="39" t="s">
        <v>618</v>
      </c>
    </row>
    <row r="790" spans="16383:16383" x14ac:dyDescent="0.3">
      <c r="XFC790" s="39" t="s">
        <v>618</v>
      </c>
    </row>
    <row r="791" spans="16383:16383" x14ac:dyDescent="0.3">
      <c r="XFC791" s="39" t="s">
        <v>618</v>
      </c>
    </row>
    <row r="792" spans="16383:16383" x14ac:dyDescent="0.3">
      <c r="XFC792" s="39" t="s">
        <v>618</v>
      </c>
    </row>
    <row r="793" spans="16383:16383" x14ac:dyDescent="0.3">
      <c r="XFC793" s="39" t="s">
        <v>618</v>
      </c>
    </row>
    <row r="794" spans="16383:16383" x14ac:dyDescent="0.3">
      <c r="XFC794" s="39" t="s">
        <v>618</v>
      </c>
    </row>
    <row r="795" spans="16383:16383" x14ac:dyDescent="0.3">
      <c r="XFC795" s="39" t="s">
        <v>618</v>
      </c>
    </row>
    <row r="796" spans="16383:16383" x14ac:dyDescent="0.3">
      <c r="XFC796" s="39" t="s">
        <v>618</v>
      </c>
    </row>
    <row r="797" spans="16383:16383" x14ac:dyDescent="0.3">
      <c r="XFC797" s="39" t="s">
        <v>618</v>
      </c>
    </row>
    <row r="798" spans="16383:16383" x14ac:dyDescent="0.3">
      <c r="XFC798" s="39" t="s">
        <v>618</v>
      </c>
    </row>
    <row r="799" spans="16383:16383" x14ac:dyDescent="0.3">
      <c r="XFC799" s="39" t="s">
        <v>618</v>
      </c>
    </row>
    <row r="800" spans="16383:16383" x14ac:dyDescent="0.3">
      <c r="XFC800" s="39" t="s">
        <v>618</v>
      </c>
    </row>
    <row r="801" spans="16383:16383" x14ac:dyDescent="0.3">
      <c r="XFC801" s="39" t="s">
        <v>618</v>
      </c>
    </row>
    <row r="802" spans="16383:16383" x14ac:dyDescent="0.3">
      <c r="XFC802" s="39" t="s">
        <v>618</v>
      </c>
    </row>
    <row r="803" spans="16383:16383" x14ac:dyDescent="0.3">
      <c r="XFC803" s="39" t="s">
        <v>618</v>
      </c>
    </row>
    <row r="804" spans="16383:16383" x14ac:dyDescent="0.3">
      <c r="XFC804" s="39" t="s">
        <v>618</v>
      </c>
    </row>
    <row r="805" spans="16383:16383" x14ac:dyDescent="0.3">
      <c r="XFC805" s="39" t="s">
        <v>618</v>
      </c>
    </row>
    <row r="806" spans="16383:16383" x14ac:dyDescent="0.3">
      <c r="XFC806" s="39" t="s">
        <v>618</v>
      </c>
    </row>
    <row r="807" spans="16383:16383" x14ac:dyDescent="0.3">
      <c r="XFC807" s="39" t="s">
        <v>618</v>
      </c>
    </row>
    <row r="808" spans="16383:16383" x14ac:dyDescent="0.3">
      <c r="XFC808" s="39" t="s">
        <v>618</v>
      </c>
    </row>
    <row r="809" spans="16383:16383" x14ac:dyDescent="0.3">
      <c r="XFC809" s="39" t="s">
        <v>618</v>
      </c>
    </row>
    <row r="810" spans="16383:16383" x14ac:dyDescent="0.3">
      <c r="XFC810" s="39" t="s">
        <v>618</v>
      </c>
    </row>
    <row r="811" spans="16383:16383" x14ac:dyDescent="0.3">
      <c r="XFC811" s="39" t="s">
        <v>618</v>
      </c>
    </row>
    <row r="812" spans="16383:16383" x14ac:dyDescent="0.3">
      <c r="XFC812" s="39" t="s">
        <v>618</v>
      </c>
    </row>
    <row r="813" spans="16383:16383" x14ac:dyDescent="0.3">
      <c r="XFC813" s="39" t="s">
        <v>618</v>
      </c>
    </row>
    <row r="814" spans="16383:16383" x14ac:dyDescent="0.3">
      <c r="XFC814" s="39" t="s">
        <v>618</v>
      </c>
    </row>
    <row r="815" spans="16383:16383" x14ac:dyDescent="0.3">
      <c r="XFC815" s="39" t="s">
        <v>618</v>
      </c>
    </row>
    <row r="816" spans="16383:16383" x14ac:dyDescent="0.3">
      <c r="XFC816" s="39" t="s">
        <v>618</v>
      </c>
    </row>
    <row r="817" spans="16383:16383" x14ac:dyDescent="0.3">
      <c r="XFC817" s="39" t="s">
        <v>618</v>
      </c>
    </row>
    <row r="818" spans="16383:16383" x14ac:dyDescent="0.3">
      <c r="XFC818" s="39" t="s">
        <v>618</v>
      </c>
    </row>
    <row r="819" spans="16383:16383" x14ac:dyDescent="0.3">
      <c r="XFC819" s="39" t="s">
        <v>618</v>
      </c>
    </row>
    <row r="820" spans="16383:16383" x14ac:dyDescent="0.3">
      <c r="XFC820" s="39" t="s">
        <v>618</v>
      </c>
    </row>
    <row r="821" spans="16383:16383" x14ac:dyDescent="0.3">
      <c r="XFC821" s="39" t="s">
        <v>618</v>
      </c>
    </row>
    <row r="822" spans="16383:16383" x14ac:dyDescent="0.3">
      <c r="XFC822" s="39" t="s">
        <v>618</v>
      </c>
    </row>
    <row r="823" spans="16383:16383" x14ac:dyDescent="0.3">
      <c r="XFC823" s="39" t="s">
        <v>618</v>
      </c>
    </row>
    <row r="824" spans="16383:16383" x14ac:dyDescent="0.3">
      <c r="XFC824" s="39" t="s">
        <v>618</v>
      </c>
    </row>
    <row r="825" spans="16383:16383" x14ac:dyDescent="0.3">
      <c r="XFC825" s="39" t="s">
        <v>618</v>
      </c>
    </row>
    <row r="826" spans="16383:16383" x14ac:dyDescent="0.3">
      <c r="XFC826" s="39" t="s">
        <v>618</v>
      </c>
    </row>
    <row r="827" spans="16383:16383" x14ac:dyDescent="0.3">
      <c r="XFC827" s="39" t="s">
        <v>618</v>
      </c>
    </row>
    <row r="828" spans="16383:16383" x14ac:dyDescent="0.3">
      <c r="XFC828" s="39" t="s">
        <v>618</v>
      </c>
    </row>
    <row r="829" spans="16383:16383" x14ac:dyDescent="0.3">
      <c r="XFC829" s="39" t="s">
        <v>618</v>
      </c>
    </row>
    <row r="830" spans="16383:16383" x14ac:dyDescent="0.3">
      <c r="XFC830" s="39" t="s">
        <v>618</v>
      </c>
    </row>
    <row r="831" spans="16383:16383" x14ac:dyDescent="0.3">
      <c r="XFC831" s="39" t="s">
        <v>618</v>
      </c>
    </row>
    <row r="832" spans="16383:16383" x14ac:dyDescent="0.3">
      <c r="XFC832" s="39" t="s">
        <v>618</v>
      </c>
    </row>
    <row r="833" spans="16383:16383" x14ac:dyDescent="0.3">
      <c r="XFC833" s="39" t="s">
        <v>618</v>
      </c>
    </row>
    <row r="834" spans="16383:16383" x14ac:dyDescent="0.3">
      <c r="XFC834" s="39" t="s">
        <v>618</v>
      </c>
    </row>
    <row r="835" spans="16383:16383" x14ac:dyDescent="0.3">
      <c r="XFC835" s="39" t="s">
        <v>618</v>
      </c>
    </row>
    <row r="836" spans="16383:16383" x14ac:dyDescent="0.3">
      <c r="XFC836" s="39" t="s">
        <v>618</v>
      </c>
    </row>
    <row r="837" spans="16383:16383" x14ac:dyDescent="0.3">
      <c r="XFC837" s="39" t="s">
        <v>618</v>
      </c>
    </row>
    <row r="838" spans="16383:16383" x14ac:dyDescent="0.3">
      <c r="XFC838" s="39" t="s">
        <v>618</v>
      </c>
    </row>
    <row r="839" spans="16383:16383" x14ac:dyDescent="0.3">
      <c r="XFC839" s="39" t="s">
        <v>618</v>
      </c>
    </row>
    <row r="840" spans="16383:16383" x14ac:dyDescent="0.3">
      <c r="XFC840" s="39" t="s">
        <v>618</v>
      </c>
    </row>
    <row r="841" spans="16383:16383" x14ac:dyDescent="0.3">
      <c r="XFC841" s="39" t="s">
        <v>618</v>
      </c>
    </row>
    <row r="842" spans="16383:16383" x14ac:dyDescent="0.3">
      <c r="XFC842" s="39" t="s">
        <v>618</v>
      </c>
    </row>
    <row r="843" spans="16383:16383" x14ac:dyDescent="0.3">
      <c r="XFC843" s="39" t="s">
        <v>618</v>
      </c>
    </row>
    <row r="844" spans="16383:16383" x14ac:dyDescent="0.3">
      <c r="XFC844" s="39" t="s">
        <v>618</v>
      </c>
    </row>
    <row r="845" spans="16383:16383" x14ac:dyDescent="0.3">
      <c r="XFC845" s="39" t="s">
        <v>618</v>
      </c>
    </row>
    <row r="846" spans="16383:16383" x14ac:dyDescent="0.3">
      <c r="XFC846" s="39" t="s">
        <v>618</v>
      </c>
    </row>
    <row r="847" spans="16383:16383" x14ac:dyDescent="0.3">
      <c r="XFC847" s="39" t="s">
        <v>618</v>
      </c>
    </row>
    <row r="848" spans="16383:16383" x14ac:dyDescent="0.3">
      <c r="XFC848" s="39" t="s">
        <v>618</v>
      </c>
    </row>
    <row r="849" spans="16383:16383" x14ac:dyDescent="0.3">
      <c r="XFC849" s="39" t="s">
        <v>618</v>
      </c>
    </row>
    <row r="850" spans="16383:16383" x14ac:dyDescent="0.3">
      <c r="XFC850" s="39" t="s">
        <v>618</v>
      </c>
    </row>
    <row r="851" spans="16383:16383" x14ac:dyDescent="0.3">
      <c r="XFC851" s="39" t="s">
        <v>618</v>
      </c>
    </row>
    <row r="852" spans="16383:16383" x14ac:dyDescent="0.3">
      <c r="XFC852" s="39" t="s">
        <v>618</v>
      </c>
    </row>
    <row r="853" spans="16383:16383" x14ac:dyDescent="0.3">
      <c r="XFC853" s="39" t="s">
        <v>618</v>
      </c>
    </row>
    <row r="854" spans="16383:16383" x14ac:dyDescent="0.3">
      <c r="XFC854" s="39" t="s">
        <v>618</v>
      </c>
    </row>
    <row r="855" spans="16383:16383" x14ac:dyDescent="0.3">
      <c r="XFC855" s="39" t="s">
        <v>618</v>
      </c>
    </row>
    <row r="856" spans="16383:16383" x14ac:dyDescent="0.3">
      <c r="XFC856" s="39" t="s">
        <v>618</v>
      </c>
    </row>
    <row r="857" spans="16383:16383" x14ac:dyDescent="0.3">
      <c r="XFC857" s="39" t="s">
        <v>618</v>
      </c>
    </row>
    <row r="858" spans="16383:16383" x14ac:dyDescent="0.3">
      <c r="XFC858" s="39" t="s">
        <v>618</v>
      </c>
    </row>
    <row r="859" spans="16383:16383" x14ac:dyDescent="0.3">
      <c r="XFC859" s="39" t="s">
        <v>618</v>
      </c>
    </row>
    <row r="860" spans="16383:16383" x14ac:dyDescent="0.3">
      <c r="XFC860" s="39" t="s">
        <v>618</v>
      </c>
    </row>
    <row r="861" spans="16383:16383" x14ac:dyDescent="0.3">
      <c r="XFC861" s="39" t="s">
        <v>618</v>
      </c>
    </row>
    <row r="862" spans="16383:16383" x14ac:dyDescent="0.3">
      <c r="XFC862" s="39" t="s">
        <v>618</v>
      </c>
    </row>
    <row r="863" spans="16383:16383" x14ac:dyDescent="0.3">
      <c r="XFC863" s="39" t="s">
        <v>618</v>
      </c>
    </row>
    <row r="864" spans="16383:16383" x14ac:dyDescent="0.3">
      <c r="XFC864" s="39" t="s">
        <v>618</v>
      </c>
    </row>
    <row r="865" spans="16383:16383" x14ac:dyDescent="0.3">
      <c r="XFC865" s="39" t="s">
        <v>618</v>
      </c>
    </row>
    <row r="866" spans="16383:16383" x14ac:dyDescent="0.3">
      <c r="XFC866" s="39" t="s">
        <v>618</v>
      </c>
    </row>
    <row r="867" spans="16383:16383" x14ac:dyDescent="0.3">
      <c r="XFC867" s="39" t="s">
        <v>618</v>
      </c>
    </row>
    <row r="868" spans="16383:16383" x14ac:dyDescent="0.3">
      <c r="XFC868" s="39" t="s">
        <v>618</v>
      </c>
    </row>
    <row r="869" spans="16383:16383" x14ac:dyDescent="0.3">
      <c r="XFC869" s="39" t="s">
        <v>618</v>
      </c>
    </row>
    <row r="870" spans="16383:16383" x14ac:dyDescent="0.3">
      <c r="XFC870" s="39" t="s">
        <v>618</v>
      </c>
    </row>
    <row r="871" spans="16383:16383" x14ac:dyDescent="0.3">
      <c r="XFC871" s="39" t="s">
        <v>618</v>
      </c>
    </row>
    <row r="872" spans="16383:16383" x14ac:dyDescent="0.3">
      <c r="XFC872" s="39" t="s">
        <v>618</v>
      </c>
    </row>
    <row r="873" spans="16383:16383" x14ac:dyDescent="0.3">
      <c r="XFC873" s="39" t="s">
        <v>618</v>
      </c>
    </row>
    <row r="874" spans="16383:16383" x14ac:dyDescent="0.3">
      <c r="XFC874" s="39" t="s">
        <v>618</v>
      </c>
    </row>
    <row r="875" spans="16383:16383" x14ac:dyDescent="0.3">
      <c r="XFC875" s="39" t="s">
        <v>618</v>
      </c>
    </row>
    <row r="876" spans="16383:16383" x14ac:dyDescent="0.3">
      <c r="XFC876" s="39" t="s">
        <v>618</v>
      </c>
    </row>
    <row r="877" spans="16383:16383" x14ac:dyDescent="0.3">
      <c r="XFC877" s="39" t="s">
        <v>618</v>
      </c>
    </row>
    <row r="878" spans="16383:16383" x14ac:dyDescent="0.3">
      <c r="XFC878" s="39" t="s">
        <v>618</v>
      </c>
    </row>
    <row r="879" spans="16383:16383" x14ac:dyDescent="0.3">
      <c r="XFC879" s="39" t="s">
        <v>618</v>
      </c>
    </row>
    <row r="880" spans="16383:16383" x14ac:dyDescent="0.3">
      <c r="XFC880" s="39" t="s">
        <v>618</v>
      </c>
    </row>
    <row r="881" spans="16383:16383" x14ac:dyDescent="0.3">
      <c r="XFC881" s="39" t="s">
        <v>618</v>
      </c>
    </row>
    <row r="882" spans="16383:16383" x14ac:dyDescent="0.3">
      <c r="XFC882" s="39" t="s">
        <v>618</v>
      </c>
    </row>
    <row r="883" spans="16383:16383" x14ac:dyDescent="0.3">
      <c r="XFC883" s="39" t="s">
        <v>618</v>
      </c>
    </row>
    <row r="884" spans="16383:16383" x14ac:dyDescent="0.3">
      <c r="XFC884" s="39" t="s">
        <v>618</v>
      </c>
    </row>
    <row r="885" spans="16383:16383" x14ac:dyDescent="0.3">
      <c r="XFC885" s="39" t="s">
        <v>618</v>
      </c>
    </row>
    <row r="886" spans="16383:16383" x14ac:dyDescent="0.3">
      <c r="XFC886" s="39" t="s">
        <v>618</v>
      </c>
    </row>
    <row r="887" spans="16383:16383" x14ac:dyDescent="0.3">
      <c r="XFC887" s="39" t="s">
        <v>618</v>
      </c>
    </row>
    <row r="888" spans="16383:16383" x14ac:dyDescent="0.3">
      <c r="XFC888" s="39" t="s">
        <v>618</v>
      </c>
    </row>
    <row r="889" spans="16383:16383" x14ac:dyDescent="0.3">
      <c r="XFC889" s="39" t="s">
        <v>618</v>
      </c>
    </row>
    <row r="890" spans="16383:16383" x14ac:dyDescent="0.3">
      <c r="XFC890" s="39" t="s">
        <v>618</v>
      </c>
    </row>
    <row r="891" spans="16383:16383" x14ac:dyDescent="0.3">
      <c r="XFC891" s="39" t="s">
        <v>618</v>
      </c>
    </row>
    <row r="892" spans="16383:16383" x14ac:dyDescent="0.3">
      <c r="XFC892" s="39" t="s">
        <v>618</v>
      </c>
    </row>
    <row r="893" spans="16383:16383" x14ac:dyDescent="0.3">
      <c r="XFC893" s="39" t="s">
        <v>618</v>
      </c>
    </row>
    <row r="894" spans="16383:16383" x14ac:dyDescent="0.3">
      <c r="XFC894" s="39" t="s">
        <v>618</v>
      </c>
    </row>
    <row r="895" spans="16383:16383" x14ac:dyDescent="0.3">
      <c r="XFC895" s="39" t="s">
        <v>618</v>
      </c>
    </row>
    <row r="896" spans="16383:16383" x14ac:dyDescent="0.3">
      <c r="XFC896" s="39" t="s">
        <v>618</v>
      </c>
    </row>
    <row r="897" spans="16383:16383" x14ac:dyDescent="0.3">
      <c r="XFC897" s="39" t="s">
        <v>618</v>
      </c>
    </row>
    <row r="898" spans="16383:16383" x14ac:dyDescent="0.3">
      <c r="XFC898" s="39" t="s">
        <v>618</v>
      </c>
    </row>
    <row r="899" spans="16383:16383" x14ac:dyDescent="0.3">
      <c r="XFC899" s="39" t="s">
        <v>618</v>
      </c>
    </row>
    <row r="900" spans="16383:16383" x14ac:dyDescent="0.3">
      <c r="XFC900" s="39" t="s">
        <v>618</v>
      </c>
    </row>
    <row r="901" spans="16383:16383" x14ac:dyDescent="0.3">
      <c r="XFC901" s="39" t="s">
        <v>618</v>
      </c>
    </row>
    <row r="902" spans="16383:16383" x14ac:dyDescent="0.3">
      <c r="XFC902" s="39" t="s">
        <v>618</v>
      </c>
    </row>
    <row r="903" spans="16383:16383" x14ac:dyDescent="0.3">
      <c r="XFC903" s="39" t="s">
        <v>618</v>
      </c>
    </row>
    <row r="904" spans="16383:16383" x14ac:dyDescent="0.3">
      <c r="XFC904" s="39" t="s">
        <v>618</v>
      </c>
    </row>
    <row r="905" spans="16383:16383" x14ac:dyDescent="0.3">
      <c r="XFC905" s="39" t="s">
        <v>618</v>
      </c>
    </row>
    <row r="906" spans="16383:16383" x14ac:dyDescent="0.3">
      <c r="XFC906" s="39" t="s">
        <v>618</v>
      </c>
    </row>
    <row r="907" spans="16383:16383" x14ac:dyDescent="0.3">
      <c r="XFC907" s="39" t="s">
        <v>618</v>
      </c>
    </row>
    <row r="908" spans="16383:16383" x14ac:dyDescent="0.3">
      <c r="XFC908" s="39" t="s">
        <v>618</v>
      </c>
    </row>
    <row r="909" spans="16383:16383" x14ac:dyDescent="0.3">
      <c r="XFC909" s="39" t="s">
        <v>618</v>
      </c>
    </row>
    <row r="910" spans="16383:16383" x14ac:dyDescent="0.3">
      <c r="XFC910" s="39" t="s">
        <v>618</v>
      </c>
    </row>
    <row r="911" spans="16383:16383" x14ac:dyDescent="0.3">
      <c r="XFC911" s="39" t="s">
        <v>618</v>
      </c>
    </row>
    <row r="912" spans="16383:16383" x14ac:dyDescent="0.3">
      <c r="XFC912" s="39" t="s">
        <v>618</v>
      </c>
    </row>
    <row r="913" spans="16383:16383" x14ac:dyDescent="0.3">
      <c r="XFC913" s="39" t="s">
        <v>618</v>
      </c>
    </row>
    <row r="914" spans="16383:16383" x14ac:dyDescent="0.3">
      <c r="XFC914" s="39" t="s">
        <v>618</v>
      </c>
    </row>
    <row r="915" spans="16383:16383" x14ac:dyDescent="0.3">
      <c r="XFC915" s="39" t="s">
        <v>618</v>
      </c>
    </row>
    <row r="916" spans="16383:16383" x14ac:dyDescent="0.3">
      <c r="XFC916" s="39" t="s">
        <v>618</v>
      </c>
    </row>
    <row r="917" spans="16383:16383" x14ac:dyDescent="0.3">
      <c r="XFC917" s="39" t="s">
        <v>618</v>
      </c>
    </row>
    <row r="918" spans="16383:16383" x14ac:dyDescent="0.3">
      <c r="XFC918" s="39" t="s">
        <v>618</v>
      </c>
    </row>
    <row r="919" spans="16383:16383" x14ac:dyDescent="0.3">
      <c r="XFC919" s="39" t="s">
        <v>618</v>
      </c>
    </row>
    <row r="920" spans="16383:16383" x14ac:dyDescent="0.3">
      <c r="XFC920" s="39" t="s">
        <v>618</v>
      </c>
    </row>
    <row r="921" spans="16383:16383" x14ac:dyDescent="0.3">
      <c r="XFC921" s="39" t="s">
        <v>618</v>
      </c>
    </row>
    <row r="922" spans="16383:16383" x14ac:dyDescent="0.3">
      <c r="XFC922" s="39" t="s">
        <v>618</v>
      </c>
    </row>
    <row r="923" spans="16383:16383" x14ac:dyDescent="0.3">
      <c r="XFC923" s="39" t="s">
        <v>618</v>
      </c>
    </row>
    <row r="924" spans="16383:16383" x14ac:dyDescent="0.3">
      <c r="XFC924" s="39" t="s">
        <v>618</v>
      </c>
    </row>
    <row r="925" spans="16383:16383" x14ac:dyDescent="0.3">
      <c r="XFC925" s="39" t="s">
        <v>618</v>
      </c>
    </row>
    <row r="926" spans="16383:16383" x14ac:dyDescent="0.3">
      <c r="XFC926" s="39" t="s">
        <v>618</v>
      </c>
    </row>
    <row r="927" spans="16383:16383" x14ac:dyDescent="0.3">
      <c r="XFC927" s="39" t="s">
        <v>618</v>
      </c>
    </row>
    <row r="928" spans="16383:16383" x14ac:dyDescent="0.3">
      <c r="XFC928" s="39" t="s">
        <v>618</v>
      </c>
    </row>
    <row r="929" spans="16383:16383" x14ac:dyDescent="0.3">
      <c r="XFC929" s="39" t="s">
        <v>618</v>
      </c>
    </row>
    <row r="930" spans="16383:16383" x14ac:dyDescent="0.3">
      <c r="XFC930" s="39" t="s">
        <v>618</v>
      </c>
    </row>
    <row r="931" spans="16383:16383" x14ac:dyDescent="0.3">
      <c r="XFC931" s="39" t="s">
        <v>618</v>
      </c>
    </row>
    <row r="932" spans="16383:16383" x14ac:dyDescent="0.3">
      <c r="XFC932" s="39" t="s">
        <v>618</v>
      </c>
    </row>
    <row r="933" spans="16383:16383" x14ac:dyDescent="0.3">
      <c r="XFC933" s="39" t="s">
        <v>618</v>
      </c>
    </row>
    <row r="934" spans="16383:16383" x14ac:dyDescent="0.3">
      <c r="XFC934" s="39" t="s">
        <v>618</v>
      </c>
    </row>
    <row r="935" spans="16383:16383" x14ac:dyDescent="0.3">
      <c r="XFC935" s="39" t="s">
        <v>618</v>
      </c>
    </row>
    <row r="936" spans="16383:16383" x14ac:dyDescent="0.3">
      <c r="XFC936" s="39" t="s">
        <v>618</v>
      </c>
    </row>
    <row r="937" spans="16383:16383" x14ac:dyDescent="0.3">
      <c r="XFC937" s="39" t="s">
        <v>618</v>
      </c>
    </row>
    <row r="938" spans="16383:16383" x14ac:dyDescent="0.3">
      <c r="XFC938" s="39" t="s">
        <v>618</v>
      </c>
    </row>
    <row r="939" spans="16383:16383" x14ac:dyDescent="0.3">
      <c r="XFC939" s="39" t="s">
        <v>618</v>
      </c>
    </row>
    <row r="940" spans="16383:16383" x14ac:dyDescent="0.3">
      <c r="XFC940" s="39" t="s">
        <v>618</v>
      </c>
    </row>
    <row r="941" spans="16383:16383" x14ac:dyDescent="0.3">
      <c r="XFC941" s="39" t="s">
        <v>618</v>
      </c>
    </row>
    <row r="942" spans="16383:16383" x14ac:dyDescent="0.3">
      <c r="XFC942" s="39" t="s">
        <v>618</v>
      </c>
    </row>
    <row r="943" spans="16383:16383" x14ac:dyDescent="0.3">
      <c r="XFC943" s="39" t="s">
        <v>618</v>
      </c>
    </row>
    <row r="944" spans="16383:16383" x14ac:dyDescent="0.3">
      <c r="XFC944" s="39" t="s">
        <v>618</v>
      </c>
    </row>
    <row r="945" spans="16383:16383" x14ac:dyDescent="0.3">
      <c r="XFC945" s="39" t="s">
        <v>618</v>
      </c>
    </row>
    <row r="946" spans="16383:16383" x14ac:dyDescent="0.3">
      <c r="XFC946" s="39" t="s">
        <v>618</v>
      </c>
    </row>
    <row r="947" spans="16383:16383" x14ac:dyDescent="0.3">
      <c r="XFC947" s="39" t="s">
        <v>618</v>
      </c>
    </row>
    <row r="948" spans="16383:16383" x14ac:dyDescent="0.3">
      <c r="XFC948" s="39" t="s">
        <v>618</v>
      </c>
    </row>
    <row r="949" spans="16383:16383" x14ac:dyDescent="0.3">
      <c r="XFC949" s="39" t="s">
        <v>618</v>
      </c>
    </row>
    <row r="950" spans="16383:16383" x14ac:dyDescent="0.3">
      <c r="XFC950" s="39" t="s">
        <v>618</v>
      </c>
    </row>
    <row r="951" spans="16383:16383" x14ac:dyDescent="0.3">
      <c r="XFC951" s="39" t="s">
        <v>618</v>
      </c>
    </row>
    <row r="952" spans="16383:16383" x14ac:dyDescent="0.3">
      <c r="XFC952" s="39" t="s">
        <v>618</v>
      </c>
    </row>
    <row r="953" spans="16383:16383" x14ac:dyDescent="0.3">
      <c r="XFC953" s="39" t="s">
        <v>618</v>
      </c>
    </row>
    <row r="954" spans="16383:16383" x14ac:dyDescent="0.3">
      <c r="XFC954" s="39" t="s">
        <v>618</v>
      </c>
    </row>
    <row r="955" spans="16383:16383" x14ac:dyDescent="0.3">
      <c r="XFC955" s="39" t="s">
        <v>618</v>
      </c>
    </row>
    <row r="956" spans="16383:16383" x14ac:dyDescent="0.3">
      <c r="XFC956" s="39" t="s">
        <v>618</v>
      </c>
    </row>
    <row r="957" spans="16383:16383" x14ac:dyDescent="0.3">
      <c r="XFC957" s="39" t="s">
        <v>618</v>
      </c>
    </row>
    <row r="958" spans="16383:16383" x14ac:dyDescent="0.3">
      <c r="XFC958" s="39" t="s">
        <v>618</v>
      </c>
    </row>
    <row r="959" spans="16383:16383" x14ac:dyDescent="0.3">
      <c r="XFC959" s="39" t="s">
        <v>618</v>
      </c>
    </row>
    <row r="960" spans="16383:16383" x14ac:dyDescent="0.3">
      <c r="XFC960" s="39" t="s">
        <v>618</v>
      </c>
    </row>
    <row r="961" spans="16383:16383" x14ac:dyDescent="0.3">
      <c r="XFC961" s="39" t="s">
        <v>618</v>
      </c>
    </row>
    <row r="962" spans="16383:16383" x14ac:dyDescent="0.3">
      <c r="XFC962" s="39" t="s">
        <v>618</v>
      </c>
    </row>
    <row r="963" spans="16383:16383" x14ac:dyDescent="0.3">
      <c r="XFC963" s="39" t="s">
        <v>618</v>
      </c>
    </row>
    <row r="964" spans="16383:16383" x14ac:dyDescent="0.3">
      <c r="XFC964" s="39" t="s">
        <v>618</v>
      </c>
    </row>
    <row r="965" spans="16383:16383" x14ac:dyDescent="0.3">
      <c r="XFC965" s="39" t="s">
        <v>618</v>
      </c>
    </row>
    <row r="966" spans="16383:16383" x14ac:dyDescent="0.3">
      <c r="XFC966" s="39" t="s">
        <v>618</v>
      </c>
    </row>
    <row r="967" spans="16383:16383" x14ac:dyDescent="0.3">
      <c r="XFC967" s="39" t="s">
        <v>618</v>
      </c>
    </row>
    <row r="968" spans="16383:16383" x14ac:dyDescent="0.3">
      <c r="XFC968" s="39" t="s">
        <v>618</v>
      </c>
    </row>
    <row r="969" spans="16383:16383" x14ac:dyDescent="0.3">
      <c r="XFC969" s="39" t="s">
        <v>618</v>
      </c>
    </row>
    <row r="970" spans="16383:16383" x14ac:dyDescent="0.3">
      <c r="XFC970" s="39" t="s">
        <v>618</v>
      </c>
    </row>
    <row r="971" spans="16383:16383" x14ac:dyDescent="0.3">
      <c r="XFC971" s="39" t="s">
        <v>618</v>
      </c>
    </row>
    <row r="972" spans="16383:16383" x14ac:dyDescent="0.3">
      <c r="XFC972" s="39" t="s">
        <v>618</v>
      </c>
    </row>
    <row r="973" spans="16383:16383" x14ac:dyDescent="0.3">
      <c r="XFC973" s="39" t="s">
        <v>618</v>
      </c>
    </row>
    <row r="974" spans="16383:16383" x14ac:dyDescent="0.3">
      <c r="XFC974" s="39" t="s">
        <v>618</v>
      </c>
    </row>
    <row r="975" spans="16383:16383" x14ac:dyDescent="0.3">
      <c r="XFC975" s="39" t="s">
        <v>618</v>
      </c>
    </row>
    <row r="976" spans="16383:16383" x14ac:dyDescent="0.3">
      <c r="XFC976" s="39" t="s">
        <v>618</v>
      </c>
    </row>
    <row r="977" spans="16383:16383" x14ac:dyDescent="0.3">
      <c r="XFC977" s="39" t="s">
        <v>618</v>
      </c>
    </row>
    <row r="978" spans="16383:16383" x14ac:dyDescent="0.3">
      <c r="XFC978" s="39" t="s">
        <v>618</v>
      </c>
    </row>
    <row r="979" spans="16383:16383" x14ac:dyDescent="0.3">
      <c r="XFC979" s="39" t="s">
        <v>618</v>
      </c>
    </row>
    <row r="980" spans="16383:16383" x14ac:dyDescent="0.3">
      <c r="XFC980" s="39" t="s">
        <v>618</v>
      </c>
    </row>
    <row r="981" spans="16383:16383" x14ac:dyDescent="0.3">
      <c r="XFC981" s="39" t="s">
        <v>618</v>
      </c>
    </row>
    <row r="982" spans="16383:16383" x14ac:dyDescent="0.3">
      <c r="XFC982" s="39" t="s">
        <v>618</v>
      </c>
    </row>
    <row r="983" spans="16383:16383" x14ac:dyDescent="0.3">
      <c r="XFC983" s="39" t="s">
        <v>618</v>
      </c>
    </row>
    <row r="984" spans="16383:16383" x14ac:dyDescent="0.3">
      <c r="XFC984" s="39" t="s">
        <v>618</v>
      </c>
    </row>
    <row r="985" spans="16383:16383" x14ac:dyDescent="0.3">
      <c r="XFC985" s="39" t="s">
        <v>618</v>
      </c>
    </row>
    <row r="986" spans="16383:16383" x14ac:dyDescent="0.3">
      <c r="XFC986" s="39" t="s">
        <v>618</v>
      </c>
    </row>
    <row r="987" spans="16383:16383" x14ac:dyDescent="0.3">
      <c r="XFC987" s="39" t="s">
        <v>618</v>
      </c>
    </row>
    <row r="988" spans="16383:16383" x14ac:dyDescent="0.3">
      <c r="XFC988" s="39" t="s">
        <v>618</v>
      </c>
    </row>
    <row r="989" spans="16383:16383" x14ac:dyDescent="0.3">
      <c r="XFC989" s="39" t="s">
        <v>618</v>
      </c>
    </row>
    <row r="990" spans="16383:16383" x14ac:dyDescent="0.3">
      <c r="XFC990" s="39" t="s">
        <v>618</v>
      </c>
    </row>
    <row r="991" spans="16383:16383" x14ac:dyDescent="0.3">
      <c r="XFC991" s="39" t="s">
        <v>618</v>
      </c>
    </row>
    <row r="992" spans="16383:16383" x14ac:dyDescent="0.3">
      <c r="XFC992" s="39" t="s">
        <v>618</v>
      </c>
    </row>
    <row r="993" spans="16383:16383" x14ac:dyDescent="0.3">
      <c r="XFC993" s="39" t="s">
        <v>618</v>
      </c>
    </row>
    <row r="994" spans="16383:16383" x14ac:dyDescent="0.3">
      <c r="XFC994" s="39">
        <v>0</v>
      </c>
    </row>
    <row r="995" spans="16383:16383" x14ac:dyDescent="0.3">
      <c r="XFC995" s="39">
        <v>0</v>
      </c>
    </row>
    <row r="996" spans="16383:16383" x14ac:dyDescent="0.3">
      <c r="XFC996" s="39">
        <v>0</v>
      </c>
    </row>
    <row r="997" spans="16383:16383" x14ac:dyDescent="0.3">
      <c r="XFC997" s="39">
        <v>0</v>
      </c>
    </row>
  </sheetData>
  <sheetProtection algorithmName="SHA-512" hashValue="OA1Wi2r0507ATFUwyyyPW6cL8zlLzG986l1X9gOL1qT3KKOySq9SIuYNUphSwDZ3aB8cb/tjgP6B4BC0DIlXng==" saltValue="65+G70h9QcVALAq0Gw5Dqw==" spinCount="100000" sheet="1" formatCells="0"/>
  <sortState xmlns:xlrd2="http://schemas.microsoft.com/office/spreadsheetml/2017/richdata2" ref="XFC1:XFC997">
    <sortCondition descending="1" ref="XFC1" customList="a,b,c,d,e,f,g,h,i,j,k,l,m,n,ñ,o,p,q,r,s,t,u,v,w,x,y,z"/>
  </sortState>
  <dataConsolidate/>
  <mergeCells count="410">
    <mergeCell ref="T42:U42"/>
    <mergeCell ref="T43:U43"/>
    <mergeCell ref="T44:U44"/>
    <mergeCell ref="L104:M104"/>
    <mergeCell ref="G105:M105"/>
    <mergeCell ref="C104:F104"/>
    <mergeCell ref="C105:F105"/>
    <mergeCell ref="H104:K104"/>
    <mergeCell ref="O20:Q20"/>
    <mergeCell ref="O21:Q21"/>
    <mergeCell ref="O22:Q22"/>
    <mergeCell ref="O23:Q23"/>
    <mergeCell ref="P24:Q24"/>
    <mergeCell ref="C79:D79"/>
    <mergeCell ref="C80:D80"/>
    <mergeCell ref="E79:F79"/>
    <mergeCell ref="G79:H79"/>
    <mergeCell ref="I79:J79"/>
    <mergeCell ref="E80:F80"/>
    <mergeCell ref="G80:H80"/>
    <mergeCell ref="I80:J80"/>
    <mergeCell ref="F42:I42"/>
    <mergeCell ref="A68:E74"/>
    <mergeCell ref="F68:T69"/>
    <mergeCell ref="AB23:AI23"/>
    <mergeCell ref="W23:X23"/>
    <mergeCell ref="A6:E6"/>
    <mergeCell ref="F6:J6"/>
    <mergeCell ref="K6:O6"/>
    <mergeCell ref="P6:T6"/>
    <mergeCell ref="A7:E7"/>
    <mergeCell ref="F7:J7"/>
    <mergeCell ref="K7:O7"/>
    <mergeCell ref="P7:T7"/>
    <mergeCell ref="A11:B11"/>
    <mergeCell ref="C11:H11"/>
    <mergeCell ref="I11:J11"/>
    <mergeCell ref="K11:O11"/>
    <mergeCell ref="P11:Q11"/>
    <mergeCell ref="R11:T11"/>
    <mergeCell ref="P12:Q12"/>
    <mergeCell ref="R12:T12"/>
    <mergeCell ref="A13:T13"/>
    <mergeCell ref="A14:B14"/>
    <mergeCell ref="C14:G14"/>
    <mergeCell ref="H14:J14"/>
    <mergeCell ref="K14:M14"/>
    <mergeCell ref="N14:P14"/>
    <mergeCell ref="A8:E8"/>
    <mergeCell ref="F8:J8"/>
    <mergeCell ref="A10:T10"/>
    <mergeCell ref="A1:T1"/>
    <mergeCell ref="A2:T2"/>
    <mergeCell ref="A3:T3"/>
    <mergeCell ref="A4:T4"/>
    <mergeCell ref="Q14:T14"/>
    <mergeCell ref="P15:T15"/>
    <mergeCell ref="A16:D16"/>
    <mergeCell ref="E16:T16"/>
    <mergeCell ref="A17:T17"/>
    <mergeCell ref="A18:T18"/>
    <mergeCell ref="A15:B15"/>
    <mergeCell ref="C15:G15"/>
    <mergeCell ref="H15:J15"/>
    <mergeCell ref="K15:M15"/>
    <mergeCell ref="N15:O15"/>
    <mergeCell ref="G22:H22"/>
    <mergeCell ref="L22:N22"/>
    <mergeCell ref="L20:N20"/>
    <mergeCell ref="A21:C21"/>
    <mergeCell ref="G21:H21"/>
    <mergeCell ref="L21:N21"/>
    <mergeCell ref="A19:C19"/>
    <mergeCell ref="A20:C20"/>
    <mergeCell ref="G20:H20"/>
    <mergeCell ref="D20:E20"/>
    <mergeCell ref="D21:E21"/>
    <mergeCell ref="D22:E22"/>
    <mergeCell ref="I20:J20"/>
    <mergeCell ref="I21:J21"/>
    <mergeCell ref="I22:J22"/>
    <mergeCell ref="D19:Q19"/>
    <mergeCell ref="A22:C22"/>
    <mergeCell ref="A26:T26"/>
    <mergeCell ref="A27:I28"/>
    <mergeCell ref="J27:L27"/>
    <mergeCell ref="M27:T28"/>
    <mergeCell ref="A24:C24"/>
    <mergeCell ref="F24:H24"/>
    <mergeCell ref="K24:O24"/>
    <mergeCell ref="A23:C23"/>
    <mergeCell ref="F23:I23"/>
    <mergeCell ref="L23:N23"/>
    <mergeCell ref="D23:E23"/>
    <mergeCell ref="D24:E24"/>
    <mergeCell ref="J23:K23"/>
    <mergeCell ref="I24:J24"/>
    <mergeCell ref="A32:I32"/>
    <mergeCell ref="A33:I33"/>
    <mergeCell ref="M33:T33"/>
    <mergeCell ref="A34:I34"/>
    <mergeCell ref="M34:T34"/>
    <mergeCell ref="A29:I29"/>
    <mergeCell ref="M29:T29"/>
    <mergeCell ref="A30:I30"/>
    <mergeCell ref="A31:I31"/>
    <mergeCell ref="M31:T31"/>
    <mergeCell ref="A38:I38"/>
    <mergeCell ref="M38:T38"/>
    <mergeCell ref="F41:I41"/>
    <mergeCell ref="J41:O41"/>
    <mergeCell ref="A35:I35"/>
    <mergeCell ref="M35:T35"/>
    <mergeCell ref="A36:I36"/>
    <mergeCell ref="M36:T36"/>
    <mergeCell ref="A37:I37"/>
    <mergeCell ref="M37:T37"/>
    <mergeCell ref="P41:Q41"/>
    <mergeCell ref="F46:O46"/>
    <mergeCell ref="F47:O47"/>
    <mergeCell ref="F48:I48"/>
    <mergeCell ref="J48:L48"/>
    <mergeCell ref="M48:O48"/>
    <mergeCell ref="J42:O42"/>
    <mergeCell ref="F43:I43"/>
    <mergeCell ref="J43:O43"/>
    <mergeCell ref="F51:I51"/>
    <mergeCell ref="J51:L51"/>
    <mergeCell ref="M51:O51"/>
    <mergeCell ref="F44:I44"/>
    <mergeCell ref="J44:O44"/>
    <mergeCell ref="A53:N53"/>
    <mergeCell ref="O53:T53"/>
    <mergeCell ref="F49:I49"/>
    <mergeCell ref="J49:L49"/>
    <mergeCell ref="M49:O49"/>
    <mergeCell ref="F50:I50"/>
    <mergeCell ref="J50:L50"/>
    <mergeCell ref="M50:O50"/>
    <mergeCell ref="Q54:T54"/>
    <mergeCell ref="A55:B55"/>
    <mergeCell ref="C55:G55"/>
    <mergeCell ref="H55:I55"/>
    <mergeCell ref="J55:N55"/>
    <mergeCell ref="O55:P55"/>
    <mergeCell ref="Q55:T55"/>
    <mergeCell ref="A54:B54"/>
    <mergeCell ref="C54:G54"/>
    <mergeCell ref="H54:I54"/>
    <mergeCell ref="J54:N54"/>
    <mergeCell ref="O54:P54"/>
    <mergeCell ref="Q56:T56"/>
    <mergeCell ref="A57:O58"/>
    <mergeCell ref="P57:T60"/>
    <mergeCell ref="A59:B60"/>
    <mergeCell ref="C59:I60"/>
    <mergeCell ref="J59:L60"/>
    <mergeCell ref="M59:O60"/>
    <mergeCell ref="A56:B56"/>
    <mergeCell ref="C56:G56"/>
    <mergeCell ref="H56:I56"/>
    <mergeCell ref="J56:N56"/>
    <mergeCell ref="O56:P56"/>
    <mergeCell ref="E64:G64"/>
    <mergeCell ref="H64:K64"/>
    <mergeCell ref="L64:Q64"/>
    <mergeCell ref="E65:G65"/>
    <mergeCell ref="H65:K65"/>
    <mergeCell ref="L65:Q65"/>
    <mergeCell ref="A62:B62"/>
    <mergeCell ref="E62:Q62"/>
    <mergeCell ref="E63:G63"/>
    <mergeCell ref="H63:K63"/>
    <mergeCell ref="L63:Q63"/>
    <mergeCell ref="E66:G66"/>
    <mergeCell ref="H66:K66"/>
    <mergeCell ref="L66:Q66"/>
    <mergeCell ref="O75:T75"/>
    <mergeCell ref="A76:B77"/>
    <mergeCell ref="C76:D77"/>
    <mergeCell ref="E76:F77"/>
    <mergeCell ref="G76:H77"/>
    <mergeCell ref="I76:J77"/>
    <mergeCell ref="K76:L77"/>
    <mergeCell ref="M76:N77"/>
    <mergeCell ref="O76:P77"/>
    <mergeCell ref="Q76:R77"/>
    <mergeCell ref="S76:T77"/>
    <mergeCell ref="A75:D75"/>
    <mergeCell ref="E75:N75"/>
    <mergeCell ref="F71:L71"/>
    <mergeCell ref="F72:J72"/>
    <mergeCell ref="F70:N70"/>
    <mergeCell ref="S78:T78"/>
    <mergeCell ref="A80:B80"/>
    <mergeCell ref="A79:B79"/>
    <mergeCell ref="S81:T81"/>
    <mergeCell ref="A82:B82"/>
    <mergeCell ref="C82:D82"/>
    <mergeCell ref="E82:F82"/>
    <mergeCell ref="G82:H82"/>
    <mergeCell ref="I82:J82"/>
    <mergeCell ref="K82:L82"/>
    <mergeCell ref="M82:N82"/>
    <mergeCell ref="A78:B78"/>
    <mergeCell ref="C78:D78"/>
    <mergeCell ref="E78:F78"/>
    <mergeCell ref="G78:H78"/>
    <mergeCell ref="I78:J78"/>
    <mergeCell ref="K78:L78"/>
    <mergeCell ref="M78:N78"/>
    <mergeCell ref="O78:P87"/>
    <mergeCell ref="Q78:R78"/>
    <mergeCell ref="Q82:R82"/>
    <mergeCell ref="S82:T82"/>
    <mergeCell ref="A81:B81"/>
    <mergeCell ref="C81:D81"/>
    <mergeCell ref="E81:F81"/>
    <mergeCell ref="G81:H81"/>
    <mergeCell ref="I81:J81"/>
    <mergeCell ref="K79:L79"/>
    <mergeCell ref="M79:N79"/>
    <mergeCell ref="Q79:R79"/>
    <mergeCell ref="S79:T79"/>
    <mergeCell ref="K80:L80"/>
    <mergeCell ref="M80:N80"/>
    <mergeCell ref="Q80:R80"/>
    <mergeCell ref="S80:T80"/>
    <mergeCell ref="K81:L81"/>
    <mergeCell ref="M81:N81"/>
    <mergeCell ref="Q81:R81"/>
    <mergeCell ref="K83:L83"/>
    <mergeCell ref="M83:N83"/>
    <mergeCell ref="Q83:R83"/>
    <mergeCell ref="S83:T83"/>
    <mergeCell ref="A84:B84"/>
    <mergeCell ref="C84:D84"/>
    <mergeCell ref="E84:F84"/>
    <mergeCell ref="G84:H84"/>
    <mergeCell ref="I84:J84"/>
    <mergeCell ref="K84:L84"/>
    <mergeCell ref="M84:N84"/>
    <mergeCell ref="Q84:R84"/>
    <mergeCell ref="S84:T84"/>
    <mergeCell ref="A83:B83"/>
    <mergeCell ref="C83:D83"/>
    <mergeCell ref="E83:F83"/>
    <mergeCell ref="G83:H83"/>
    <mergeCell ref="I83:J83"/>
    <mergeCell ref="K85:L85"/>
    <mergeCell ref="M85:N85"/>
    <mergeCell ref="Q85:R85"/>
    <mergeCell ref="S85:T85"/>
    <mergeCell ref="A86:B86"/>
    <mergeCell ref="C86:D86"/>
    <mergeCell ref="E86:F86"/>
    <mergeCell ref="G86:H86"/>
    <mergeCell ref="I86:J86"/>
    <mergeCell ref="K86:L86"/>
    <mergeCell ref="M86:N86"/>
    <mergeCell ref="A85:B85"/>
    <mergeCell ref="C85:D85"/>
    <mergeCell ref="E85:F85"/>
    <mergeCell ref="G85:H85"/>
    <mergeCell ref="I85:J85"/>
    <mergeCell ref="S91:T92"/>
    <mergeCell ref="A91:B92"/>
    <mergeCell ref="C91:D92"/>
    <mergeCell ref="E91:F92"/>
    <mergeCell ref="G91:H92"/>
    <mergeCell ref="I91:J92"/>
    <mergeCell ref="K87:L87"/>
    <mergeCell ref="M87:N87"/>
    <mergeCell ref="Q87:R87"/>
    <mergeCell ref="S87:T87"/>
    <mergeCell ref="A90:N90"/>
    <mergeCell ref="O90:T90"/>
    <mergeCell ref="A87:B87"/>
    <mergeCell ref="C87:D87"/>
    <mergeCell ref="E87:F87"/>
    <mergeCell ref="G87:H87"/>
    <mergeCell ref="I87:J87"/>
    <mergeCell ref="A93:B93"/>
    <mergeCell ref="C93:D93"/>
    <mergeCell ref="E93:F93"/>
    <mergeCell ref="G93:H93"/>
    <mergeCell ref="I93:J93"/>
    <mergeCell ref="K91:L92"/>
    <mergeCell ref="M91:N92"/>
    <mergeCell ref="O91:P92"/>
    <mergeCell ref="Q91:R92"/>
    <mergeCell ref="K93:L93"/>
    <mergeCell ref="M93:N93"/>
    <mergeCell ref="O93:P102"/>
    <mergeCell ref="Q93:R93"/>
    <mergeCell ref="K96:L96"/>
    <mergeCell ref="M96:N96"/>
    <mergeCell ref="Q96:R96"/>
    <mergeCell ref="A95:B95"/>
    <mergeCell ref="C95:D95"/>
    <mergeCell ref="E95:F95"/>
    <mergeCell ref="G95:H95"/>
    <mergeCell ref="I95:J95"/>
    <mergeCell ref="A94:B94"/>
    <mergeCell ref="C94:D94"/>
    <mergeCell ref="E94:F94"/>
    <mergeCell ref="S93:T93"/>
    <mergeCell ref="K94:L94"/>
    <mergeCell ref="M94:N94"/>
    <mergeCell ref="Q94:R94"/>
    <mergeCell ref="S94:T94"/>
    <mergeCell ref="K95:L95"/>
    <mergeCell ref="M95:N95"/>
    <mergeCell ref="Q95:R95"/>
    <mergeCell ref="S95:T95"/>
    <mergeCell ref="G94:H94"/>
    <mergeCell ref="I94:J94"/>
    <mergeCell ref="S96:T96"/>
    <mergeCell ref="A97:B97"/>
    <mergeCell ref="C97:D97"/>
    <mergeCell ref="E97:F97"/>
    <mergeCell ref="G97:H97"/>
    <mergeCell ref="I97:J97"/>
    <mergeCell ref="K97:L97"/>
    <mergeCell ref="M97:N97"/>
    <mergeCell ref="Q97:R97"/>
    <mergeCell ref="S97:T97"/>
    <mergeCell ref="A96:B96"/>
    <mergeCell ref="C96:D96"/>
    <mergeCell ref="E96:F96"/>
    <mergeCell ref="G96:H96"/>
    <mergeCell ref="I96:J96"/>
    <mergeCell ref="K98:L98"/>
    <mergeCell ref="M98:N98"/>
    <mergeCell ref="Q98:R98"/>
    <mergeCell ref="S98:T98"/>
    <mergeCell ref="A99:B99"/>
    <mergeCell ref="C99:D99"/>
    <mergeCell ref="E99:F99"/>
    <mergeCell ref="G99:H99"/>
    <mergeCell ref="I99:J99"/>
    <mergeCell ref="K99:L99"/>
    <mergeCell ref="M99:N99"/>
    <mergeCell ref="Q99:R99"/>
    <mergeCell ref="S99:T99"/>
    <mergeCell ref="A98:B98"/>
    <mergeCell ref="C98:D98"/>
    <mergeCell ref="E98:F98"/>
    <mergeCell ref="G98:H98"/>
    <mergeCell ref="I98:J98"/>
    <mergeCell ref="K100:L100"/>
    <mergeCell ref="M100:N100"/>
    <mergeCell ref="Q100:R100"/>
    <mergeCell ref="S100:T100"/>
    <mergeCell ref="A101:B101"/>
    <mergeCell ref="C101:D101"/>
    <mergeCell ref="E101:F101"/>
    <mergeCell ref="G101:H101"/>
    <mergeCell ref="I101:J101"/>
    <mergeCell ref="K101:L101"/>
    <mergeCell ref="M101:N101"/>
    <mergeCell ref="A100:B100"/>
    <mergeCell ref="C100:D100"/>
    <mergeCell ref="E100:F100"/>
    <mergeCell ref="G100:H100"/>
    <mergeCell ref="I100:J100"/>
    <mergeCell ref="A123:B123"/>
    <mergeCell ref="C123:G123"/>
    <mergeCell ref="H123:I123"/>
    <mergeCell ref="J123:N123"/>
    <mergeCell ref="O123:P123"/>
    <mergeCell ref="B111:S111"/>
    <mergeCell ref="I113:L113"/>
    <mergeCell ref="B116:E116"/>
    <mergeCell ref="K116:N116"/>
    <mergeCell ref="B117:F117"/>
    <mergeCell ref="K117:O117"/>
    <mergeCell ref="A121:N121"/>
    <mergeCell ref="O121:T121"/>
    <mergeCell ref="A122:B122"/>
    <mergeCell ref="C122:G122"/>
    <mergeCell ref="H122:I122"/>
    <mergeCell ref="J122:N122"/>
    <mergeCell ref="O122:P122"/>
    <mergeCell ref="Q122:T122"/>
    <mergeCell ref="Q123:T123"/>
    <mergeCell ref="A124:B124"/>
    <mergeCell ref="C124:G124"/>
    <mergeCell ref="H124:I124"/>
    <mergeCell ref="J124:N124"/>
    <mergeCell ref="O124:P124"/>
    <mergeCell ref="P42:Q42"/>
    <mergeCell ref="P43:Q43"/>
    <mergeCell ref="P44:Q44"/>
    <mergeCell ref="F40:U40"/>
    <mergeCell ref="Q124:T124"/>
    <mergeCell ref="B107:D107"/>
    <mergeCell ref="E107:S107"/>
    <mergeCell ref="B108:S108"/>
    <mergeCell ref="B109:S109"/>
    <mergeCell ref="B110:S110"/>
    <mergeCell ref="K102:L102"/>
    <mergeCell ref="M102:N102"/>
    <mergeCell ref="Q102:R102"/>
    <mergeCell ref="S102:T102"/>
    <mergeCell ref="A102:B102"/>
    <mergeCell ref="C102:D102"/>
    <mergeCell ref="E102:F102"/>
    <mergeCell ref="G102:H102"/>
    <mergeCell ref="I102:J102"/>
  </mergeCells>
  <conditionalFormatting sqref="A93:B100 A101 A102:B102">
    <cfRule type="containsBlanks" dxfId="61" priority="72">
      <formula>LEN(TRIM(A93))=0</formula>
    </cfRule>
  </conditionalFormatting>
  <conditionalFormatting sqref="A78:J83">
    <cfRule type="expression" dxfId="60" priority="7">
      <formula>$O$23="C"</formula>
    </cfRule>
  </conditionalFormatting>
  <conditionalFormatting sqref="A84:J87">
    <cfRule type="expression" dxfId="59" priority="11">
      <formula>$O$23=$Q$134</formula>
    </cfRule>
  </conditionalFormatting>
  <conditionalFormatting sqref="A78:L87">
    <cfRule type="expression" dxfId="58" priority="6">
      <formula>$O$23="B"</formula>
    </cfRule>
  </conditionalFormatting>
  <conditionalFormatting sqref="A78:N87">
    <cfRule type="expression" dxfId="57" priority="1">
      <formula>$O$23="A"</formula>
    </cfRule>
  </conditionalFormatting>
  <conditionalFormatting sqref="B116:E116 K116:N116 B117:F117 K117:O117">
    <cfRule type="containsBlanks" dxfId="56" priority="61">
      <formula>LEN(TRIM(B116))=0</formula>
    </cfRule>
  </conditionalFormatting>
  <conditionalFormatting sqref="B108:S111">
    <cfRule type="containsBlanks" dxfId="55" priority="65">
      <formula>LEN(TRIM(B108))=0</formula>
    </cfRule>
  </conditionalFormatting>
  <conditionalFormatting sqref="C14:G15">
    <cfRule type="containsBlanks" dxfId="54" priority="29">
      <formula>LEN(TRIM(C14))=0</formula>
    </cfRule>
  </conditionalFormatting>
  <conditionalFormatting sqref="C11:H11">
    <cfRule type="containsBlanks" dxfId="53" priority="33">
      <formula>LEN(TRIM(C11))=0</formula>
    </cfRule>
  </conditionalFormatting>
  <conditionalFormatting sqref="D20:D23 E22">
    <cfRule type="containsBlanks" dxfId="52" priority="26">
      <formula>LEN(TRIM(D20))=0</formula>
    </cfRule>
  </conditionalFormatting>
  <conditionalFormatting sqref="E65:Q66 M71:Q72 J73:Q73">
    <cfRule type="expression" dxfId="51" priority="47">
      <formula>$O$23=$Q$134</formula>
    </cfRule>
  </conditionalFormatting>
  <conditionalFormatting sqref="E66:Q66 M71:Q72 J73:Q73">
    <cfRule type="expression" dxfId="50" priority="126">
      <formula>$O$23=$Q$133</formula>
    </cfRule>
  </conditionalFormatting>
  <conditionalFormatting sqref="E107:S107">
    <cfRule type="containsBlanks" dxfId="49" priority="58">
      <formula>LEN(TRIM(E107))=0</formula>
    </cfRule>
  </conditionalFormatting>
  <conditionalFormatting sqref="E16:T16">
    <cfRule type="containsBlanks" dxfId="48" priority="60">
      <formula>LEN(TRIM(E16))=0</formula>
    </cfRule>
  </conditionalFormatting>
  <conditionalFormatting sqref="F20">
    <cfRule type="containsBlanks" dxfId="47" priority="54">
      <formula>LEN(TRIM(F20))=0</formula>
    </cfRule>
  </conditionalFormatting>
  <conditionalFormatting sqref="F6:J8">
    <cfRule type="containsBlanks" dxfId="46" priority="35">
      <formula>LEN(TRIM(F6))=0</formula>
    </cfRule>
  </conditionalFormatting>
  <conditionalFormatting sqref="I20:J22">
    <cfRule type="containsBlanks" dxfId="45" priority="25">
      <formula>LEN(TRIM(I20))=0</formula>
    </cfRule>
  </conditionalFormatting>
  <conditionalFormatting sqref="I93:T102">
    <cfRule type="containsBlanks" dxfId="44" priority="64">
      <formula>LEN(TRIM(I93))=0</formula>
    </cfRule>
  </conditionalFormatting>
  <conditionalFormatting sqref="J42 F42:F44 P42:P44 J43:O44">
    <cfRule type="containsErrors" dxfId="43" priority="82">
      <formula>ISERROR(F42)</formula>
    </cfRule>
    <cfRule type="containsBlanks" dxfId="42" priority="83">
      <formula>LEN(TRIM(F42))=0</formula>
    </cfRule>
  </conditionalFormatting>
  <conditionalFormatting sqref="J49:O51">
    <cfRule type="containsBlanks" dxfId="41" priority="23">
      <formula>LEN(TRIM(J49))=0</formula>
    </cfRule>
  </conditionalFormatting>
  <conditionalFormatting sqref="J29:T38">
    <cfRule type="containsBlanks" dxfId="40" priority="24">
      <formula>LEN(TRIM(J29))=0</formula>
    </cfRule>
  </conditionalFormatting>
  <conditionalFormatting sqref="J42:U44">
    <cfRule type="containsErrors" dxfId="39" priority="10">
      <formula>ISERROR(J42)</formula>
    </cfRule>
  </conditionalFormatting>
  <conditionalFormatting sqref="K72:L72">
    <cfRule type="expression" dxfId="38" priority="4">
      <formula>$O$23=$Q$134</formula>
    </cfRule>
    <cfRule type="expression" dxfId="37" priority="5">
      <formula>$O$23=$Q$133</formula>
    </cfRule>
  </conditionalFormatting>
  <conditionalFormatting sqref="K14:M15">
    <cfRule type="containsBlanks" dxfId="36" priority="30">
      <formula>LEN(TRIM(K14))=0</formula>
    </cfRule>
  </conditionalFormatting>
  <conditionalFormatting sqref="K78:N87">
    <cfRule type="expression" dxfId="35" priority="9">
      <formula>$O$23=$Q$134</formula>
    </cfRule>
  </conditionalFormatting>
  <conditionalFormatting sqref="K11:O11">
    <cfRule type="containsBlanks" dxfId="34" priority="32">
      <formula>LEN(TRIM(K11))=0</formula>
    </cfRule>
  </conditionalFormatting>
  <conditionalFormatting sqref="M78:N87">
    <cfRule type="expression" dxfId="33" priority="8">
      <formula>$O$23=$Q$133</formula>
    </cfRule>
  </conditionalFormatting>
  <conditionalFormatting sqref="O20:Q23 J23:K23 D23:E24 I24:J24 P24:Q24">
    <cfRule type="containsBlanks" dxfId="32" priority="62">
      <formula>LEN(TRIM(D20))=0</formula>
    </cfRule>
  </conditionalFormatting>
  <conditionalFormatting sqref="O70:Q70">
    <cfRule type="expression" dxfId="31" priority="3">
      <formula>$O$23=$Q$133</formula>
    </cfRule>
    <cfRule type="expression" dxfId="30" priority="2">
      <formula>$O$23=$Q$134</formula>
    </cfRule>
  </conditionalFormatting>
  <conditionalFormatting sqref="P6:T7">
    <cfRule type="containsBlanks" dxfId="29" priority="34">
      <formula>LEN(TRIM(P6))=0</formula>
    </cfRule>
  </conditionalFormatting>
  <conditionalFormatting sqref="P15:T15">
    <cfRule type="containsBlanks" dxfId="28" priority="28">
      <formula>LEN(TRIM(P15))=0</formula>
    </cfRule>
  </conditionalFormatting>
  <conditionalFormatting sqref="Q14:T14">
    <cfRule type="containsBlanks" dxfId="27" priority="27">
      <formula>LEN(TRIM(Q14))=0</formula>
    </cfRule>
  </conditionalFormatting>
  <conditionalFormatting sqref="Q78:T87">
    <cfRule type="containsBlanks" dxfId="26" priority="71">
      <formula>LEN(TRIM(Q78))=0</formula>
    </cfRule>
  </conditionalFormatting>
  <conditionalFormatting sqref="R11:T12">
    <cfRule type="containsBlanks" dxfId="25" priority="31">
      <formula>LEN(TRIM(R11))=0</formula>
    </cfRule>
  </conditionalFormatting>
  <conditionalFormatting sqref="R42:T44">
    <cfRule type="containsBlanks" dxfId="24" priority="37">
      <formula>LEN(TRIM(R42))=0</formula>
    </cfRule>
    <cfRule type="containsErrors" dxfId="23" priority="36">
      <formula>ISERROR(R42)</formula>
    </cfRule>
  </conditionalFormatting>
  <conditionalFormatting sqref="S42">
    <cfRule type="cellIs" dxfId="22" priority="22" operator="between">
      <formula>1</formula>
      <formula>$V$42+7</formula>
    </cfRule>
  </conditionalFormatting>
  <conditionalFormatting sqref="S42:S43">
    <cfRule type="cellIs" dxfId="21" priority="18" operator="greaterThan">
      <formula>$V$42+7</formula>
    </cfRule>
    <cfRule type="cellIs" dxfId="20" priority="17" operator="greaterThan">
      <formula>$V$42+30</formula>
    </cfRule>
  </conditionalFormatting>
  <conditionalFormatting sqref="S43">
    <cfRule type="cellIs" dxfId="19" priority="19" operator="between">
      <formula>1</formula>
      <formula>$V$42+30</formula>
    </cfRule>
  </conditionalFormatting>
  <conditionalFormatting sqref="S44">
    <cfRule type="cellIs" dxfId="18" priority="16" operator="between">
      <formula>1</formula>
      <formula>TODAY()+7</formula>
    </cfRule>
    <cfRule type="cellIs" dxfId="17" priority="15" operator="greaterThan">
      <formula>TODAY()+7</formula>
    </cfRule>
    <cfRule type="cellIs" dxfId="16" priority="14" operator="greaterThan">
      <formula>TODAY()+30</formula>
    </cfRule>
  </conditionalFormatting>
  <dataValidations count="10">
    <dataValidation type="list" allowBlank="1" showInputMessage="1" showErrorMessage="1" sqref="B117:F117" xr:uid="{00000000-0002-0000-0000-000000000000}">
      <formula1>$M$127:$M$130</formula1>
    </dataValidation>
    <dataValidation type="list" allowBlank="1" showInputMessage="1" showErrorMessage="1" sqref="K117:O117" xr:uid="{00000000-0002-0000-0000-000001000000}">
      <formula1>$M$127:$M$131</formula1>
    </dataValidation>
    <dataValidation type="list" allowBlank="1" showInputMessage="1" showErrorMessage="1" sqref="C14:G14" xr:uid="{00000000-0002-0000-0000-000002000000}">
      <formula1>$A$127:$A$132</formula1>
    </dataValidation>
    <dataValidation type="list" allowBlank="1" showInputMessage="1" showErrorMessage="1" sqref="O20:Q20" xr:uid="{00000000-0002-0000-0000-000004000000}">
      <formula1>$E$127:$E$128</formula1>
    </dataValidation>
    <dataValidation type="list" allowBlank="1" showInputMessage="1" showErrorMessage="1" sqref="O23:Q23" xr:uid="{00000000-0002-0000-0000-000005000000}">
      <formula1>$Q$132:$Q$134</formula1>
    </dataValidation>
    <dataValidation type="list" allowBlank="1" showInputMessage="1" showErrorMessage="1" sqref="F20 L104:M104" xr:uid="{00000000-0002-0000-0000-000006000000}">
      <formula1>$H$127:$H$138</formula1>
    </dataValidation>
    <dataValidation type="list" allowBlank="1" showInputMessage="1" showErrorMessage="1" sqref="J23:K23" xr:uid="{00000000-0002-0000-0000-000008000000}">
      <formula1>$A$134:$A$135</formula1>
    </dataValidation>
    <dataValidation type="list" allowBlank="1" showInputMessage="1" showErrorMessage="1" sqref="A68:E74" xr:uid="{00000000-0002-0000-0000-000009000000}">
      <formula1>$Q$137:$Q$138</formula1>
    </dataValidation>
    <dataValidation type="list" allowBlank="1" showInputMessage="1" showErrorMessage="1" sqref="K116:N116" xr:uid="{00000000-0002-0000-0000-000003000000}">
      <formula1>$K$129:$K$130</formula1>
    </dataValidation>
    <dataValidation type="list" allowBlank="1" showInputMessage="1" showErrorMessage="1" sqref="B116:E116" xr:uid="{00000000-0002-0000-0000-00000B000000}">
      <formula1>$K$127:$K$136</formula1>
    </dataValidation>
  </dataValidations>
  <printOptions horizontalCentered="1"/>
  <pageMargins left="0" right="0" top="0.35433070866141736" bottom="0.35433070866141736" header="0" footer="0"/>
  <pageSetup scale="61" fitToHeight="2" orientation="portrait" r:id="rId1"/>
  <rowBreaks count="1" manualBreakCount="1">
    <brk id="87" max="21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7000000}">
          <x14:formula1>
            <xm:f>TRAZABILIDAD!$A$3:$A$12</xm:f>
          </x14:formula1>
          <xm:sqref>F42:I44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48"/>
  <sheetViews>
    <sheetView showGridLines="0" view="pageBreakPreview" zoomScaleNormal="100" zoomScaleSheetLayoutView="100" zoomScalePageLayoutView="55" workbookViewId="0">
      <selection activeCell="AC104" sqref="AC104"/>
    </sheetView>
  </sheetViews>
  <sheetFormatPr baseColWidth="10" defaultRowHeight="14.4" x14ac:dyDescent="0.3"/>
  <cols>
    <col min="1" max="1" width="7.109375" style="99" customWidth="1"/>
    <col min="2" max="2" width="5" style="99" customWidth="1"/>
    <col min="3" max="3" width="6.88671875" style="99" customWidth="1"/>
    <col min="4" max="4" width="5.21875" style="99" customWidth="1"/>
    <col min="5" max="5" width="3.88671875" style="99" customWidth="1"/>
    <col min="6" max="6" width="4" style="99" customWidth="1"/>
    <col min="7" max="7" width="8.5546875" style="98" customWidth="1"/>
    <col min="8" max="8" width="4" style="99" customWidth="1"/>
    <col min="9" max="9" width="6.33203125" style="99" customWidth="1"/>
    <col min="10" max="10" width="5.21875" style="99" customWidth="1"/>
    <col min="11" max="11" width="3.33203125" style="99" customWidth="1"/>
    <col min="12" max="12" width="4.33203125" style="99" customWidth="1"/>
    <col min="13" max="13" width="4" style="99" customWidth="1"/>
    <col min="14" max="14" width="6.44140625" style="99" customWidth="1"/>
    <col min="15" max="17" width="4.88671875" style="99" customWidth="1"/>
    <col min="18" max="18" width="4.33203125" style="99" customWidth="1"/>
    <col min="19" max="19" width="5.44140625" style="99" customWidth="1"/>
    <col min="20" max="20" width="5.5546875" style="99" customWidth="1"/>
    <col min="21" max="21" width="8" style="99" customWidth="1"/>
    <col min="22" max="22" width="6.77734375" style="99" customWidth="1"/>
    <col min="23" max="23" width="5.5546875" style="99" customWidth="1"/>
    <col min="24" max="24" width="6.77734375" style="99" customWidth="1"/>
    <col min="25" max="25" width="5.88671875" style="99" customWidth="1"/>
    <col min="26" max="26" width="5" style="99" customWidth="1"/>
    <col min="27" max="27" width="12.33203125" customWidth="1"/>
    <col min="28" max="28" width="11.44140625" customWidth="1"/>
    <col min="29" max="29" width="2.6640625" customWidth="1"/>
    <col min="30" max="36" width="12.33203125" hidden="1" customWidth="1"/>
    <col min="37" max="37" width="10.6640625" hidden="1" customWidth="1"/>
    <col min="38" max="38" width="12.33203125" style="219" customWidth="1"/>
    <col min="39" max="40" width="11.44140625" style="219" customWidth="1"/>
    <col min="41" max="41" width="11.44140625" customWidth="1"/>
    <col min="45" max="45" width="15.44140625" customWidth="1"/>
    <col min="47" max="48" width="11.44140625" customWidth="1"/>
  </cols>
  <sheetData>
    <row r="1" spans="1:57" ht="15" customHeight="1" x14ac:dyDescent="0.3">
      <c r="A1" s="505" t="s">
        <v>639</v>
      </c>
      <c r="B1" s="505"/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5"/>
      <c r="O1" s="505"/>
      <c r="P1" s="505"/>
      <c r="Q1" s="505"/>
      <c r="R1" s="505"/>
      <c r="S1" s="505"/>
      <c r="T1" s="505"/>
      <c r="U1" s="505"/>
      <c r="V1" s="505"/>
      <c r="W1" s="505"/>
      <c r="X1" s="505"/>
      <c r="Y1" s="505"/>
      <c r="Z1" s="505"/>
      <c r="AA1" s="367"/>
      <c r="AB1" s="367"/>
      <c r="AC1" s="367"/>
      <c r="AD1" s="367"/>
      <c r="AE1" s="367"/>
      <c r="AF1" s="367"/>
      <c r="AG1" s="367"/>
      <c r="AH1" s="367"/>
      <c r="AI1" s="367"/>
      <c r="AJ1" s="367"/>
      <c r="AK1" s="367"/>
      <c r="AL1" s="506"/>
      <c r="AM1" s="506"/>
      <c r="AN1" s="506"/>
      <c r="AO1" s="506"/>
      <c r="AP1" s="506"/>
      <c r="AQ1" s="506"/>
      <c r="AR1" s="506"/>
      <c r="AS1" s="506"/>
      <c r="AT1" s="506"/>
      <c r="BD1" s="219"/>
      <c r="BE1" s="219"/>
    </row>
    <row r="2" spans="1:57" ht="18.45" customHeight="1" x14ac:dyDescent="0.3">
      <c r="A2" s="507" t="s">
        <v>637</v>
      </c>
      <c r="B2" s="507"/>
      <c r="C2" s="507"/>
      <c r="D2" s="507"/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7"/>
      <c r="P2" s="507"/>
      <c r="Q2" s="507"/>
      <c r="R2" s="507"/>
      <c r="S2" s="507"/>
      <c r="T2" s="507"/>
      <c r="U2" s="507"/>
      <c r="V2" s="507"/>
      <c r="W2" s="507"/>
      <c r="X2" s="507"/>
      <c r="Y2" s="507"/>
      <c r="Z2" s="507"/>
      <c r="AA2" s="367"/>
      <c r="AB2" s="367"/>
      <c r="AC2" s="367"/>
      <c r="AD2" s="367"/>
      <c r="AE2" s="367"/>
      <c r="AF2" s="367"/>
      <c r="AG2" s="367"/>
      <c r="AH2" s="367"/>
      <c r="AI2" s="367"/>
      <c r="AJ2" s="367"/>
      <c r="AK2" s="367"/>
      <c r="AL2" s="506"/>
      <c r="AM2" s="506"/>
      <c r="AN2" s="506"/>
      <c r="AO2" s="506"/>
      <c r="AP2" s="506"/>
      <c r="AQ2" s="506"/>
      <c r="AR2" s="506"/>
      <c r="AS2" s="506"/>
      <c r="AT2" s="506"/>
      <c r="BD2" s="219"/>
      <c r="BE2" s="219"/>
    </row>
    <row r="3" spans="1:57" s="381" customFormat="1" x14ac:dyDescent="0.3">
      <c r="A3" s="508"/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8"/>
      <c r="N3" s="508"/>
      <c r="O3" s="508"/>
      <c r="P3" s="508"/>
      <c r="Q3" s="508"/>
      <c r="R3" s="508"/>
      <c r="S3" s="508"/>
      <c r="T3" s="508"/>
      <c r="U3" s="508"/>
      <c r="V3" s="508"/>
      <c r="W3" s="508"/>
      <c r="X3" s="508"/>
      <c r="Y3" s="508"/>
      <c r="Z3" s="508"/>
      <c r="AA3" s="380"/>
      <c r="AB3" s="380"/>
      <c r="AC3" s="380"/>
      <c r="AD3" s="380"/>
      <c r="AE3" s="380"/>
      <c r="AF3" s="380"/>
      <c r="AG3" s="380"/>
      <c r="AH3" s="380"/>
      <c r="AI3" s="380"/>
      <c r="AJ3" s="380"/>
      <c r="AK3" s="380"/>
      <c r="AL3" s="506"/>
      <c r="AM3" s="506"/>
      <c r="AN3" s="506"/>
      <c r="AO3" s="506"/>
      <c r="AP3" s="506"/>
      <c r="AQ3" s="506"/>
      <c r="AR3" s="506"/>
      <c r="AS3" s="506"/>
      <c r="AT3" s="506"/>
      <c r="AV3" s="382"/>
      <c r="AW3" s="382"/>
    </row>
    <row r="4" spans="1:57" s="381" customFormat="1" ht="45" customHeight="1" x14ac:dyDescent="0.3">
      <c r="A4" s="509" t="s">
        <v>638</v>
      </c>
      <c r="B4" s="509"/>
      <c r="C4" s="509"/>
      <c r="D4" s="509"/>
      <c r="E4" s="509"/>
      <c r="F4" s="509"/>
      <c r="G4" s="509"/>
      <c r="H4" s="509"/>
      <c r="I4" s="509"/>
      <c r="J4" s="509"/>
      <c r="K4" s="509"/>
      <c r="L4" s="509"/>
      <c r="M4" s="509"/>
      <c r="N4" s="509"/>
      <c r="O4" s="509"/>
      <c r="P4" s="509"/>
      <c r="Q4" s="509"/>
      <c r="R4" s="509"/>
      <c r="S4" s="509"/>
      <c r="T4" s="509"/>
      <c r="U4" s="509"/>
      <c r="V4" s="509"/>
      <c r="W4" s="509"/>
      <c r="X4" s="509"/>
      <c r="Y4" s="509"/>
      <c r="Z4" s="509"/>
      <c r="AA4" s="383"/>
      <c r="AB4" s="383"/>
      <c r="AC4" s="383"/>
      <c r="AD4" s="383"/>
      <c r="AE4" s="383"/>
      <c r="AF4" s="383"/>
      <c r="AG4" s="383"/>
      <c r="AH4" s="383"/>
      <c r="AI4" s="383"/>
      <c r="AJ4" s="383"/>
      <c r="AK4" s="383"/>
      <c r="AL4" s="506"/>
      <c r="AM4" s="506"/>
      <c r="AN4" s="506"/>
      <c r="AO4" s="506"/>
      <c r="AP4" s="506"/>
      <c r="AQ4" s="506"/>
      <c r="AR4" s="506"/>
      <c r="AS4" s="506"/>
      <c r="AT4" s="506"/>
      <c r="AX4" s="384"/>
      <c r="AY4" s="384"/>
      <c r="AZ4" s="384"/>
      <c r="BA4" s="384"/>
      <c r="BB4" s="382"/>
      <c r="BC4" s="382"/>
      <c r="BD4" s="382"/>
      <c r="BE4" s="382"/>
    </row>
    <row r="5" spans="1:57" ht="15.6" x14ac:dyDescent="0.3">
      <c r="A5" s="419" t="s">
        <v>214</v>
      </c>
      <c r="B5" s="419"/>
      <c r="C5" s="419"/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19"/>
      <c r="O5" s="419"/>
      <c r="P5" s="419"/>
      <c r="Q5" s="419"/>
      <c r="R5" s="419"/>
      <c r="S5" s="419"/>
      <c r="T5" s="419"/>
      <c r="U5" s="419"/>
      <c r="V5" s="419"/>
      <c r="W5" s="419"/>
      <c r="X5" s="419"/>
      <c r="Y5" s="419"/>
      <c r="Z5" s="419"/>
    </row>
    <row r="6" spans="1:57" ht="15.6" x14ac:dyDescent="0.3">
      <c r="A6" s="420" t="s">
        <v>277</v>
      </c>
      <c r="B6" s="420"/>
      <c r="C6" s="420"/>
      <c r="D6" s="420"/>
      <c r="E6" s="420"/>
      <c r="F6" s="420"/>
      <c r="G6" s="420"/>
      <c r="H6" s="420"/>
      <c r="I6" s="420"/>
      <c r="J6" s="420"/>
      <c r="K6" s="420"/>
      <c r="L6" s="420"/>
      <c r="M6" s="420"/>
      <c r="N6" s="420"/>
      <c r="O6" s="420"/>
      <c r="P6" s="420"/>
      <c r="Q6" s="420"/>
      <c r="R6" s="420"/>
      <c r="S6" s="420"/>
      <c r="T6" s="420"/>
      <c r="U6" s="420"/>
      <c r="V6" s="420"/>
      <c r="W6" s="420"/>
      <c r="X6" s="420"/>
      <c r="Y6" s="420"/>
      <c r="Z6" s="420"/>
    </row>
    <row r="7" spans="1:57" ht="9" customHeight="1" x14ac:dyDescent="0.3">
      <c r="A7" s="134"/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5"/>
      <c r="Z7" s="135"/>
    </row>
    <row r="8" spans="1:57" ht="9" customHeight="1" x14ac:dyDescent="0.3">
      <c r="A8" s="136"/>
      <c r="B8" s="136"/>
      <c r="C8" s="136"/>
      <c r="D8" s="136"/>
      <c r="E8" s="136"/>
      <c r="F8" s="136"/>
      <c r="G8" s="137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</row>
    <row r="9" spans="1:57" ht="15.6" x14ac:dyDescent="0.3">
      <c r="A9" s="138"/>
      <c r="B9" s="136"/>
      <c r="C9" s="136"/>
      <c r="D9" s="136"/>
      <c r="E9" s="136"/>
      <c r="F9" s="136"/>
      <c r="G9" s="137"/>
      <c r="H9" s="136"/>
      <c r="I9" s="136"/>
      <c r="J9" s="136"/>
      <c r="K9" s="136"/>
      <c r="L9" s="136"/>
      <c r="M9" s="136"/>
      <c r="N9" s="138"/>
      <c r="O9" s="138"/>
      <c r="P9" s="136"/>
      <c r="Q9" s="136"/>
      <c r="R9" s="421" t="s">
        <v>216</v>
      </c>
      <c r="S9" s="421"/>
      <c r="T9" s="421"/>
      <c r="U9" s="421"/>
      <c r="V9" s="422" t="str">
        <f>'TOMA DE DATOS'!F6</f>
        <v>TP046-26</v>
      </c>
      <c r="W9" s="422"/>
      <c r="X9" s="422"/>
      <c r="Y9" s="136"/>
      <c r="Z9" s="136"/>
    </row>
    <row r="10" spans="1:57" ht="15.6" x14ac:dyDescent="0.3">
      <c r="A10" s="139"/>
      <c r="B10" s="135"/>
      <c r="C10" s="135"/>
      <c r="D10" s="135"/>
      <c r="E10" s="135"/>
      <c r="F10" s="135"/>
      <c r="G10" s="140"/>
      <c r="H10" s="135"/>
      <c r="I10" s="135"/>
      <c r="J10" s="135"/>
      <c r="K10" s="135"/>
      <c r="L10" s="135"/>
      <c r="M10" s="135"/>
      <c r="N10" s="139"/>
      <c r="O10" s="139"/>
      <c r="P10" s="135"/>
      <c r="Q10" s="135"/>
      <c r="R10" s="423" t="s">
        <v>217</v>
      </c>
      <c r="S10" s="423"/>
      <c r="T10" s="423"/>
      <c r="U10" s="423"/>
      <c r="V10" s="135"/>
      <c r="W10" s="135"/>
      <c r="X10" s="135"/>
      <c r="Y10" s="135"/>
      <c r="Z10" s="135"/>
    </row>
    <row r="11" spans="1:57" ht="10.8" customHeight="1" x14ac:dyDescent="0.3">
      <c r="A11" s="138"/>
      <c r="B11" s="136"/>
      <c r="C11" s="136"/>
      <c r="D11" s="136"/>
      <c r="E11" s="136"/>
      <c r="F11" s="136"/>
      <c r="G11" s="137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</row>
    <row r="12" spans="1:57" ht="10.8" customHeight="1" x14ac:dyDescent="0.3">
      <c r="A12" s="138"/>
      <c r="B12" s="136"/>
      <c r="C12" s="136"/>
      <c r="D12" s="136"/>
      <c r="E12" s="136"/>
      <c r="F12" s="136"/>
      <c r="G12" s="137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</row>
    <row r="13" spans="1:57" ht="15.6" x14ac:dyDescent="0.3">
      <c r="A13" s="421" t="s">
        <v>218</v>
      </c>
      <c r="B13" s="421"/>
      <c r="C13" s="421"/>
      <c r="D13" s="421"/>
      <c r="E13" s="423" t="s">
        <v>244</v>
      </c>
      <c r="F13" s="437"/>
      <c r="G13" s="437"/>
      <c r="H13" s="437"/>
      <c r="I13" s="437"/>
      <c r="J13" s="437"/>
      <c r="K13" s="437"/>
      <c r="L13" s="437"/>
      <c r="M13" s="437"/>
      <c r="N13" s="136"/>
      <c r="O13" s="138" t="s">
        <v>309</v>
      </c>
      <c r="P13" s="136"/>
      <c r="Q13" s="138"/>
      <c r="R13" s="438" t="str">
        <f>'TOMA DE DATOS'!C14</f>
        <v>Manómetro de presión diferencial</v>
      </c>
      <c r="S13" s="438"/>
      <c r="T13" s="438"/>
      <c r="U13" s="438"/>
      <c r="V13" s="438"/>
      <c r="W13" s="438"/>
      <c r="X13" s="438"/>
      <c r="Y13" s="136"/>
      <c r="Z13" s="136"/>
    </row>
    <row r="14" spans="1:57" ht="15.6" x14ac:dyDescent="0.3">
      <c r="A14" s="136"/>
      <c r="B14" s="136"/>
      <c r="C14" s="136"/>
      <c r="D14" s="136"/>
      <c r="E14" s="136"/>
      <c r="F14" s="141"/>
      <c r="G14" s="141"/>
      <c r="H14" s="141"/>
      <c r="I14" s="141"/>
      <c r="J14" s="141"/>
      <c r="K14" s="141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</row>
    <row r="15" spans="1:57" ht="15.6" x14ac:dyDescent="0.3">
      <c r="A15" s="138" t="s">
        <v>219</v>
      </c>
      <c r="B15" s="138"/>
      <c r="C15" s="138"/>
      <c r="D15" s="138"/>
      <c r="E15" s="439" t="str">
        <f>'TOMA DE DATOS'!C11</f>
        <v>VALLECILLA B Y VALLECILLA M Y CIA S.C.A CARVAL DE COLOMBIA</v>
      </c>
      <c r="F15" s="439"/>
      <c r="G15" s="439"/>
      <c r="H15" s="439"/>
      <c r="I15" s="439"/>
      <c r="J15" s="439"/>
      <c r="K15" s="439"/>
      <c r="L15" s="439"/>
      <c r="M15" s="439"/>
      <c r="N15" s="136"/>
      <c r="O15" s="138" t="s">
        <v>310</v>
      </c>
      <c r="P15" s="136"/>
      <c r="Q15" s="138"/>
      <c r="R15" s="422" t="str">
        <f>'TOMA DE DATOS'!K14</f>
        <v>DWYER</v>
      </c>
      <c r="S15" s="422"/>
      <c r="T15" s="422"/>
      <c r="U15" s="422"/>
      <c r="V15" s="422"/>
      <c r="W15" s="422"/>
      <c r="X15" s="422"/>
      <c r="Y15" s="136"/>
      <c r="Z15" s="136"/>
    </row>
    <row r="16" spans="1:57" ht="15.6" x14ac:dyDescent="0.3">
      <c r="A16" s="142"/>
      <c r="B16" s="142"/>
      <c r="C16" s="142"/>
      <c r="D16" s="142"/>
      <c r="E16" s="143"/>
      <c r="F16" s="143"/>
      <c r="G16" s="143"/>
      <c r="H16" s="143"/>
      <c r="I16" s="143"/>
      <c r="J16" s="143"/>
      <c r="K16" s="143"/>
      <c r="L16" s="144"/>
      <c r="M16" s="142"/>
      <c r="N16" s="142"/>
      <c r="O16" s="142"/>
      <c r="P16" s="142"/>
      <c r="Q16" s="142"/>
      <c r="R16" s="142"/>
      <c r="S16" s="142"/>
      <c r="T16" s="142"/>
      <c r="U16" s="144"/>
      <c r="V16" s="144"/>
      <c r="W16" s="144"/>
      <c r="X16" s="142"/>
      <c r="Y16" s="142"/>
      <c r="Z16" s="142"/>
    </row>
    <row r="17" spans="1:40" ht="29.25" customHeight="1" x14ac:dyDescent="0.3">
      <c r="A17" s="145" t="s">
        <v>132</v>
      </c>
      <c r="B17" s="138"/>
      <c r="C17" s="138"/>
      <c r="D17" s="138"/>
      <c r="E17" s="433" t="str">
        <f>IF('TOMA DE DATOS'!K11="","",CONCATENATE('TOMA DE DATOS'!K11," ",'TOMA DE DATOS'!R11," - ",'TOMA DE DATOS'!R12))</f>
        <v xml:space="preserve">Calle 15 No 32 - 450 km 2 Yumbo, Valle del Cauca - Colombia </v>
      </c>
      <c r="F17" s="433"/>
      <c r="G17" s="433"/>
      <c r="H17" s="433"/>
      <c r="I17" s="433"/>
      <c r="J17" s="433"/>
      <c r="K17" s="433"/>
      <c r="L17" s="433"/>
      <c r="M17" s="433"/>
      <c r="N17" s="433"/>
      <c r="O17" s="145" t="s">
        <v>311</v>
      </c>
      <c r="P17" s="136"/>
      <c r="Q17" s="138"/>
      <c r="R17" s="434" t="str">
        <f>'TOMA DE DATOS'!Q14</f>
        <v>MAGNEHELIC</v>
      </c>
      <c r="S17" s="434"/>
      <c r="T17" s="434"/>
      <c r="U17" s="434"/>
      <c r="V17" s="434"/>
      <c r="W17" s="434"/>
      <c r="X17" s="434"/>
      <c r="Y17" s="434"/>
      <c r="Z17" s="136"/>
    </row>
    <row r="18" spans="1:40" ht="15.6" x14ac:dyDescent="0.3">
      <c r="A18" s="142"/>
      <c r="B18" s="142"/>
      <c r="C18" s="142"/>
      <c r="D18" s="142"/>
      <c r="E18" s="146"/>
      <c r="F18" s="146"/>
      <c r="G18" s="146"/>
      <c r="H18" s="146"/>
      <c r="I18" s="146"/>
      <c r="J18" s="146"/>
      <c r="K18" s="146"/>
      <c r="L18" s="146"/>
      <c r="M18" s="146"/>
      <c r="N18" s="142"/>
      <c r="O18" s="142"/>
      <c r="P18" s="142"/>
      <c r="Q18" s="142"/>
      <c r="R18" s="142"/>
      <c r="S18" s="142"/>
      <c r="T18" s="142"/>
      <c r="U18" s="144"/>
      <c r="V18" s="144"/>
      <c r="W18" s="144"/>
      <c r="X18" s="142"/>
      <c r="Y18" s="142"/>
      <c r="Z18" s="142"/>
    </row>
    <row r="19" spans="1:40" ht="15.6" x14ac:dyDescent="0.3">
      <c r="A19" s="147" t="s">
        <v>127</v>
      </c>
      <c r="B19" s="138"/>
      <c r="C19" s="138"/>
      <c r="D19" s="138"/>
      <c r="E19" s="435">
        <f>'TOMA DE DATOS'!F7</f>
        <v>46136</v>
      </c>
      <c r="F19" s="435"/>
      <c r="G19" s="435"/>
      <c r="H19" s="435"/>
      <c r="I19" s="435"/>
      <c r="J19" s="435"/>
      <c r="K19" s="435"/>
      <c r="L19" s="435"/>
      <c r="M19" s="435"/>
      <c r="N19" s="136"/>
      <c r="O19" s="138" t="s">
        <v>312</v>
      </c>
      <c r="P19" s="136"/>
      <c r="Q19" s="138"/>
      <c r="R19" s="422" t="str">
        <f>'TOMA DE DATOS'!K15</f>
        <v>CVSAC001-Q642</v>
      </c>
      <c r="S19" s="422"/>
      <c r="T19" s="422"/>
      <c r="U19" s="422"/>
      <c r="V19" s="422"/>
      <c r="W19" s="422"/>
      <c r="X19" s="422"/>
      <c r="Y19" s="136"/>
      <c r="Z19" s="136"/>
    </row>
    <row r="20" spans="1:40" ht="15.6" x14ac:dyDescent="0.3">
      <c r="A20" s="142"/>
      <c r="B20" s="142"/>
      <c r="C20" s="142"/>
      <c r="D20" s="142"/>
      <c r="E20" s="144"/>
      <c r="F20" s="144"/>
      <c r="G20" s="144"/>
      <c r="H20" s="144"/>
      <c r="I20" s="144"/>
      <c r="J20" s="144"/>
      <c r="K20" s="144"/>
      <c r="L20" s="144"/>
      <c r="M20" s="142"/>
      <c r="N20" s="142"/>
      <c r="O20" s="142"/>
      <c r="P20" s="142"/>
      <c r="Q20" s="142"/>
      <c r="R20" s="142"/>
      <c r="S20" s="142"/>
      <c r="T20" s="142"/>
      <c r="U20" s="144"/>
      <c r="V20" s="142"/>
      <c r="W20" s="144"/>
      <c r="X20" s="144"/>
      <c r="Y20" s="142"/>
      <c r="Z20" s="142"/>
    </row>
    <row r="21" spans="1:40" ht="15.6" x14ac:dyDescent="0.3">
      <c r="A21" s="138" t="s">
        <v>129</v>
      </c>
      <c r="B21" s="136"/>
      <c r="C21" s="136"/>
      <c r="D21" s="136"/>
      <c r="E21" s="435">
        <f>'TOMA DE DATOS'!F8</f>
        <v>46136</v>
      </c>
      <c r="F21" s="435"/>
      <c r="G21" s="435"/>
      <c r="H21" s="435"/>
      <c r="I21" s="435"/>
      <c r="J21" s="435"/>
      <c r="K21" s="435"/>
      <c r="L21" s="435"/>
      <c r="M21" s="435"/>
      <c r="N21" s="136"/>
      <c r="O21" s="138" t="s">
        <v>313</v>
      </c>
      <c r="P21" s="136"/>
      <c r="Q21" s="136"/>
      <c r="R21" s="136"/>
      <c r="S21" s="436" t="str">
        <f>'TOMA DE DATOS'!C15</f>
        <v>N.I</v>
      </c>
      <c r="T21" s="436"/>
      <c r="U21" s="436"/>
      <c r="V21" s="436"/>
      <c r="W21" s="436"/>
      <c r="X21" s="436"/>
      <c r="Y21" s="136"/>
      <c r="Z21" s="136"/>
    </row>
    <row r="22" spans="1:40" ht="9.75" customHeight="1" x14ac:dyDescent="0.3">
      <c r="A22" s="142"/>
      <c r="B22" s="142"/>
      <c r="C22" s="142"/>
      <c r="D22" s="142"/>
      <c r="E22" s="142"/>
      <c r="F22" s="142"/>
      <c r="G22" s="144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</row>
    <row r="23" spans="1:40" s="341" customFormat="1" ht="35.25" customHeight="1" x14ac:dyDescent="0.3">
      <c r="A23" s="441" t="s">
        <v>220</v>
      </c>
      <c r="B23" s="441"/>
      <c r="C23" s="441"/>
      <c r="D23" s="441"/>
      <c r="E23" s="441"/>
      <c r="F23" s="441"/>
      <c r="G23" s="441"/>
      <c r="H23" s="434" t="s">
        <v>221</v>
      </c>
      <c r="I23" s="434"/>
      <c r="J23" s="340"/>
      <c r="K23" s="340"/>
      <c r="L23" s="340"/>
      <c r="M23" s="340"/>
      <c r="N23" s="340"/>
      <c r="O23" s="191" t="s">
        <v>314</v>
      </c>
      <c r="P23" s="340"/>
      <c r="Q23" s="448" t="str">
        <f>'TOMA DE DATOS'!P15</f>
        <v>Laboratorio de microbiología / Exclusa de siembra 2</v>
      </c>
      <c r="R23" s="448"/>
      <c r="S23" s="448"/>
      <c r="T23" s="448"/>
      <c r="U23" s="448"/>
      <c r="V23" s="448"/>
      <c r="W23" s="448"/>
      <c r="X23" s="448"/>
      <c r="Y23" s="448"/>
      <c r="Z23" s="448"/>
      <c r="AL23" s="342"/>
      <c r="AM23" s="342"/>
      <c r="AN23" s="342"/>
    </row>
    <row r="24" spans="1:40" ht="9.75" customHeight="1" thickBot="1" x14ac:dyDescent="0.35">
      <c r="A24" s="148"/>
      <c r="B24" s="148"/>
      <c r="C24" s="148"/>
      <c r="D24" s="148"/>
      <c r="E24" s="148"/>
      <c r="F24" s="148"/>
      <c r="G24" s="149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50"/>
      <c r="T24" s="150"/>
      <c r="U24" s="150"/>
      <c r="V24" s="150"/>
      <c r="W24" s="150"/>
      <c r="X24" s="150"/>
      <c r="Y24" s="150"/>
      <c r="Z24" s="150"/>
    </row>
    <row r="25" spans="1:40" ht="15.6" x14ac:dyDescent="0.3">
      <c r="A25" s="135"/>
      <c r="B25" s="136"/>
      <c r="C25" s="136"/>
      <c r="D25" s="136"/>
      <c r="E25" s="136"/>
      <c r="F25" s="136"/>
      <c r="G25" s="137"/>
      <c r="H25" s="136"/>
      <c r="I25" s="136"/>
      <c r="J25" s="136"/>
      <c r="K25" s="136"/>
      <c r="L25" s="136"/>
      <c r="M25" s="136"/>
      <c r="N25" s="135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</row>
    <row r="26" spans="1:40" ht="15" customHeight="1" x14ac:dyDescent="0.3">
      <c r="A26" s="442" t="s">
        <v>222</v>
      </c>
      <c r="B26" s="442"/>
      <c r="C26" s="442"/>
      <c r="D26" s="442"/>
      <c r="E26" s="442"/>
      <c r="F26" s="442"/>
      <c r="G26" s="442"/>
      <c r="H26" s="442"/>
      <c r="I26" s="442"/>
      <c r="J26" s="442"/>
      <c r="K26" s="442"/>
      <c r="L26" s="442"/>
      <c r="M26" s="442"/>
      <c r="N26" s="442"/>
      <c r="O26" s="442"/>
      <c r="P26" s="442"/>
      <c r="Q26" s="442"/>
      <c r="R26" s="442"/>
      <c r="S26" s="442"/>
      <c r="T26" s="442"/>
      <c r="U26" s="442"/>
      <c r="V26" s="442"/>
      <c r="W26" s="442"/>
      <c r="X26" s="442"/>
      <c r="Y26" s="442"/>
      <c r="Z26" s="442"/>
    </row>
    <row r="27" spans="1:40" ht="15" customHeight="1" x14ac:dyDescent="0.3">
      <c r="A27" s="151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36"/>
      <c r="M27" s="136"/>
      <c r="N27" s="135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</row>
    <row r="28" spans="1:40" ht="15.6" x14ac:dyDescent="0.3">
      <c r="A28" s="443" t="s">
        <v>244</v>
      </c>
      <c r="B28" s="443"/>
      <c r="C28" s="443"/>
      <c r="D28" s="443"/>
      <c r="E28" s="135"/>
      <c r="F28" s="135"/>
      <c r="G28" s="140"/>
      <c r="H28" s="135"/>
      <c r="I28" s="135"/>
      <c r="J28" s="135"/>
      <c r="K28" s="135"/>
      <c r="L28" s="135"/>
      <c r="M28" s="152"/>
      <c r="N28" s="153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</row>
    <row r="29" spans="1:40" ht="15.6" x14ac:dyDescent="0.3">
      <c r="A29" s="444" t="s">
        <v>145</v>
      </c>
      <c r="B29" s="444"/>
      <c r="C29" s="444"/>
      <c r="D29" s="444"/>
      <c r="E29" s="440" t="str">
        <f>CONCATENATE('TOMA DE DATOS'!D20)</f>
        <v>0</v>
      </c>
      <c r="F29" s="440"/>
      <c r="G29" s="154" t="str">
        <f>'TOMA DE DATOS'!F20</f>
        <v>InH2O</v>
      </c>
      <c r="H29" s="445" t="s">
        <v>146</v>
      </c>
      <c r="I29" s="445"/>
      <c r="J29" s="446" t="str">
        <f>CONCATENATE('TOMA DE DATOS'!I20)</f>
        <v>0,25</v>
      </c>
      <c r="K29" s="446"/>
      <c r="L29" s="154" t="str">
        <f>G29</f>
        <v>InH2O</v>
      </c>
      <c r="M29" s="136"/>
      <c r="N29" s="136"/>
      <c r="O29" s="136"/>
      <c r="P29" s="136"/>
      <c r="Q29" s="447" t="s">
        <v>247</v>
      </c>
      <c r="R29" s="447"/>
      <c r="S29" s="447"/>
      <c r="T29" s="447"/>
      <c r="U29" s="447" t="str">
        <f>'TOMA DE DATOS'!O20</f>
        <v>Analógica</v>
      </c>
      <c r="V29" s="447"/>
      <c r="W29" s="136"/>
      <c r="X29" s="136"/>
      <c r="Y29" s="136"/>
      <c r="Z29" s="136"/>
    </row>
    <row r="30" spans="1:40" ht="15.6" x14ac:dyDescent="0.3">
      <c r="A30" s="444" t="s">
        <v>245</v>
      </c>
      <c r="B30" s="444"/>
      <c r="C30" s="444"/>
      <c r="D30" s="444"/>
      <c r="E30" s="451" t="str">
        <f>CONCATENATE('TOMA DE DATOS'!D21)</f>
        <v>0</v>
      </c>
      <c r="F30" s="451"/>
      <c r="G30" s="155" t="str">
        <f>G29</f>
        <v>InH2O</v>
      </c>
      <c r="H30" s="452" t="s">
        <v>146</v>
      </c>
      <c r="I30" s="452"/>
      <c r="J30" s="446" t="str">
        <f>CONCATENATE('TOMA DE DATOS'!I21)</f>
        <v>0,25</v>
      </c>
      <c r="K30" s="446"/>
      <c r="L30" s="155" t="str">
        <f>L29</f>
        <v>InH2O</v>
      </c>
      <c r="M30" s="136"/>
      <c r="N30" s="136"/>
      <c r="O30" s="136"/>
      <c r="P30" s="136"/>
      <c r="Q30" s="444" t="s">
        <v>252</v>
      </c>
      <c r="R30" s="444"/>
      <c r="S30" s="444"/>
      <c r="T30" s="444"/>
      <c r="U30" s="156" t="str">
        <f>'TOMA DE DATOS'!O23</f>
        <v>C</v>
      </c>
      <c r="V30" s="136"/>
      <c r="W30" s="136"/>
      <c r="X30" s="136"/>
      <c r="Y30" s="136"/>
      <c r="Z30" s="136"/>
    </row>
    <row r="31" spans="1:40" ht="15.6" x14ac:dyDescent="0.3">
      <c r="A31" s="444" t="str">
        <f>'TOMA DE DATOS'!A22</f>
        <v>División de escala:</v>
      </c>
      <c r="B31" s="444"/>
      <c r="C31" s="444"/>
      <c r="D31" s="444"/>
      <c r="E31" s="452" t="str">
        <f>CONCATENATE('TOMA DE DATOS'!D22)</f>
        <v>0,005</v>
      </c>
      <c r="F31" s="452"/>
      <c r="G31" s="154" t="str">
        <f>G30</f>
        <v>InH2O</v>
      </c>
      <c r="H31" s="136"/>
      <c r="I31" s="136"/>
      <c r="J31" s="136"/>
      <c r="K31" s="157"/>
      <c r="L31" s="157"/>
      <c r="M31" s="136"/>
      <c r="N31" s="136"/>
      <c r="O31" s="136"/>
      <c r="P31" s="136"/>
      <c r="Q31" s="447" t="s">
        <v>246</v>
      </c>
      <c r="R31" s="447"/>
      <c r="S31" s="447"/>
      <c r="T31" s="447"/>
      <c r="U31" s="447" t="str">
        <f>'TOMA DE DATOS'!J23</f>
        <v>Horizontal</v>
      </c>
      <c r="V31" s="447"/>
      <c r="W31" s="136"/>
      <c r="X31" s="136"/>
      <c r="Y31" s="136"/>
      <c r="Z31" s="136"/>
    </row>
    <row r="32" spans="1:40" ht="15.6" hidden="1" x14ac:dyDescent="0.3">
      <c r="A32" s="444" t="s">
        <v>151</v>
      </c>
      <c r="B32" s="444"/>
      <c r="C32" s="444"/>
      <c r="D32" s="444"/>
      <c r="E32" s="452">
        <f>'TOMA DE DATOS'!I22</f>
        <v>2.5000000000000001E-3</v>
      </c>
      <c r="F32" s="452"/>
      <c r="G32" s="155" t="str">
        <f>G31</f>
        <v>InH2O</v>
      </c>
      <c r="H32" s="154"/>
      <c r="I32" s="154"/>
      <c r="J32" s="154"/>
      <c r="K32" s="158"/>
      <c r="L32" s="157"/>
      <c r="M32" s="136"/>
      <c r="N32" s="136"/>
      <c r="O32" s="136"/>
      <c r="P32" s="136"/>
      <c r="Q32" s="454"/>
      <c r="R32" s="454"/>
      <c r="S32" s="136"/>
      <c r="T32" s="136"/>
      <c r="U32" s="136"/>
      <c r="V32" s="136"/>
      <c r="W32" s="136"/>
      <c r="X32" s="136"/>
      <c r="Y32" s="136"/>
      <c r="Z32" s="136"/>
    </row>
    <row r="33" spans="1:26" ht="15.6" x14ac:dyDescent="0.3">
      <c r="A33" s="447" t="s">
        <v>248</v>
      </c>
      <c r="B33" s="447"/>
      <c r="C33" s="447"/>
      <c r="D33" s="447"/>
      <c r="E33" s="445" t="str">
        <f>IF('TOMA DE DATOS'!O21="","N.I.",'TOMA DE DATOS'!O21)</f>
        <v>4</v>
      </c>
      <c r="F33" s="445"/>
      <c r="G33" s="154" t="str">
        <f>IF('TOMA DE DATOS'!O21="","","%")</f>
        <v>%</v>
      </c>
      <c r="H33" s="447" t="s">
        <v>249</v>
      </c>
      <c r="I33" s="447"/>
      <c r="J33" s="447"/>
      <c r="K33" s="447"/>
      <c r="L33" s="453" t="str">
        <f>IF('TOMA DE DATOS'!O21="",CONCATENATE('TOMA DE DATOS'!O22),"N.A.")</f>
        <v>N.A.</v>
      </c>
      <c r="M33" s="453"/>
      <c r="N33" s="158" t="str">
        <f>IF('TOMA DE DATOS'!O21="","%","")</f>
        <v/>
      </c>
      <c r="O33" s="136"/>
      <c r="P33" s="136"/>
      <c r="Q33" s="159"/>
      <c r="R33" s="159"/>
      <c r="S33" s="136"/>
      <c r="T33" s="136"/>
      <c r="U33" s="136"/>
      <c r="V33" s="136"/>
      <c r="W33" s="136"/>
      <c r="X33" s="136"/>
      <c r="Y33" s="136"/>
      <c r="Z33" s="136"/>
    </row>
    <row r="34" spans="1:26" ht="15.6" x14ac:dyDescent="0.3">
      <c r="A34" s="155" t="s">
        <v>250</v>
      </c>
      <c r="B34" s="155"/>
      <c r="C34" s="155"/>
      <c r="D34" s="455" t="str">
        <f>CONCATENATE('TOMA DE DATOS'!D24)</f>
        <v>0,01</v>
      </c>
      <c r="E34" s="455"/>
      <c r="F34" s="452" t="str">
        <f>IF(D34="","",G29)</f>
        <v>InH2O</v>
      </c>
      <c r="G34" s="452"/>
      <c r="H34" s="444" t="s">
        <v>251</v>
      </c>
      <c r="I34" s="444"/>
      <c r="J34" s="444"/>
      <c r="K34" s="444"/>
      <c r="L34" s="456" t="str">
        <f>CONCATENATE('TOMA DE DATOS'!I24)</f>
        <v>-0,01</v>
      </c>
      <c r="M34" s="456"/>
      <c r="N34" s="160" t="str">
        <f>IF(L34="","",G29)</f>
        <v>InH2O</v>
      </c>
      <c r="O34" s="137"/>
      <c r="P34" s="137"/>
      <c r="Q34" s="157"/>
      <c r="R34" s="157"/>
      <c r="S34" s="161"/>
      <c r="T34" s="162"/>
      <c r="U34" s="162"/>
      <c r="V34" s="162"/>
      <c r="W34" s="136"/>
      <c r="X34" s="136"/>
      <c r="Y34" s="136"/>
      <c r="Z34" s="136"/>
    </row>
    <row r="35" spans="1:26" ht="9" customHeight="1" thickBot="1" x14ac:dyDescent="0.35">
      <c r="A35" s="163"/>
      <c r="B35" s="163"/>
      <c r="C35" s="163"/>
      <c r="D35" s="163"/>
      <c r="E35" s="163"/>
      <c r="F35" s="163"/>
      <c r="G35" s="164"/>
      <c r="H35" s="163"/>
      <c r="I35" s="165"/>
      <c r="J35" s="166"/>
      <c r="K35" s="166"/>
      <c r="L35" s="164"/>
      <c r="M35" s="164"/>
      <c r="N35" s="165"/>
      <c r="O35" s="166"/>
      <c r="P35" s="166"/>
      <c r="Q35" s="167"/>
      <c r="R35" s="167"/>
      <c r="S35" s="165"/>
      <c r="T35" s="163"/>
      <c r="U35" s="163"/>
      <c r="V35" s="457"/>
      <c r="W35" s="457"/>
      <c r="X35" s="168"/>
      <c r="Y35" s="168"/>
      <c r="Z35" s="168"/>
    </row>
    <row r="36" spans="1:26" ht="6.75" customHeight="1" x14ac:dyDescent="0.3">
      <c r="A36" s="162"/>
      <c r="B36" s="162"/>
      <c r="C36" s="162"/>
      <c r="D36" s="162"/>
      <c r="E36" s="137"/>
      <c r="F36" s="137"/>
      <c r="G36" s="162"/>
      <c r="H36" s="162"/>
      <c r="I36" s="161"/>
      <c r="J36" s="137"/>
      <c r="K36" s="137"/>
      <c r="L36" s="162"/>
      <c r="M36" s="162"/>
      <c r="N36" s="161"/>
      <c r="O36" s="137"/>
      <c r="P36" s="137"/>
      <c r="Q36" s="162"/>
      <c r="R36" s="162"/>
      <c r="S36" s="161"/>
      <c r="T36" s="136"/>
      <c r="U36" s="136"/>
      <c r="V36" s="169"/>
      <c r="W36" s="169"/>
      <c r="X36" s="170"/>
      <c r="Y36" s="136"/>
      <c r="Z36" s="136"/>
    </row>
    <row r="37" spans="1:26" ht="15.6" x14ac:dyDescent="0.3">
      <c r="A37" s="449" t="s">
        <v>257</v>
      </c>
      <c r="B37" s="449"/>
      <c r="C37" s="449"/>
      <c r="D37" s="449"/>
      <c r="E37" s="449"/>
      <c r="F37" s="449"/>
      <c r="G37" s="449"/>
      <c r="H37" s="449"/>
      <c r="I37" s="449"/>
      <c r="J37" s="449"/>
      <c r="K37" s="449"/>
      <c r="L37" s="449"/>
      <c r="M37" s="449"/>
      <c r="N37" s="449"/>
      <c r="O37" s="449"/>
      <c r="P37" s="449"/>
      <c r="Q37" s="449"/>
      <c r="R37" s="449"/>
      <c r="S37" s="449"/>
      <c r="T37" s="449"/>
      <c r="U37" s="449"/>
      <c r="V37" s="449"/>
      <c r="W37" s="449"/>
      <c r="X37" s="449"/>
      <c r="Y37" s="136"/>
      <c r="Z37" s="136"/>
    </row>
    <row r="38" spans="1:26" ht="29.25" customHeight="1" x14ac:dyDescent="0.3">
      <c r="A38" s="449" t="s">
        <v>308</v>
      </c>
      <c r="B38" s="449"/>
      <c r="C38" s="449"/>
      <c r="D38" s="449"/>
      <c r="E38" s="449"/>
      <c r="F38" s="449"/>
      <c r="G38" s="449"/>
      <c r="H38" s="449"/>
      <c r="I38" s="449"/>
      <c r="J38" s="449"/>
      <c r="K38" s="449"/>
      <c r="L38" s="449"/>
      <c r="M38" s="449"/>
      <c r="N38" s="449"/>
      <c r="O38" s="449"/>
      <c r="P38" s="449"/>
      <c r="Q38" s="449"/>
      <c r="R38" s="449"/>
      <c r="S38" s="449"/>
      <c r="T38" s="449"/>
      <c r="U38" s="449"/>
      <c r="V38" s="449"/>
      <c r="W38" s="449"/>
      <c r="X38" s="449"/>
      <c r="Y38" s="136"/>
      <c r="Z38" s="136"/>
    </row>
    <row r="39" spans="1:26" ht="9.75" customHeight="1" thickBot="1" x14ac:dyDescent="0.35">
      <c r="A39" s="171"/>
      <c r="B39" s="163"/>
      <c r="C39" s="163"/>
      <c r="D39" s="163"/>
      <c r="E39" s="163"/>
      <c r="F39" s="163"/>
      <c r="G39" s="166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</row>
    <row r="40" spans="1:26" ht="15.6" x14ac:dyDescent="0.3">
      <c r="A40" s="450" t="s">
        <v>223</v>
      </c>
      <c r="B40" s="450"/>
      <c r="C40" s="450"/>
      <c r="D40" s="450"/>
      <c r="E40" s="450"/>
      <c r="F40" s="450"/>
      <c r="G40" s="450"/>
      <c r="H40" s="450"/>
      <c r="I40" s="450"/>
      <c r="J40" s="450"/>
      <c r="K40" s="450"/>
      <c r="L40" s="450"/>
      <c r="M40" s="450"/>
      <c r="N40" s="450"/>
      <c r="O40" s="450"/>
      <c r="P40" s="450"/>
      <c r="Q40" s="450"/>
      <c r="R40" s="450"/>
      <c r="S40" s="450"/>
      <c r="T40" s="450"/>
      <c r="U40" s="450"/>
      <c r="V40" s="450"/>
      <c r="W40" s="450"/>
      <c r="X40" s="450"/>
      <c r="Y40" s="450"/>
      <c r="Z40" s="450"/>
    </row>
    <row r="41" spans="1:26" ht="24.75" customHeight="1" x14ac:dyDescent="0.3">
      <c r="A41" s="448" t="s">
        <v>278</v>
      </c>
      <c r="B41" s="448"/>
      <c r="C41" s="448"/>
      <c r="D41" s="448"/>
      <c r="E41" s="448"/>
      <c r="F41" s="448"/>
      <c r="G41" s="448"/>
      <c r="H41" s="448"/>
      <c r="I41" s="448"/>
      <c r="J41" s="448"/>
      <c r="K41" s="448"/>
      <c r="L41" s="448"/>
      <c r="M41" s="448"/>
      <c r="N41" s="448"/>
      <c r="O41" s="448"/>
      <c r="P41" s="448"/>
      <c r="Q41" s="448"/>
      <c r="R41" s="448"/>
      <c r="S41" s="448"/>
      <c r="T41" s="448"/>
      <c r="U41" s="448"/>
      <c r="V41" s="448"/>
      <c r="W41" s="448"/>
      <c r="X41" s="448"/>
      <c r="Y41" s="172"/>
      <c r="Z41" s="172"/>
    </row>
    <row r="42" spans="1:26" ht="9" customHeight="1" x14ac:dyDescent="0.3">
      <c r="A42" s="173"/>
      <c r="B42" s="173"/>
      <c r="C42" s="173"/>
      <c r="D42" s="173"/>
      <c r="E42" s="173"/>
      <c r="F42" s="173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36"/>
      <c r="Z42" s="136"/>
    </row>
    <row r="43" spans="1:26" ht="15.6" x14ac:dyDescent="0.3">
      <c r="A43" s="421" t="s">
        <v>224</v>
      </c>
      <c r="B43" s="421"/>
      <c r="C43" s="421"/>
      <c r="D43" s="421"/>
      <c r="E43" s="421"/>
      <c r="F43" s="421"/>
      <c r="G43" s="421"/>
      <c r="H43" s="138"/>
      <c r="I43" s="138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</row>
    <row r="44" spans="1:26" ht="15.6" x14ac:dyDescent="0.3">
      <c r="A44" s="448" t="s">
        <v>279</v>
      </c>
      <c r="B44" s="448"/>
      <c r="C44" s="448"/>
      <c r="D44" s="448"/>
      <c r="E44" s="448"/>
      <c r="F44" s="448"/>
      <c r="G44" s="448"/>
      <c r="H44" s="448"/>
      <c r="I44" s="448"/>
      <c r="J44" s="448"/>
      <c r="K44" s="448"/>
      <c r="L44" s="448"/>
      <c r="M44" s="448"/>
      <c r="N44" s="448"/>
      <c r="O44" s="448"/>
      <c r="P44" s="448"/>
      <c r="Q44" s="448"/>
      <c r="R44" s="448"/>
      <c r="S44" s="448"/>
      <c r="T44" s="448"/>
      <c r="U44" s="448"/>
      <c r="V44" s="448"/>
      <c r="W44" s="448"/>
      <c r="X44" s="448"/>
      <c r="Y44" s="136"/>
      <c r="Z44" s="136"/>
    </row>
    <row r="45" spans="1:26" ht="15.6" x14ac:dyDescent="0.3">
      <c r="A45" s="448"/>
      <c r="B45" s="448"/>
      <c r="C45" s="448"/>
      <c r="D45" s="448"/>
      <c r="E45" s="448"/>
      <c r="F45" s="448"/>
      <c r="G45" s="448"/>
      <c r="H45" s="448"/>
      <c r="I45" s="448"/>
      <c r="J45" s="448"/>
      <c r="K45" s="448"/>
      <c r="L45" s="448"/>
      <c r="M45" s="448"/>
      <c r="N45" s="448"/>
      <c r="O45" s="448"/>
      <c r="P45" s="448"/>
      <c r="Q45" s="448"/>
      <c r="R45" s="448"/>
      <c r="S45" s="448"/>
      <c r="T45" s="448"/>
      <c r="U45" s="448"/>
      <c r="V45" s="448"/>
      <c r="W45" s="448"/>
      <c r="X45" s="448"/>
      <c r="Y45" s="136"/>
      <c r="Z45" s="136"/>
    </row>
    <row r="46" spans="1:26" ht="7.5" customHeight="1" x14ac:dyDescent="0.3">
      <c r="A46" s="448"/>
      <c r="B46" s="448"/>
      <c r="C46" s="448"/>
      <c r="D46" s="448"/>
      <c r="E46" s="448"/>
      <c r="F46" s="448"/>
      <c r="G46" s="448"/>
      <c r="H46" s="448"/>
      <c r="I46" s="448"/>
      <c r="J46" s="448"/>
      <c r="K46" s="448"/>
      <c r="L46" s="448"/>
      <c r="M46" s="448"/>
      <c r="N46" s="448"/>
      <c r="O46" s="448"/>
      <c r="P46" s="448"/>
      <c r="Q46" s="448"/>
      <c r="R46" s="448"/>
      <c r="S46" s="448"/>
      <c r="T46" s="448"/>
      <c r="U46" s="448"/>
      <c r="V46" s="448"/>
      <c r="W46" s="448"/>
      <c r="X46" s="448"/>
      <c r="Y46" s="136"/>
      <c r="Z46" s="136"/>
    </row>
    <row r="47" spans="1:26" ht="15.6" x14ac:dyDescent="0.3">
      <c r="A47" s="421" t="s">
        <v>225</v>
      </c>
      <c r="B47" s="421"/>
      <c r="C47" s="421"/>
      <c r="D47" s="421"/>
      <c r="E47" s="421"/>
      <c r="F47" s="421"/>
      <c r="G47" s="421"/>
      <c r="H47" s="421"/>
      <c r="I47" s="421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36"/>
      <c r="Z47" s="136"/>
    </row>
    <row r="48" spans="1:26" ht="7.5" customHeight="1" x14ac:dyDescent="0.3">
      <c r="A48" s="439" t="s">
        <v>280</v>
      </c>
      <c r="B48" s="439"/>
      <c r="C48" s="439"/>
      <c r="D48" s="439"/>
      <c r="E48" s="439"/>
      <c r="F48" s="439"/>
      <c r="G48" s="439"/>
      <c r="H48" s="439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136"/>
      <c r="Z48" s="136"/>
    </row>
    <row r="49" spans="1:26" ht="4.5" customHeight="1" x14ac:dyDescent="0.3">
      <c r="A49" s="439"/>
      <c r="B49" s="439"/>
      <c r="C49" s="439"/>
      <c r="D49" s="439"/>
      <c r="E49" s="439"/>
      <c r="F49" s="439"/>
      <c r="G49" s="439"/>
      <c r="H49" s="439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136"/>
      <c r="Z49" s="136"/>
    </row>
    <row r="50" spans="1:26" ht="15.6" x14ac:dyDescent="0.3">
      <c r="A50" s="439"/>
      <c r="B50" s="439"/>
      <c r="C50" s="439"/>
      <c r="D50" s="439"/>
      <c r="E50" s="439"/>
      <c r="F50" s="439"/>
      <c r="G50" s="439"/>
      <c r="H50" s="439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136"/>
      <c r="Z50" s="136"/>
    </row>
    <row r="51" spans="1:26" ht="9" customHeight="1" x14ac:dyDescent="0.3">
      <c r="A51" s="175"/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36"/>
      <c r="Z51" s="136"/>
    </row>
    <row r="52" spans="1:26" ht="15.6" x14ac:dyDescent="0.3">
      <c r="A52" s="462" t="s">
        <v>226</v>
      </c>
      <c r="B52" s="462"/>
      <c r="C52" s="462"/>
      <c r="D52" s="462"/>
      <c r="E52" s="462"/>
      <c r="F52" s="462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36"/>
      <c r="Z52" s="136"/>
    </row>
    <row r="53" spans="1:26" ht="16.2" thickBot="1" x14ac:dyDescent="0.35">
      <c r="A53" s="464" t="s">
        <v>227</v>
      </c>
      <c r="B53" s="464"/>
      <c r="C53" s="464"/>
      <c r="D53" s="464"/>
      <c r="E53" s="464"/>
      <c r="F53" s="464"/>
      <c r="G53" s="464"/>
      <c r="H53" s="464"/>
      <c r="I53" s="464"/>
      <c r="J53" s="464" t="str">
        <f>'TOMA DE DATOS'!E16</f>
        <v>Laboratorio de presión de Tecservice s.a.s.</v>
      </c>
      <c r="K53" s="464"/>
      <c r="L53" s="464"/>
      <c r="M53" s="464"/>
      <c r="N53" s="464"/>
      <c r="O53" s="464"/>
      <c r="P53" s="464"/>
      <c r="Q53" s="464"/>
      <c r="R53" s="464"/>
      <c r="S53" s="464"/>
      <c r="T53" s="464"/>
      <c r="U53" s="464"/>
      <c r="V53" s="464"/>
      <c r="W53" s="464"/>
      <c r="X53" s="464"/>
      <c r="Y53" s="464"/>
      <c r="Z53" s="464"/>
    </row>
    <row r="54" spans="1:26" ht="6" customHeight="1" x14ac:dyDescent="0.3">
      <c r="A54" s="136"/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</row>
    <row r="55" spans="1:26" ht="15.6" x14ac:dyDescent="0.3">
      <c r="A55" s="138" t="s">
        <v>228</v>
      </c>
      <c r="B55" s="138"/>
      <c r="C55" s="138"/>
      <c r="D55" s="138"/>
      <c r="E55" s="138"/>
      <c r="F55" s="138"/>
      <c r="G55" s="138"/>
      <c r="H55" s="138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</row>
    <row r="56" spans="1:26" ht="34.5" customHeight="1" x14ac:dyDescent="0.3">
      <c r="A56" s="448" t="s">
        <v>229</v>
      </c>
      <c r="B56" s="448"/>
      <c r="C56" s="448"/>
      <c r="D56" s="448"/>
      <c r="E56" s="448"/>
      <c r="F56" s="448"/>
      <c r="G56" s="448"/>
      <c r="H56" s="448"/>
      <c r="I56" s="448"/>
      <c r="J56" s="448"/>
      <c r="K56" s="448"/>
      <c r="L56" s="448"/>
      <c r="M56" s="448"/>
      <c r="N56" s="448"/>
      <c r="O56" s="448"/>
      <c r="P56" s="448"/>
      <c r="Q56" s="448"/>
      <c r="R56" s="448"/>
      <c r="S56" s="448"/>
      <c r="T56" s="448"/>
      <c r="U56" s="448"/>
      <c r="V56" s="448"/>
      <c r="W56" s="448"/>
      <c r="X56" s="448"/>
      <c r="Y56" s="136"/>
      <c r="Z56" s="136"/>
    </row>
    <row r="57" spans="1:26" ht="15.6" x14ac:dyDescent="0.3">
      <c r="A57" s="463"/>
      <c r="B57" s="463"/>
      <c r="C57" s="463"/>
      <c r="D57" s="463"/>
      <c r="E57" s="463"/>
      <c r="F57" s="463"/>
      <c r="G57" s="463"/>
      <c r="H57" s="463"/>
      <c r="I57" s="463"/>
      <c r="J57" s="463"/>
      <c r="K57" s="463"/>
      <c r="L57" s="463"/>
      <c r="M57" s="463"/>
      <c r="N57" s="463"/>
      <c r="O57" s="463"/>
      <c r="P57" s="463"/>
      <c r="Q57" s="463"/>
      <c r="R57" s="463"/>
      <c r="S57" s="463"/>
      <c r="T57" s="463"/>
      <c r="U57" s="463"/>
      <c r="V57" s="463"/>
      <c r="W57" s="463"/>
      <c r="X57" s="463"/>
      <c r="Y57" s="136"/>
      <c r="Z57" s="136"/>
    </row>
    <row r="58" spans="1:26" ht="30" customHeight="1" x14ac:dyDescent="0.3">
      <c r="A58" s="136"/>
      <c r="B58" s="136"/>
      <c r="C58" s="458" t="s">
        <v>171</v>
      </c>
      <c r="D58" s="459"/>
      <c r="E58" s="459"/>
      <c r="F58" s="460"/>
      <c r="G58" s="458" t="s">
        <v>172</v>
      </c>
      <c r="H58" s="459"/>
      <c r="I58" s="459"/>
      <c r="J58" s="459"/>
      <c r="K58" s="459"/>
      <c r="L58" s="460"/>
      <c r="M58" s="458" t="s">
        <v>230</v>
      </c>
      <c r="N58" s="459"/>
      <c r="O58" s="459"/>
      <c r="P58" s="460"/>
      <c r="Q58" s="461" t="s">
        <v>645</v>
      </c>
      <c r="R58" s="461"/>
      <c r="S58" s="461"/>
      <c r="T58" s="461"/>
      <c r="U58" s="459" t="s">
        <v>342</v>
      </c>
      <c r="V58" s="459"/>
      <c r="W58" s="459"/>
      <c r="X58" s="460"/>
      <c r="Y58" s="176"/>
      <c r="Z58" s="136"/>
    </row>
    <row r="59" spans="1:26" ht="15.6" x14ac:dyDescent="0.3">
      <c r="A59" s="136"/>
      <c r="B59" s="136"/>
      <c r="C59" s="465" t="str">
        <f>'TOMA DE DATOS'!F42</f>
        <v>TEC-LAB-PDI-01</v>
      </c>
      <c r="D59" s="465"/>
      <c r="E59" s="465"/>
      <c r="F59" s="465"/>
      <c r="G59" s="465" t="str">
        <f>VLOOKUP(C59,TRAZABILIDAD!$A$3:$E$12,2,0)</f>
        <v>Manometro de presión Diferencial</v>
      </c>
      <c r="H59" s="465"/>
      <c r="I59" s="465"/>
      <c r="J59" s="465"/>
      <c r="K59" s="465"/>
      <c r="L59" s="465"/>
      <c r="M59" s="465" t="str">
        <f>VLOOKUP(C59,TRAZABILIDAD!$A$3:$E$9,3,0)</f>
        <v>Additel</v>
      </c>
      <c r="N59" s="465"/>
      <c r="O59" s="465"/>
      <c r="P59" s="465"/>
      <c r="Q59" s="465" t="str">
        <f>VLOOKUP(C59,TRAZABILIDAD!$A$3:$E$9,4,0)</f>
        <v>N25121723</v>
      </c>
      <c r="R59" s="465"/>
      <c r="S59" s="465"/>
      <c r="T59" s="465"/>
      <c r="U59" s="466">
        <f>VLOOKUP(C59,TRAZABILIDAD!$A$3:$F$9,6,0)</f>
        <v>46373</v>
      </c>
      <c r="V59" s="466"/>
      <c r="W59" s="466"/>
      <c r="X59" s="466"/>
      <c r="Y59" s="177"/>
      <c r="Z59" s="136"/>
    </row>
    <row r="60" spans="1:26" ht="15.6" x14ac:dyDescent="0.3">
      <c r="A60" s="136"/>
      <c r="B60" s="136"/>
      <c r="C60" s="465" t="str">
        <f>IF(ISBLANK('TOMA DE DATOS'!F43),"",'TOMA DE DATOS'!F43)</f>
        <v/>
      </c>
      <c r="D60" s="465"/>
      <c r="E60" s="465"/>
      <c r="F60" s="465"/>
      <c r="G60" s="465" t="str">
        <f>IF(ISBLANK('TOMA DE DATOS'!F43),"",VLOOKUP(C60,TRAZABILIDAD!$A$3:$E$12,2,0))</f>
        <v/>
      </c>
      <c r="H60" s="465"/>
      <c r="I60" s="465"/>
      <c r="J60" s="465"/>
      <c r="K60" s="465"/>
      <c r="L60" s="465"/>
      <c r="M60" s="465" t="str">
        <f>IF(ISBLANK('TOMA DE DATOS'!F43),"",VLOOKUP(C60,TRAZABILIDAD!$A$3:$E$12,3,0))</f>
        <v/>
      </c>
      <c r="N60" s="465"/>
      <c r="O60" s="465"/>
      <c r="P60" s="465"/>
      <c r="Q60" s="465" t="str">
        <f>IF(ISBLANK('TOMA DE DATOS'!F43),"",VLOOKUP(C60,TRAZABILIDAD!$A$3:$E$12,4,0))</f>
        <v/>
      </c>
      <c r="R60" s="465"/>
      <c r="S60" s="465"/>
      <c r="T60" s="465"/>
      <c r="U60" s="466" t="str">
        <f>IF(ISBLANK('TOMA DE DATOS'!F43),"",VLOOKUP(C60,TRAZABILIDAD!$A$3:$F$12,6,0))</f>
        <v/>
      </c>
      <c r="V60" s="466"/>
      <c r="W60" s="466"/>
      <c r="X60" s="466"/>
      <c r="Y60" s="177"/>
      <c r="Z60" s="136"/>
    </row>
    <row r="61" spans="1:26" ht="9.6" customHeight="1" x14ac:dyDescent="0.3">
      <c r="A61" s="136"/>
      <c r="B61" s="136"/>
      <c r="C61" s="465" t="str">
        <f>IF(ISBLANK('TOMA DE DATOS'!F44),"",'TOMA DE DATOS'!F44)</f>
        <v/>
      </c>
      <c r="D61" s="465"/>
      <c r="E61" s="465"/>
      <c r="F61" s="465"/>
      <c r="G61" s="465" t="str">
        <f>IF(ISBLANK('TOMA DE DATOS'!F44),"",VLOOKUP(C61,TRAZABILIDAD!$A$3:$E$12,2,0))</f>
        <v/>
      </c>
      <c r="H61" s="465"/>
      <c r="I61" s="465"/>
      <c r="J61" s="465"/>
      <c r="K61" s="465"/>
      <c r="L61" s="465"/>
      <c r="M61" s="465" t="str">
        <f>IF(ISBLANK('TOMA DE DATOS'!F44),"",VLOOKUP(C61,TRAZABILIDAD!$A$3:$E$12,3,0))</f>
        <v/>
      </c>
      <c r="N61" s="465"/>
      <c r="O61" s="465"/>
      <c r="P61" s="465"/>
      <c r="Q61" s="465" t="str">
        <f>IF(ISBLANK('TOMA DE DATOS'!F44),"",VLOOKUP(C61,TRAZABILIDAD!$A$3:$E$12,4,0))</f>
        <v/>
      </c>
      <c r="R61" s="465"/>
      <c r="S61" s="465"/>
      <c r="T61" s="465"/>
      <c r="U61" s="466" t="str">
        <f>IF(ISBLANK('TOMA DE DATOS'!F44),"",VLOOKUP(C61,TRAZABILIDAD!$A$3:$F$12,6,0))</f>
        <v/>
      </c>
      <c r="V61" s="466"/>
      <c r="W61" s="466"/>
      <c r="X61" s="466"/>
      <c r="Y61" s="177"/>
      <c r="Z61" s="136"/>
    </row>
    <row r="62" spans="1:26" ht="9.6" customHeight="1" x14ac:dyDescent="0.3">
      <c r="A62" s="136"/>
      <c r="B62" s="136"/>
      <c r="C62" s="470"/>
      <c r="D62" s="470"/>
      <c r="E62" s="470"/>
      <c r="F62" s="470"/>
      <c r="G62" s="470"/>
      <c r="H62" s="470"/>
      <c r="I62" s="470"/>
      <c r="J62" s="470"/>
      <c r="K62" s="470"/>
      <c r="L62" s="470"/>
      <c r="M62" s="470"/>
      <c r="N62" s="470"/>
      <c r="O62" s="470"/>
      <c r="P62" s="470"/>
      <c r="Q62" s="470"/>
      <c r="R62" s="470"/>
      <c r="S62" s="470"/>
      <c r="T62" s="470"/>
      <c r="U62" s="471"/>
      <c r="V62" s="471"/>
      <c r="W62" s="471"/>
      <c r="X62" s="471"/>
      <c r="Y62" s="177"/>
      <c r="Z62" s="136"/>
    </row>
    <row r="63" spans="1:26" ht="5.25" customHeight="1" x14ac:dyDescent="0.3">
      <c r="A63" s="178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9"/>
      <c r="U63" s="179"/>
      <c r="V63" s="179"/>
      <c r="W63" s="179"/>
      <c r="X63" s="179"/>
      <c r="Y63" s="136"/>
      <c r="Z63" s="136"/>
    </row>
    <row r="64" spans="1:26" ht="8.25" customHeight="1" x14ac:dyDescent="0.3">
      <c r="A64" s="136"/>
      <c r="B64" s="136"/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</row>
    <row r="65" spans="1:30" ht="15.6" x14ac:dyDescent="0.3">
      <c r="A65" s="138" t="s">
        <v>231</v>
      </c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467"/>
      <c r="S65" s="467"/>
      <c r="T65" s="181"/>
      <c r="U65" s="180"/>
      <c r="V65" s="180"/>
      <c r="W65" s="180"/>
      <c r="X65" s="180"/>
      <c r="Y65" s="136"/>
      <c r="Z65" s="136"/>
    </row>
    <row r="66" spans="1:30" ht="15.6" x14ac:dyDescent="0.3">
      <c r="A66" s="468"/>
      <c r="B66" s="468"/>
      <c r="C66" s="468"/>
      <c r="D66" s="468"/>
      <c r="E66" s="468"/>
      <c r="F66" s="468"/>
      <c r="G66" s="468"/>
      <c r="H66" s="468"/>
      <c r="I66" s="468"/>
      <c r="J66" s="468"/>
      <c r="K66" s="468"/>
      <c r="L66" s="468"/>
      <c r="M66" s="468"/>
      <c r="N66" s="468"/>
      <c r="O66" s="468"/>
      <c r="P66" s="468"/>
      <c r="Q66" s="468"/>
      <c r="R66" s="468"/>
      <c r="S66" s="468"/>
      <c r="T66" s="468"/>
      <c r="U66" s="468"/>
      <c r="V66" s="468"/>
      <c r="W66" s="468"/>
      <c r="X66" s="468"/>
      <c r="Y66" s="136"/>
      <c r="Z66" s="136"/>
    </row>
    <row r="67" spans="1:30" ht="9" customHeight="1" x14ac:dyDescent="0.3">
      <c r="A67" s="182"/>
      <c r="B67" s="182"/>
      <c r="C67" s="182"/>
      <c r="D67" s="182"/>
      <c r="E67" s="474" t="b">
        <f ca="1">IF(U59&lt;TODAY(),"No Se Puede Emitir Certificado, Revisar Equipo Patron")</f>
        <v>0</v>
      </c>
      <c r="F67" s="474"/>
      <c r="G67" s="474"/>
      <c r="H67" s="474"/>
      <c r="I67" s="474"/>
      <c r="J67" s="474"/>
      <c r="K67" s="474"/>
      <c r="L67" s="474"/>
      <c r="M67" s="474"/>
      <c r="N67" s="474"/>
      <c r="O67" s="474"/>
      <c r="P67" s="474"/>
      <c r="Q67" s="474"/>
      <c r="R67" s="474"/>
      <c r="S67" s="474"/>
      <c r="T67" s="474"/>
      <c r="U67" s="474"/>
      <c r="V67" s="474"/>
      <c r="W67" s="474"/>
      <c r="X67" s="474"/>
      <c r="Y67" s="136"/>
      <c r="Z67" s="136"/>
    </row>
    <row r="68" spans="1:30" ht="3.75" customHeight="1" x14ac:dyDescent="0.3">
      <c r="A68" s="182"/>
      <c r="B68" s="182"/>
      <c r="C68" s="182"/>
      <c r="D68" s="182"/>
      <c r="E68" s="474"/>
      <c r="F68" s="474"/>
      <c r="G68" s="474"/>
      <c r="H68" s="474"/>
      <c r="I68" s="474"/>
      <c r="J68" s="474"/>
      <c r="K68" s="474"/>
      <c r="L68" s="474"/>
      <c r="M68" s="474"/>
      <c r="N68" s="474"/>
      <c r="O68" s="474"/>
      <c r="P68" s="474"/>
      <c r="Q68" s="474"/>
      <c r="R68" s="474"/>
      <c r="S68" s="474"/>
      <c r="T68" s="474"/>
      <c r="U68" s="474"/>
      <c r="V68" s="474"/>
      <c r="W68" s="474"/>
      <c r="X68" s="474"/>
      <c r="Y68" s="136"/>
      <c r="Z68" s="136"/>
    </row>
    <row r="69" spans="1:30" ht="10.8" customHeight="1" x14ac:dyDescent="0.3">
      <c r="A69" s="183"/>
      <c r="B69" s="183"/>
      <c r="C69" s="183"/>
      <c r="D69" s="183"/>
      <c r="E69" s="474"/>
      <c r="F69" s="474"/>
      <c r="G69" s="474"/>
      <c r="H69" s="474"/>
      <c r="I69" s="474"/>
      <c r="J69" s="474"/>
      <c r="K69" s="474"/>
      <c r="L69" s="474"/>
      <c r="M69" s="474"/>
      <c r="N69" s="474"/>
      <c r="O69" s="474"/>
      <c r="P69" s="474"/>
      <c r="Q69" s="474"/>
      <c r="R69" s="474"/>
      <c r="S69" s="474"/>
      <c r="T69" s="474"/>
      <c r="U69" s="474"/>
      <c r="V69" s="474"/>
      <c r="W69" s="474"/>
      <c r="X69" s="474"/>
      <c r="Y69" s="136"/>
      <c r="Z69" s="136"/>
    </row>
    <row r="70" spans="1:30" ht="18.75" customHeight="1" x14ac:dyDescent="0.3">
      <c r="A70" s="472" t="str">
        <f>'TOMA DE DATOS'!K116</f>
        <v>Diego Vera</v>
      </c>
      <c r="B70" s="472"/>
      <c r="C70" s="472"/>
      <c r="D70" s="184"/>
      <c r="E70" s="184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36"/>
      <c r="Z70" s="136"/>
    </row>
    <row r="71" spans="1:30" ht="12.75" customHeight="1" x14ac:dyDescent="0.3">
      <c r="A71" s="473" t="s">
        <v>316</v>
      </c>
      <c r="B71" s="473"/>
      <c r="C71" s="473"/>
      <c r="D71" s="136"/>
      <c r="E71" s="136"/>
      <c r="F71" s="185"/>
      <c r="G71" s="136"/>
      <c r="H71" s="184"/>
      <c r="I71" s="136"/>
      <c r="J71" s="184"/>
      <c r="K71" s="136"/>
      <c r="L71" s="184"/>
      <c r="M71" s="184"/>
      <c r="N71" s="184"/>
      <c r="O71" s="186"/>
      <c r="P71" s="186"/>
      <c r="Q71" s="186"/>
      <c r="R71" s="186" t="str">
        <f>IF(R72&lt;E21,"OJO REVISAR FECHA","")</f>
        <v>OJO REVISAR FECHA</v>
      </c>
      <c r="S71" s="182"/>
      <c r="T71" s="182"/>
      <c r="U71" s="182"/>
      <c r="V71" s="182"/>
      <c r="W71" s="182"/>
      <c r="X71" s="182"/>
      <c r="Y71" s="136"/>
      <c r="Z71" s="136"/>
    </row>
    <row r="72" spans="1:30" ht="15.6" x14ac:dyDescent="0.3">
      <c r="A72" s="442" t="str">
        <f>'TOMA DE DATOS'!K117</f>
        <v>Director Técnico</v>
      </c>
      <c r="B72" s="442"/>
      <c r="C72" s="442"/>
      <c r="D72" s="442"/>
      <c r="E72" s="442"/>
      <c r="F72" s="187"/>
      <c r="G72" s="187"/>
      <c r="H72" s="187"/>
      <c r="I72" s="187"/>
      <c r="J72" s="187"/>
      <c r="K72" s="136"/>
      <c r="L72" s="187"/>
      <c r="M72" s="188"/>
      <c r="N72" s="136"/>
      <c r="O72" s="189"/>
      <c r="P72" s="136"/>
      <c r="Q72" s="136"/>
      <c r="R72" s="469"/>
      <c r="S72" s="469"/>
      <c r="T72" s="469"/>
      <c r="U72" s="469"/>
      <c r="V72" s="182"/>
      <c r="W72" s="182"/>
      <c r="X72" s="136"/>
      <c r="Y72" s="136"/>
      <c r="Z72" s="136"/>
    </row>
    <row r="73" spans="1:30" ht="15.6" x14ac:dyDescent="0.3">
      <c r="A73" s="481" t="s">
        <v>197</v>
      </c>
      <c r="B73" s="481"/>
      <c r="C73" s="481"/>
      <c r="D73" s="481"/>
      <c r="E73" s="481"/>
      <c r="F73" s="190"/>
      <c r="G73" s="190"/>
      <c r="H73" s="190"/>
      <c r="I73" s="190"/>
      <c r="J73" s="190"/>
      <c r="K73" s="136"/>
      <c r="L73" s="190"/>
      <c r="M73" s="190"/>
      <c r="N73" s="136"/>
      <c r="O73" s="138"/>
      <c r="P73" s="136"/>
      <c r="Q73" s="136"/>
      <c r="R73" s="138" t="s">
        <v>232</v>
      </c>
      <c r="S73" s="138"/>
      <c r="T73" s="136"/>
      <c r="U73" s="136"/>
      <c r="V73" s="191"/>
      <c r="W73" s="191"/>
      <c r="X73" s="479" t="s">
        <v>233</v>
      </c>
      <c r="Y73" s="479"/>
      <c r="Z73" s="479"/>
    </row>
    <row r="74" spans="1:30" ht="15.6" x14ac:dyDescent="0.3">
      <c r="A74" s="139"/>
      <c r="B74" s="135"/>
      <c r="C74" s="135"/>
      <c r="D74" s="135"/>
      <c r="E74" s="135"/>
      <c r="F74" s="135"/>
      <c r="G74" s="135"/>
      <c r="H74" s="135"/>
      <c r="I74" s="135"/>
      <c r="J74" s="135"/>
      <c r="K74" s="192"/>
      <c r="L74" s="135"/>
      <c r="M74" s="135"/>
      <c r="N74" s="135"/>
      <c r="O74" s="135"/>
      <c r="P74" s="135"/>
      <c r="Q74" s="135"/>
      <c r="R74" s="192"/>
      <c r="S74" s="142"/>
      <c r="T74" s="135"/>
      <c r="U74" s="135"/>
      <c r="V74" s="135"/>
      <c r="W74" s="135"/>
      <c r="X74" s="480" t="s">
        <v>640</v>
      </c>
      <c r="Y74" s="480"/>
      <c r="Z74" s="480"/>
    </row>
    <row r="75" spans="1:30" ht="15.6" x14ac:dyDescent="0.3">
      <c r="A75" s="479" t="s">
        <v>214</v>
      </c>
      <c r="B75" s="479"/>
      <c r="C75" s="479"/>
      <c r="D75" s="479"/>
      <c r="E75" s="479"/>
      <c r="F75" s="479"/>
      <c r="G75" s="479"/>
      <c r="H75" s="479"/>
      <c r="I75" s="479"/>
      <c r="J75" s="479"/>
      <c r="K75" s="479"/>
      <c r="L75" s="479"/>
      <c r="M75" s="479"/>
      <c r="N75" s="479"/>
      <c r="O75" s="479"/>
      <c r="P75" s="479"/>
      <c r="Q75" s="479"/>
      <c r="R75" s="479"/>
      <c r="S75" s="479"/>
      <c r="T75" s="479"/>
      <c r="U75" s="479"/>
      <c r="V75" s="479"/>
      <c r="W75" s="479"/>
      <c r="X75" s="479"/>
      <c r="Y75" s="479"/>
      <c r="Z75" s="479"/>
    </row>
    <row r="76" spans="1:30" ht="15.6" x14ac:dyDescent="0.3">
      <c r="A76" s="420" t="s">
        <v>215</v>
      </c>
      <c r="B76" s="420"/>
      <c r="C76" s="420"/>
      <c r="D76" s="420"/>
      <c r="E76" s="420"/>
      <c r="F76" s="420"/>
      <c r="G76" s="420"/>
      <c r="H76" s="420"/>
      <c r="I76" s="420"/>
      <c r="J76" s="420"/>
      <c r="K76" s="420"/>
      <c r="L76" s="420"/>
      <c r="M76" s="420"/>
      <c r="N76" s="420"/>
      <c r="O76" s="420"/>
      <c r="P76" s="420"/>
      <c r="Q76" s="420"/>
      <c r="R76" s="420"/>
      <c r="S76" s="420"/>
      <c r="T76" s="420"/>
      <c r="U76" s="420"/>
      <c r="V76" s="420"/>
      <c r="W76" s="420"/>
      <c r="X76" s="420"/>
      <c r="Y76" s="420"/>
      <c r="Z76" s="420"/>
    </row>
    <row r="77" spans="1:30" ht="15.6" x14ac:dyDescent="0.3">
      <c r="A77" s="136"/>
      <c r="B77" s="136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421" t="str">
        <f>R9</f>
        <v>CERTIFICADO No:</v>
      </c>
      <c r="S77" s="421"/>
      <c r="T77" s="421"/>
      <c r="U77" s="421"/>
      <c r="V77" s="422" t="str">
        <f>V9</f>
        <v>TP046-26</v>
      </c>
      <c r="W77" s="422"/>
      <c r="X77" s="422"/>
      <c r="Y77" s="136"/>
      <c r="Z77" s="136"/>
    </row>
    <row r="78" spans="1:30" ht="15.6" x14ac:dyDescent="0.3">
      <c r="A78" s="193"/>
      <c r="B78" s="193"/>
      <c r="C78" s="140"/>
      <c r="D78" s="135"/>
      <c r="E78" s="193"/>
      <c r="F78" s="193"/>
      <c r="G78" s="140"/>
      <c r="H78" s="135"/>
      <c r="I78" s="135"/>
      <c r="J78" s="135"/>
      <c r="K78" s="135"/>
      <c r="L78" s="135"/>
      <c r="M78" s="135"/>
      <c r="N78" s="193"/>
      <c r="O78" s="193"/>
      <c r="P78" s="135"/>
      <c r="Q78" s="135"/>
      <c r="R78" s="423" t="str">
        <f>R10</f>
        <v>Certificate number</v>
      </c>
      <c r="S78" s="423"/>
      <c r="T78" s="423"/>
      <c r="U78" s="423"/>
      <c r="V78" s="135"/>
      <c r="W78" s="135"/>
      <c r="X78" s="135"/>
      <c r="Y78" s="135"/>
      <c r="Z78" s="135"/>
    </row>
    <row r="79" spans="1:30" ht="15.6" x14ac:dyDescent="0.3">
      <c r="A79" s="193"/>
      <c r="B79" s="193"/>
      <c r="C79" s="140"/>
      <c r="D79" s="135"/>
      <c r="E79" s="193"/>
      <c r="F79" s="193"/>
      <c r="G79" s="140"/>
      <c r="H79" s="135"/>
      <c r="I79" s="135"/>
      <c r="J79" s="135"/>
      <c r="K79" s="135"/>
      <c r="L79" s="135"/>
      <c r="M79" s="135"/>
      <c r="N79" s="193"/>
      <c r="O79" s="193"/>
      <c r="P79" s="135"/>
      <c r="Q79" s="135"/>
      <c r="R79" s="194"/>
      <c r="S79" s="194"/>
      <c r="T79" s="194"/>
      <c r="U79" s="194"/>
      <c r="V79" s="135"/>
      <c r="W79" s="135"/>
      <c r="X79" s="135"/>
      <c r="Y79" s="135"/>
      <c r="Z79" s="135"/>
    </row>
    <row r="80" spans="1:30" ht="15.6" x14ac:dyDescent="0.3">
      <c r="A80" s="193"/>
      <c r="B80" s="193"/>
      <c r="C80" s="140"/>
      <c r="D80" s="135"/>
      <c r="E80" s="193"/>
      <c r="F80" s="193"/>
      <c r="G80" s="140"/>
      <c r="H80" s="135"/>
      <c r="I80" s="135"/>
      <c r="J80" s="135"/>
      <c r="K80" s="135"/>
      <c r="L80" s="135"/>
      <c r="M80" s="135"/>
      <c r="N80" s="193"/>
      <c r="O80" s="193"/>
      <c r="P80" s="135"/>
      <c r="Q80" s="135"/>
      <c r="R80" s="194"/>
      <c r="S80" s="194"/>
      <c r="T80" s="194"/>
      <c r="U80" s="194"/>
      <c r="V80" s="135"/>
      <c r="W80" s="135"/>
      <c r="X80" s="135"/>
      <c r="Y80" s="135"/>
      <c r="Z80" s="135"/>
      <c r="AD80" s="57"/>
    </row>
    <row r="81" spans="1:43" ht="15.6" x14ac:dyDescent="0.3">
      <c r="A81" s="193"/>
      <c r="B81" s="193"/>
      <c r="C81" s="140"/>
      <c r="D81" s="135"/>
      <c r="E81" s="193"/>
      <c r="F81" s="193"/>
      <c r="G81" s="140"/>
      <c r="H81" s="135"/>
      <c r="I81" s="135"/>
      <c r="J81" s="135"/>
      <c r="K81" s="135"/>
      <c r="L81" s="135"/>
      <c r="M81" s="135"/>
      <c r="N81" s="193"/>
      <c r="O81" s="193"/>
      <c r="P81" s="135"/>
      <c r="Q81" s="135"/>
      <c r="R81" s="194"/>
      <c r="S81" s="194"/>
      <c r="T81" s="194"/>
      <c r="U81" s="194"/>
      <c r="V81" s="135"/>
      <c r="W81" s="135"/>
      <c r="X81" s="135"/>
      <c r="Y81" s="135"/>
      <c r="Z81" s="135"/>
      <c r="AD81" s="57"/>
    </row>
    <row r="82" spans="1:43" ht="15.6" x14ac:dyDescent="0.3">
      <c r="A82" s="421" t="s">
        <v>234</v>
      </c>
      <c r="B82" s="421"/>
      <c r="C82" s="421"/>
      <c r="D82" s="421"/>
      <c r="E82" s="421"/>
      <c r="F82" s="421"/>
      <c r="G82" s="421"/>
      <c r="H82" s="421"/>
      <c r="I82" s="421"/>
      <c r="J82" s="421"/>
      <c r="K82" s="421"/>
      <c r="L82" s="421"/>
      <c r="M82" s="421"/>
      <c r="N82" s="421"/>
      <c r="O82" s="159"/>
      <c r="P82" s="136"/>
      <c r="Q82" s="140"/>
      <c r="R82" s="140"/>
      <c r="S82" s="140"/>
      <c r="T82" s="140"/>
      <c r="U82" s="136"/>
      <c r="V82" s="136"/>
      <c r="W82" s="136"/>
      <c r="X82" s="136"/>
      <c r="Y82" s="136"/>
      <c r="Z82" s="136"/>
      <c r="AD82" s="57"/>
    </row>
    <row r="83" spans="1:43" ht="15.6" x14ac:dyDescent="0.3">
      <c r="A83" s="195"/>
      <c r="B83" s="195"/>
      <c r="C83" s="195"/>
      <c r="D83" s="196"/>
      <c r="E83" s="196"/>
      <c r="F83" s="196"/>
      <c r="G83" s="196"/>
      <c r="H83" s="196"/>
      <c r="I83" s="196"/>
      <c r="J83" s="196"/>
      <c r="K83" s="196"/>
      <c r="L83" s="136"/>
      <c r="M83" s="195"/>
      <c r="N83" s="195"/>
      <c r="O83" s="195"/>
      <c r="P83" s="196"/>
      <c r="Q83" s="196"/>
      <c r="R83" s="196"/>
      <c r="S83" s="196"/>
      <c r="T83" s="196"/>
      <c r="U83" s="196"/>
      <c r="V83" s="196"/>
      <c r="W83" s="196"/>
      <c r="X83" s="136"/>
      <c r="Y83" s="136"/>
      <c r="Z83" s="136"/>
      <c r="AD83" s="57"/>
    </row>
    <row r="84" spans="1:43" ht="15.6" x14ac:dyDescent="0.3">
      <c r="A84" s="475" t="s">
        <v>235</v>
      </c>
      <c r="B84" s="475"/>
      <c r="C84" s="475"/>
      <c r="D84" s="475"/>
      <c r="E84" s="475" t="s">
        <v>174</v>
      </c>
      <c r="F84" s="475"/>
      <c r="G84" s="476">
        <f>'TOMA DE DATOS'!J49</f>
        <v>25.1</v>
      </c>
      <c r="H84" s="476"/>
      <c r="I84" s="197" t="s">
        <v>236</v>
      </c>
      <c r="J84" s="477" t="s">
        <v>175</v>
      </c>
      <c r="K84" s="477"/>
      <c r="L84" s="478">
        <f>'TOMA DE DATOS'!M49</f>
        <v>0</v>
      </c>
      <c r="M84" s="478"/>
      <c r="N84" s="197" t="s">
        <v>236</v>
      </c>
      <c r="O84" s="195"/>
      <c r="P84" s="198"/>
      <c r="Q84" s="198"/>
      <c r="R84" s="198"/>
      <c r="S84" s="198"/>
      <c r="T84" s="198"/>
      <c r="U84" s="198"/>
      <c r="V84" s="198"/>
      <c r="W84" s="198"/>
      <c r="X84" s="136"/>
      <c r="Y84" s="136"/>
      <c r="Z84" s="136"/>
      <c r="AD84" s="57"/>
    </row>
    <row r="85" spans="1:43" ht="15.6" x14ac:dyDescent="0.3">
      <c r="A85" s="493" t="s">
        <v>237</v>
      </c>
      <c r="B85" s="493"/>
      <c r="C85" s="493"/>
      <c r="D85" s="493"/>
      <c r="E85" s="494" t="s">
        <v>174</v>
      </c>
      <c r="F85" s="494"/>
      <c r="G85" s="495">
        <f>'TOMA DE DATOS'!J50</f>
        <v>65</v>
      </c>
      <c r="H85" s="495"/>
      <c r="I85" s="199" t="s">
        <v>238</v>
      </c>
      <c r="J85" s="493" t="s">
        <v>175</v>
      </c>
      <c r="K85" s="493"/>
      <c r="L85" s="496">
        <f>'TOMA DE DATOS'!M50</f>
        <v>0</v>
      </c>
      <c r="M85" s="496"/>
      <c r="N85" s="199" t="str">
        <f>I85</f>
        <v>% hr</v>
      </c>
      <c r="O85" s="195"/>
      <c r="P85" s="200"/>
      <c r="Q85" s="200"/>
      <c r="R85" s="200"/>
      <c r="S85" s="200"/>
      <c r="T85" s="200"/>
      <c r="U85" s="200"/>
      <c r="V85" s="200"/>
      <c r="W85" s="200"/>
      <c r="X85" s="136"/>
      <c r="Y85" s="136"/>
      <c r="Z85" s="136"/>
      <c r="AD85" s="57"/>
    </row>
    <row r="86" spans="1:43" ht="15.6" x14ac:dyDescent="0.3">
      <c r="A86" s="434" t="s">
        <v>281</v>
      </c>
      <c r="B86" s="434"/>
      <c r="C86" s="434"/>
      <c r="D86" s="434"/>
      <c r="E86" s="489" t="s">
        <v>174</v>
      </c>
      <c r="F86" s="489"/>
      <c r="G86" s="490">
        <f>'TOMA DE DATOS'!J51</f>
        <v>908</v>
      </c>
      <c r="H86" s="490"/>
      <c r="I86" s="201" t="s">
        <v>106</v>
      </c>
      <c r="J86" s="491" t="s">
        <v>175</v>
      </c>
      <c r="K86" s="491"/>
      <c r="L86" s="492">
        <f>'TOMA DE DATOS'!M51</f>
        <v>0</v>
      </c>
      <c r="M86" s="492"/>
      <c r="N86" s="201" t="s">
        <v>106</v>
      </c>
      <c r="O86" s="195"/>
      <c r="P86" s="200"/>
      <c r="Q86" s="200"/>
      <c r="R86" s="200"/>
      <c r="S86" s="200"/>
      <c r="T86" s="200"/>
      <c r="U86" s="200"/>
      <c r="V86" s="200"/>
      <c r="W86" s="200"/>
      <c r="X86" s="136"/>
      <c r="Y86" s="136"/>
      <c r="Z86" s="136"/>
    </row>
    <row r="87" spans="1:43" ht="10.5" customHeight="1" x14ac:dyDescent="0.3">
      <c r="A87" s="201"/>
      <c r="B87" s="201"/>
      <c r="C87" s="201"/>
      <c r="D87" s="201"/>
      <c r="E87" s="172"/>
      <c r="F87" s="172"/>
      <c r="G87" s="202"/>
      <c r="H87" s="202"/>
      <c r="I87" s="201"/>
      <c r="J87" s="172"/>
      <c r="K87" s="172"/>
      <c r="L87" s="203"/>
      <c r="M87" s="203"/>
      <c r="N87" s="201"/>
      <c r="O87" s="195"/>
      <c r="P87" s="200"/>
      <c r="Q87" s="200"/>
      <c r="R87" s="200"/>
      <c r="S87" s="200"/>
      <c r="T87" s="200"/>
      <c r="U87" s="200"/>
      <c r="V87" s="200"/>
      <c r="W87" s="200"/>
      <c r="X87" s="136"/>
      <c r="Y87" s="136"/>
      <c r="Z87" s="136"/>
    </row>
    <row r="88" spans="1:43" ht="10.5" customHeight="1" x14ac:dyDescent="0.3">
      <c r="A88" s="172"/>
      <c r="B88" s="172"/>
      <c r="C88" s="172"/>
      <c r="D88" s="172"/>
      <c r="E88" s="172"/>
      <c r="F88" s="172"/>
      <c r="G88" s="204"/>
      <c r="H88" s="204"/>
      <c r="I88" s="201"/>
      <c r="J88" s="201"/>
      <c r="K88" s="201"/>
      <c r="L88" s="205"/>
      <c r="M88" s="205"/>
      <c r="N88" s="201"/>
      <c r="O88" s="195"/>
      <c r="P88" s="200"/>
      <c r="Q88" s="200"/>
      <c r="R88" s="200"/>
      <c r="S88" s="200"/>
      <c r="T88" s="200"/>
      <c r="U88" s="200"/>
      <c r="V88" s="200"/>
      <c r="W88" s="200"/>
      <c r="X88" s="136"/>
      <c r="Y88" s="136"/>
      <c r="Z88" s="136"/>
      <c r="AF88" s="58" t="s">
        <v>122</v>
      </c>
    </row>
    <row r="89" spans="1:43" ht="15.6" x14ac:dyDescent="0.3">
      <c r="A89" s="488" t="str">
        <f>CONCATENATE("Pruebas según la secuencia "&amp; 'TOMA DE DATOS'!O23)</f>
        <v>Pruebas según la secuencia C</v>
      </c>
      <c r="B89" s="488"/>
      <c r="C89" s="488"/>
      <c r="D89" s="488"/>
      <c r="E89" s="488"/>
      <c r="F89" s="488"/>
      <c r="G89" s="488"/>
      <c r="H89" s="488"/>
      <c r="I89" s="488"/>
      <c r="J89" s="488"/>
      <c r="K89" s="488"/>
      <c r="L89" s="488"/>
      <c r="M89" s="488"/>
      <c r="N89" s="488"/>
      <c r="O89" s="488"/>
      <c r="P89" s="488"/>
      <c r="Q89" s="488"/>
      <c r="R89" s="488"/>
      <c r="S89" s="488"/>
      <c r="T89" s="488"/>
      <c r="U89" s="488"/>
      <c r="V89" s="488"/>
      <c r="W89" s="488"/>
      <c r="X89" s="488"/>
      <c r="Y89" s="136"/>
      <c r="Z89" s="136"/>
    </row>
    <row r="90" spans="1:43" ht="21.75" customHeight="1" x14ac:dyDescent="0.3">
      <c r="A90" s="498" t="str">
        <f>CONCATENATE('TOMA DE DATOS'!A68," [",G29,"]")</f>
        <v>Valor indicación [InH2O]</v>
      </c>
      <c r="B90" s="498"/>
      <c r="C90" s="498"/>
      <c r="D90" s="498"/>
      <c r="E90" s="497" t="str">
        <f>CONCATENATE('TOMA DE DATOS'!F68," [",G29,"]")</f>
        <v>Patrón Estándar  [InH2O]</v>
      </c>
      <c r="F90" s="497"/>
      <c r="G90" s="497"/>
      <c r="H90" s="497"/>
      <c r="I90" s="497"/>
      <c r="J90" s="497" t="str">
        <f>CONCATENATE("Desviación "," [",G29,"]")</f>
        <v>Desviación  [InH2O]</v>
      </c>
      <c r="K90" s="497"/>
      <c r="L90" s="497"/>
      <c r="M90" s="497"/>
      <c r="N90" s="497"/>
      <c r="O90" s="497" t="str">
        <f>CONCATENATE("Histéresis"," [",G31,"]" )</f>
        <v>Histéresis [InH2O]</v>
      </c>
      <c r="P90" s="497"/>
      <c r="Q90" s="497"/>
      <c r="R90" s="497"/>
      <c r="S90" s="497" t="str">
        <f>CONCATENATE("Margen de Variación"," [",G29,"]")</f>
        <v>Margen de Variación [InH2O]</v>
      </c>
      <c r="T90" s="497"/>
      <c r="U90" s="497"/>
      <c r="V90" s="497" t="str">
        <f>CONCATENATE("± Incertidumbre expandida ","[",G29,"]")</f>
        <v>± Incertidumbre expandida [InH2O]</v>
      </c>
      <c r="W90" s="497"/>
      <c r="X90" s="497"/>
      <c r="Y90" s="497" t="s">
        <v>258</v>
      </c>
      <c r="Z90" s="497"/>
      <c r="AA90" s="418" t="s">
        <v>270</v>
      </c>
      <c r="AB90" s="418" t="s">
        <v>408</v>
      </c>
      <c r="AC90" s="330"/>
      <c r="AD90" s="31" t="s">
        <v>77</v>
      </c>
      <c r="AE90" s="31" t="s">
        <v>78</v>
      </c>
      <c r="AF90" s="101" t="str">
        <f>A90</f>
        <v>Valor indicación [InH2O]</v>
      </c>
      <c r="AG90" s="31" t="str">
        <f>E90</f>
        <v>Patrón Estándar  [InH2O]</v>
      </c>
      <c r="AH90" s="31" t="str">
        <f>J90</f>
        <v>Desviación  [InH2O]</v>
      </c>
      <c r="AI90" s="31" t="str">
        <f>Y90</f>
        <v>Factor de Cobertura 
k</v>
      </c>
      <c r="AJ90" s="31" t="str">
        <f>V90</f>
        <v>± Incertidumbre expandida [InH2O]</v>
      </c>
      <c r="AK90" s="31" t="str">
        <f>S90</f>
        <v>Margen de Variación [InH2O]</v>
      </c>
    </row>
    <row r="91" spans="1:43" ht="21.75" customHeight="1" x14ac:dyDescent="0.3">
      <c r="A91" s="498"/>
      <c r="B91" s="498"/>
      <c r="C91" s="498"/>
      <c r="D91" s="498"/>
      <c r="E91" s="497"/>
      <c r="F91" s="497"/>
      <c r="G91" s="497"/>
      <c r="H91" s="497"/>
      <c r="I91" s="497"/>
      <c r="J91" s="497"/>
      <c r="K91" s="497"/>
      <c r="L91" s="497"/>
      <c r="M91" s="497"/>
      <c r="N91" s="497"/>
      <c r="O91" s="497"/>
      <c r="P91" s="497"/>
      <c r="Q91" s="497"/>
      <c r="R91" s="497"/>
      <c r="S91" s="497"/>
      <c r="T91" s="497"/>
      <c r="U91" s="497"/>
      <c r="V91" s="497"/>
      <c r="W91" s="497"/>
      <c r="X91" s="497"/>
      <c r="Y91" s="497"/>
      <c r="Z91" s="497"/>
      <c r="AA91" s="418"/>
      <c r="AB91" s="418"/>
      <c r="AC91" s="330"/>
      <c r="AD91" s="3">
        <f>'TOMA DE DATOS'!D24</f>
        <v>0.01</v>
      </c>
      <c r="AE91" s="3">
        <f>AD91*-1</f>
        <v>-0.01</v>
      </c>
      <c r="AF91" s="31" t="str">
        <f>AK104</f>
        <v>Pa</v>
      </c>
      <c r="AG91" s="31" t="str">
        <f>$AF$91</f>
        <v>Pa</v>
      </c>
      <c r="AH91" s="31" t="str">
        <f>$AF$91</f>
        <v>Pa</v>
      </c>
      <c r="AI91" s="31" t="s">
        <v>57</v>
      </c>
      <c r="AJ91" s="31" t="str">
        <f>$AF$91</f>
        <v>Pa</v>
      </c>
      <c r="AK91" s="31" t="str">
        <f>$AF$91</f>
        <v>Pa</v>
      </c>
      <c r="AL91" s="385" t="s">
        <v>80</v>
      </c>
      <c r="AM91" s="385" t="s">
        <v>282</v>
      </c>
      <c r="AN91" s="386" t="str">
        <f>A90</f>
        <v>Valor indicación [InH2O]</v>
      </c>
      <c r="AO91" s="344"/>
    </row>
    <row r="92" spans="1:43" ht="17.25" customHeight="1" x14ac:dyDescent="0.3">
      <c r="A92" s="826">
        <f>IF('TOMA DE DATOS'!C78="","",('CALCULO DE INCERTIDUMBRES'!C9))</f>
        <v>0</v>
      </c>
      <c r="B92" s="826"/>
      <c r="C92" s="826"/>
      <c r="D92" s="826"/>
      <c r="E92" s="827">
        <f>IF(A92="","",'CALCULO DE INCERTIDUMBRES'!F13)</f>
        <v>4.3906123422819774E-3</v>
      </c>
      <c r="F92" s="827"/>
      <c r="G92" s="827"/>
      <c r="H92" s="827"/>
      <c r="I92" s="827"/>
      <c r="J92" s="829" t="str">
        <f>IF(A92="","",FIXED(ROUND(AM92,AA92),AA92))</f>
        <v>0,00</v>
      </c>
      <c r="K92" s="829"/>
      <c r="L92" s="829"/>
      <c r="M92" s="829"/>
      <c r="N92" s="829"/>
      <c r="O92" s="828">
        <f>IF(A92="","",'CALCULO DE INCERTIDUMBRES'!S29)</f>
        <v>-2.2000000000000006E-3</v>
      </c>
      <c r="P92" s="828"/>
      <c r="Q92" s="828"/>
      <c r="R92" s="828"/>
      <c r="S92" s="826">
        <f>IF(A92="","",ABS(AM92)+AL92)</f>
        <v>7.8581965817773394E-3</v>
      </c>
      <c r="T92" s="826"/>
      <c r="U92" s="826"/>
      <c r="V92" s="483" t="str">
        <f>IF(A92="","",FIXED(ROUND(AL92,AA92),AA92))</f>
        <v>0,00</v>
      </c>
      <c r="W92" s="483"/>
      <c r="X92" s="483"/>
      <c r="Y92" s="484">
        <f>IF(A92="","",'CALCULO DE INCERTIDUMBRES'!E26)</f>
        <v>1.9599640004091534</v>
      </c>
      <c r="Z92" s="484"/>
      <c r="AA92" s="126">
        <v>2</v>
      </c>
      <c r="AB92" s="126">
        <v>2</v>
      </c>
      <c r="AC92" s="329"/>
      <c r="AD92" s="3">
        <f t="shared" ref="AD92:AD101" si="0">$AD$91</f>
        <v>0.01</v>
      </c>
      <c r="AE92" s="3">
        <f t="shared" ref="AE92:AE101" si="1">$AE$91</f>
        <v>-0.01</v>
      </c>
      <c r="AF92" s="46">
        <f t="shared" ref="AF92:AF101" si="2">A92*$AH$105</f>
        <v>0</v>
      </c>
      <c r="AG92" s="46">
        <f t="shared" ref="AG92:AG101" si="3">E92*$AH$105</f>
        <v>1.7626684027695495E-5</v>
      </c>
      <c r="AH92" s="36">
        <f t="shared" ref="AH92:AH101" si="4">AM92*$AH$105</f>
        <v>-1.7626684027695495E-5</v>
      </c>
      <c r="AI92" s="46">
        <f t="shared" ref="AI92:AI101" si="5">Y92</f>
        <v>1.9599640004091534</v>
      </c>
      <c r="AJ92" s="36">
        <f t="shared" ref="AJ92:AJ101" si="6">AL92*$AH$105</f>
        <v>1.3921067715405265E-5</v>
      </c>
      <c r="AK92" s="36">
        <f>S92*$AH$105</f>
        <v>3.154775174310076E-5</v>
      </c>
      <c r="AL92" s="417">
        <f>'CALCULO DE INCERTIDUMBRES'!E27</f>
        <v>3.467584239495362E-3</v>
      </c>
      <c r="AM92" s="417">
        <f>'CALCULO DE INCERTIDUMBRES'!D14</f>
        <v>-4.3906123422819774E-3</v>
      </c>
      <c r="AN92" s="834">
        <f>IF(A92="", NA(), A92)</f>
        <v>0</v>
      </c>
      <c r="AO92" s="344"/>
      <c r="AP92" s="415" t="str">
        <f>FIXED('CALCULO DE INCERTIDUMBRES'!E27,AA92)</f>
        <v>0,00</v>
      </c>
      <c r="AQ92" s="415">
        <f>ROUND('CALCULO DE INCERTIDUMBRES'!E27,AA92)</f>
        <v>0</v>
      </c>
    </row>
    <row r="93" spans="1:43" ht="17.25" customHeight="1" x14ac:dyDescent="0.3">
      <c r="A93" s="826">
        <f>IF('TOMA DE DATOS'!C79="","",('CALCULO DE INCERTIDUMBRES'!C40))</f>
        <v>0.05</v>
      </c>
      <c r="B93" s="826"/>
      <c r="C93" s="826"/>
      <c r="D93" s="826"/>
      <c r="E93" s="827">
        <f>IF(A92="","",'CALCULO DE INCERTIDUMBRES'!F44)</f>
        <v>5.0697241440159788E-2</v>
      </c>
      <c r="F93" s="827"/>
      <c r="G93" s="827"/>
      <c r="H93" s="827"/>
      <c r="I93" s="827"/>
      <c r="J93" s="829" t="str">
        <f>IF(A92="","",FIXED(ROUND(AM93,AA93),AA93))</f>
        <v>0,00</v>
      </c>
      <c r="K93" s="829"/>
      <c r="L93" s="829"/>
      <c r="M93" s="829"/>
      <c r="N93" s="829"/>
      <c r="O93" s="828">
        <f>IF(A92="","",'CALCULO DE INCERTIDUMBRES'!S60)</f>
        <v>-2.0000000000000018E-3</v>
      </c>
      <c r="P93" s="828"/>
      <c r="Q93" s="828"/>
      <c r="R93" s="828"/>
      <c r="S93" s="826">
        <f t="shared" ref="S93:S101" si="7">IF(A93="","",ABS(AM93)+AL93)</f>
        <v>4.125817744805518E-3</v>
      </c>
      <c r="T93" s="826"/>
      <c r="U93" s="826"/>
      <c r="V93" s="483" t="str">
        <f>IF(A92="","",FIXED(ROUND(AL93,AA93),AA93))</f>
        <v>0,00</v>
      </c>
      <c r="W93" s="483"/>
      <c r="X93" s="483"/>
      <c r="Y93" s="484">
        <f>IF(A92="","",'CALCULO DE INCERTIDUMBRES'!E57)</f>
        <v>1.959963999171195</v>
      </c>
      <c r="Z93" s="484"/>
      <c r="AA93" s="126">
        <v>2</v>
      </c>
      <c r="AB93" s="126">
        <v>2</v>
      </c>
      <c r="AC93" s="329"/>
      <c r="AD93" s="3">
        <f t="shared" si="0"/>
        <v>0.01</v>
      </c>
      <c r="AE93" s="3">
        <f t="shared" si="1"/>
        <v>-0.01</v>
      </c>
      <c r="AF93" s="46">
        <f t="shared" si="2"/>
        <v>2.0073150000000001E-4</v>
      </c>
      <c r="AG93" s="46">
        <f t="shared" si="3"/>
        <v>2.0353066640290868E-4</v>
      </c>
      <c r="AH93" s="36">
        <f t="shared" si="4"/>
        <v>-2.7991664029086772E-6</v>
      </c>
      <c r="AI93" s="46">
        <f t="shared" si="5"/>
        <v>1.959963999171195</v>
      </c>
      <c r="AJ93" s="36">
        <f t="shared" si="6"/>
        <v>1.3764465289919901E-5</v>
      </c>
      <c r="AK93" s="36">
        <f t="shared" ref="AK93:AK101" si="8">ABS(AH93)+AJ93</f>
        <v>1.6563631692828576E-5</v>
      </c>
      <c r="AL93" s="417">
        <f>'CALCULO DE INCERTIDUMBRES'!E58</f>
        <v>3.4285763046457336E-3</v>
      </c>
      <c r="AM93" s="417">
        <f>'CALCULO DE INCERTIDUMBRES'!D45</f>
        <v>-6.9724144015978484E-4</v>
      </c>
      <c r="AN93" s="834">
        <f t="shared" ref="AN93:AN101" si="9">IF(A93="", NA(), A93)</f>
        <v>0.05</v>
      </c>
      <c r="AO93" s="344"/>
      <c r="AP93" s="415" t="str">
        <f>FIXED('CALCULO DE INCERTIDUMBRES'!E58,AA93)</f>
        <v>0,00</v>
      </c>
      <c r="AQ93" s="415">
        <f>ROUND('CALCULO DE INCERTIDUMBRES'!E58,AA93)</f>
        <v>0</v>
      </c>
    </row>
    <row r="94" spans="1:43" ht="17.25" customHeight="1" x14ac:dyDescent="0.3">
      <c r="A94" s="826">
        <f>IF('TOMA DE DATOS'!C80="","",('CALCULO DE INCERTIDUMBRES'!C71))</f>
        <v>0.1</v>
      </c>
      <c r="B94" s="826"/>
      <c r="C94" s="826"/>
      <c r="D94" s="826"/>
      <c r="E94" s="827">
        <f>IF(A92="","",'CALCULO DE INCERTIDUMBRES'!F75)</f>
        <v>9.5903615533679543E-2</v>
      </c>
      <c r="F94" s="827"/>
      <c r="G94" s="827"/>
      <c r="H94" s="827"/>
      <c r="I94" s="827"/>
      <c r="J94" s="829" t="str">
        <f>IF(A92="","",FIXED(ROUND(AM94,AA94),AA94))</f>
        <v>0,00</v>
      </c>
      <c r="K94" s="829"/>
      <c r="L94" s="829"/>
      <c r="M94" s="829"/>
      <c r="N94" s="829"/>
      <c r="O94" s="828">
        <f>IF(A92="","",'CALCULO DE INCERTIDUMBRES'!S91)</f>
        <v>-7.9999999999999516E-4</v>
      </c>
      <c r="P94" s="828"/>
      <c r="Q94" s="828"/>
      <c r="R94" s="828"/>
      <c r="S94" s="826">
        <f t="shared" si="7"/>
        <v>7.3643256027849935E-3</v>
      </c>
      <c r="T94" s="826"/>
      <c r="U94" s="826"/>
      <c r="V94" s="483" t="str">
        <f>IF(A92="","",FIXED(ROUND(AL94,AA94),AA94))</f>
        <v>0,00</v>
      </c>
      <c r="W94" s="483"/>
      <c r="X94" s="483"/>
      <c r="Y94" s="484">
        <f>IF(A92="","",'CALCULO DE INCERTIDUMBRES'!E88)</f>
        <v>1.9599640002872865</v>
      </c>
      <c r="Z94" s="484"/>
      <c r="AA94" s="126">
        <v>2</v>
      </c>
      <c r="AB94" s="126">
        <v>2</v>
      </c>
      <c r="AC94" s="329"/>
      <c r="AD94" s="3">
        <f t="shared" si="0"/>
        <v>0.01</v>
      </c>
      <c r="AE94" s="3">
        <f t="shared" si="1"/>
        <v>-0.01</v>
      </c>
      <c r="AF94" s="46">
        <f t="shared" si="2"/>
        <v>4.0146300000000002E-4</v>
      </c>
      <c r="AG94" s="46">
        <f t="shared" si="3"/>
        <v>3.8501753202997588E-4</v>
      </c>
      <c r="AH94" s="36">
        <f t="shared" si="4"/>
        <v>1.644546797002412E-5</v>
      </c>
      <c r="AI94" s="46">
        <f t="shared" si="5"/>
        <v>1.9599640002872865</v>
      </c>
      <c r="AJ94" s="36">
        <f t="shared" si="6"/>
        <v>1.3119574524684597E-5</v>
      </c>
      <c r="AK94" s="36">
        <f t="shared" si="8"/>
        <v>2.9565042494708719E-5</v>
      </c>
      <c r="AL94" s="417">
        <f>'CALCULO DE INCERTIDUMBRES'!E89</f>
        <v>3.2679411364645305E-3</v>
      </c>
      <c r="AM94" s="417">
        <f>'CALCULO DE INCERTIDUMBRES'!D76</f>
        <v>4.0963844663204629E-3</v>
      </c>
      <c r="AN94" s="834">
        <f t="shared" si="9"/>
        <v>0.1</v>
      </c>
      <c r="AO94" s="344"/>
      <c r="AP94" s="415" t="str">
        <f>FIXED('CALCULO DE INCERTIDUMBRES'!E89,AA94)</f>
        <v>0,00</v>
      </c>
      <c r="AQ94" s="415">
        <f>ROUND('CALCULO DE INCERTIDUMBRES'!E89,AA94)</f>
        <v>0</v>
      </c>
    </row>
    <row r="95" spans="1:43" ht="17.25" customHeight="1" x14ac:dyDescent="0.3">
      <c r="A95" s="826">
        <f>IF('TOMA DE DATOS'!C81="","",('CALCULO DE INCERTIDUMBRES'!C102))</f>
        <v>0.15</v>
      </c>
      <c r="B95" s="826"/>
      <c r="C95" s="826"/>
      <c r="D95" s="826"/>
      <c r="E95" s="827">
        <f>IF(A92="","",'CALCULO DE INCERTIDUMBRES'!F106)</f>
        <v>0.14881063853421925</v>
      </c>
      <c r="F95" s="827"/>
      <c r="G95" s="827"/>
      <c r="H95" s="827"/>
      <c r="I95" s="827"/>
      <c r="J95" s="829" t="str">
        <f>IF(A92="","",FIXED(ROUND(AM95,AA95),AA95))</f>
        <v>0,00</v>
      </c>
      <c r="K95" s="829"/>
      <c r="L95" s="829"/>
      <c r="M95" s="829"/>
      <c r="N95" s="829"/>
      <c r="O95" s="828">
        <f>IF(A92="","",'CALCULO DE INCERTIDUMBRES'!S122)</f>
        <v>-3.2000000000000084E-3</v>
      </c>
      <c r="P95" s="828"/>
      <c r="Q95" s="828"/>
      <c r="R95" s="828"/>
      <c r="S95" s="826">
        <f t="shared" si="7"/>
        <v>4.8978013816251935E-3</v>
      </c>
      <c r="T95" s="826"/>
      <c r="U95" s="826"/>
      <c r="V95" s="483" t="str">
        <f>IF(A92="","",FIXED(ROUND(AL95,AA95),AA95))</f>
        <v>0,00</v>
      </c>
      <c r="W95" s="483"/>
      <c r="X95" s="483"/>
      <c r="Y95" s="484">
        <f>IF(A92="","",'CALCULO DE INCERTIDUMBRES'!E119)</f>
        <v>1.959964000487449</v>
      </c>
      <c r="Z95" s="484"/>
      <c r="AA95" s="126">
        <v>2</v>
      </c>
      <c r="AB95" s="126">
        <v>2</v>
      </c>
      <c r="AC95" s="329"/>
      <c r="AD95" s="3">
        <f t="shared" si="0"/>
        <v>0.01</v>
      </c>
      <c r="AE95" s="3">
        <f t="shared" si="1"/>
        <v>-0.01</v>
      </c>
      <c r="AF95" s="46">
        <f t="shared" si="2"/>
        <v>6.0219449999999997E-4</v>
      </c>
      <c r="AG95" s="46">
        <f t="shared" si="3"/>
        <v>5.9741965377863265E-4</v>
      </c>
      <c r="AH95" s="36">
        <f t="shared" si="4"/>
        <v>4.774846221367361E-6</v>
      </c>
      <c r="AI95" s="46">
        <f t="shared" si="5"/>
        <v>1.959964000487449</v>
      </c>
      <c r="AJ95" s="36">
        <f t="shared" si="6"/>
        <v>1.4888014139346592E-5</v>
      </c>
      <c r="AK95" s="36">
        <f t="shared" si="8"/>
        <v>1.9662860360713953E-5</v>
      </c>
      <c r="AL95" s="417">
        <f>'CALCULO DE INCERTIDUMBRES'!E120</f>
        <v>3.7084399158444467E-3</v>
      </c>
      <c r="AM95" s="417">
        <f>'CALCULO DE INCERTIDUMBRES'!D107</f>
        <v>1.1893614657807472E-3</v>
      </c>
      <c r="AN95" s="834">
        <f t="shared" si="9"/>
        <v>0.15</v>
      </c>
      <c r="AO95" s="344"/>
      <c r="AP95" s="415" t="str">
        <f>FIXED('CALCULO DE INCERTIDUMBRES'!E120,AA95)</f>
        <v>0,00</v>
      </c>
      <c r="AQ95" s="415">
        <f>ROUND('CALCULO DE INCERTIDUMBRES'!E120,AA95)</f>
        <v>0</v>
      </c>
    </row>
    <row r="96" spans="1:43" ht="17.25" customHeight="1" x14ac:dyDescent="0.3">
      <c r="A96" s="826">
        <f>IF('TOMA DE DATOS'!C82="","",('CALCULO DE INCERTIDUMBRES'!C133))</f>
        <v>0.2</v>
      </c>
      <c r="B96" s="826"/>
      <c r="C96" s="826"/>
      <c r="D96" s="826"/>
      <c r="E96" s="827">
        <f>IF(A92="","",'CALCULO DE INCERTIDUMBRES'!F137)</f>
        <v>0.19961660320864152</v>
      </c>
      <c r="F96" s="827"/>
      <c r="G96" s="827"/>
      <c r="H96" s="827"/>
      <c r="I96" s="827"/>
      <c r="J96" s="829" t="str">
        <f>IF(A92="","",FIXED(ROUND(AM96,AA96),AA96))</f>
        <v>0,00</v>
      </c>
      <c r="K96" s="829"/>
      <c r="L96" s="829"/>
      <c r="M96" s="829"/>
      <c r="N96" s="829"/>
      <c r="O96" s="828">
        <f>IF(A92="","",'CALCULO DE INCERTIDUMBRES'!S153)</f>
        <v>-4.7999999999999987E-3</v>
      </c>
      <c r="P96" s="828"/>
      <c r="Q96" s="828"/>
      <c r="R96" s="828"/>
      <c r="S96" s="826">
        <f t="shared" si="7"/>
        <v>4.6083269709309696E-3</v>
      </c>
      <c r="T96" s="826"/>
      <c r="U96" s="826"/>
      <c r="V96" s="483" t="str">
        <f>IF(A92="","",FIXED(ROUND(AL96,AA96),AA96))</f>
        <v>0,00</v>
      </c>
      <c r="W96" s="483"/>
      <c r="X96" s="483"/>
      <c r="Y96" s="484">
        <f>IF(A92="","",'CALCULO DE INCERTIDUMBRES'!E150)</f>
        <v>1.9599640056959349</v>
      </c>
      <c r="Z96" s="484"/>
      <c r="AA96" s="126">
        <v>2</v>
      </c>
      <c r="AB96" s="126">
        <v>2</v>
      </c>
      <c r="AC96" s="329"/>
      <c r="AD96" s="3">
        <f t="shared" si="0"/>
        <v>0.01</v>
      </c>
      <c r="AE96" s="3">
        <f t="shared" si="1"/>
        <v>-0.01</v>
      </c>
      <c r="AF96" s="46">
        <f t="shared" si="2"/>
        <v>8.0292600000000003E-4</v>
      </c>
      <c r="AG96" s="46">
        <f t="shared" si="3"/>
        <v>8.013868037395085E-4</v>
      </c>
      <c r="AH96" s="36">
        <f t="shared" si="4"/>
        <v>1.5391962604915218E-6</v>
      </c>
      <c r="AI96" s="46">
        <f t="shared" si="5"/>
        <v>1.9599640056959349</v>
      </c>
      <c r="AJ96" s="36">
        <f t="shared" si="6"/>
        <v>1.6961531446817078E-5</v>
      </c>
      <c r="AK96" s="36">
        <f t="shared" si="8"/>
        <v>1.8500727707308599E-5</v>
      </c>
      <c r="AL96" s="417">
        <f>'CALCULO DE INCERTIDUMBRES'!E151</f>
        <v>4.2249301795724828E-3</v>
      </c>
      <c r="AM96" s="417">
        <f>'CALCULO DE INCERTIDUMBRES'!D138</f>
        <v>3.8339679135848681E-4</v>
      </c>
      <c r="AN96" s="834">
        <f t="shared" si="9"/>
        <v>0.2</v>
      </c>
      <c r="AO96" s="344"/>
      <c r="AP96" s="415" t="str">
        <f>FIXED('CALCULO DE INCERTIDUMBRES'!E151,AA96)</f>
        <v>0,00</v>
      </c>
      <c r="AQ96" s="416">
        <f>ROUND('CALCULO DE INCERTIDUMBRES'!E151,AA96)</f>
        <v>0</v>
      </c>
    </row>
    <row r="97" spans="1:48" ht="17.25" customHeight="1" x14ac:dyDescent="0.3">
      <c r="A97" s="826">
        <f>IF('TOMA DE DATOS'!C83="","",('CALCULO DE INCERTIDUMBRES'!C164))</f>
        <v>0.25</v>
      </c>
      <c r="B97" s="826"/>
      <c r="C97" s="826"/>
      <c r="D97" s="826"/>
      <c r="E97" s="827">
        <f>IF(A92="","",'CALCULO DE INCERTIDUMBRES'!F168)</f>
        <v>0.25082149991936548</v>
      </c>
      <c r="F97" s="827"/>
      <c r="G97" s="827"/>
      <c r="H97" s="827"/>
      <c r="I97" s="827"/>
      <c r="J97" s="829" t="str">
        <f>IF(A92="","",FIXED(ROUND(AM97,AA97),AA97))</f>
        <v>0,00</v>
      </c>
      <c r="K97" s="829"/>
      <c r="L97" s="829"/>
      <c r="M97" s="829"/>
      <c r="N97" s="829"/>
      <c r="O97" s="828">
        <f>IF(A92="","",'CALCULO DE INCERTIDUMBRES'!S184)</f>
        <v>-8.0000000000002292E-4</v>
      </c>
      <c r="P97" s="828"/>
      <c r="Q97" s="828"/>
      <c r="R97" s="828"/>
      <c r="S97" s="830">
        <f t="shared" si="7"/>
        <v>4.0894190675470239E-3</v>
      </c>
      <c r="T97" s="831"/>
      <c r="U97" s="832"/>
      <c r="V97" s="483" t="str">
        <f>IF(A92="","",FIXED(ROUND(AL97,AA97),AA97))</f>
        <v>0,00</v>
      </c>
      <c r="W97" s="483"/>
      <c r="X97" s="483"/>
      <c r="Y97" s="484">
        <f>IF(A92="","",'CALCULO DE INCERTIDUMBRES'!E181)</f>
        <v>1.9599640011825612</v>
      </c>
      <c r="Z97" s="484"/>
      <c r="AA97" s="126">
        <v>2</v>
      </c>
      <c r="AB97" s="126">
        <v>2</v>
      </c>
      <c r="AC97" s="329"/>
      <c r="AD97" s="3">
        <f t="shared" si="0"/>
        <v>0.01</v>
      </c>
      <c r="AE97" s="3">
        <f t="shared" si="1"/>
        <v>-0.01</v>
      </c>
      <c r="AF97" s="46">
        <f t="shared" si="2"/>
        <v>1.0036575E-3</v>
      </c>
      <c r="AG97" s="46">
        <f t="shared" si="3"/>
        <v>1.0069555182212822E-3</v>
      </c>
      <c r="AH97" s="36">
        <f t="shared" si="4"/>
        <v>-3.2980182212822207E-6</v>
      </c>
      <c r="AI97" s="46">
        <f t="shared" si="5"/>
        <v>1.9599640011825612</v>
      </c>
      <c r="AJ97" s="36">
        <f t="shared" si="6"/>
        <v>1.3119486249864086E-5</v>
      </c>
      <c r="AK97" s="36">
        <f t="shared" si="8"/>
        <v>1.6417504471146306E-5</v>
      </c>
      <c r="AL97" s="417">
        <f>'CALCULO DE INCERTIDUMBRES'!E182</f>
        <v>3.2679191481815475E-3</v>
      </c>
      <c r="AM97" s="417">
        <f>'CALCULO DE INCERTIDUMBRES'!D169</f>
        <v>-8.2149991936547595E-4</v>
      </c>
      <c r="AN97" s="834">
        <f t="shared" si="9"/>
        <v>0.25</v>
      </c>
      <c r="AO97" s="344"/>
      <c r="AP97" s="415" t="str">
        <f>FIXED('CALCULO DE INCERTIDUMBRES'!E182,AA97)</f>
        <v>0,00</v>
      </c>
      <c r="AQ97" s="415">
        <f>ROUND('CALCULO DE INCERTIDUMBRES'!E182,AA97)</f>
        <v>0</v>
      </c>
    </row>
    <row r="98" spans="1:48" ht="17.25" customHeight="1" x14ac:dyDescent="0.3">
      <c r="A98" s="833" t="str">
        <f>IF('TOMA DE DATOS'!C84="","",('CALCULO DE INCERTIDUMBRES'!C195))</f>
        <v/>
      </c>
      <c r="B98" s="833"/>
      <c r="C98" s="833"/>
      <c r="D98" s="833"/>
      <c r="E98" s="482">
        <f>IF(A93="","",'CALCULO DE INCERTIDUMBRES'!F199)</f>
        <v>-1.1002844937034952E-4</v>
      </c>
      <c r="F98" s="482"/>
      <c r="G98" s="482"/>
      <c r="H98" s="482"/>
      <c r="I98" s="482"/>
      <c r="J98" s="483" t="e">
        <f>IF(A93="","",FIXED(ROUND(AM98,AA98),AA98))</f>
        <v>#VALUE!</v>
      </c>
      <c r="K98" s="483"/>
      <c r="L98" s="483"/>
      <c r="M98" s="483"/>
      <c r="N98" s="483"/>
      <c r="O98" s="485">
        <f>IF(A93="","",'CALCULO DE INCERTIDUMBRES'!S215)</f>
        <v>0</v>
      </c>
      <c r="P98" s="485"/>
      <c r="Q98" s="485"/>
      <c r="R98" s="485"/>
      <c r="S98" s="482" t="str">
        <f t="shared" si="7"/>
        <v/>
      </c>
      <c r="T98" s="482"/>
      <c r="U98" s="482"/>
      <c r="V98" s="483" t="str">
        <f>IF(A93="","",FIXED(ROUND(AL98,AA98),AA98))</f>
        <v>0,0</v>
      </c>
      <c r="W98" s="483"/>
      <c r="X98" s="483"/>
      <c r="Y98" s="484">
        <f>IF(A93="","",'CALCULO DE INCERTIDUMBRES'!E212)</f>
        <v>1.9599640080326453</v>
      </c>
      <c r="Z98" s="484"/>
      <c r="AA98" s="126">
        <v>1</v>
      </c>
      <c r="AB98" s="126">
        <v>1</v>
      </c>
      <c r="AC98" s="329"/>
      <c r="AD98" s="3">
        <f t="shared" si="0"/>
        <v>0.01</v>
      </c>
      <c r="AE98" s="3">
        <f t="shared" si="1"/>
        <v>-0.01</v>
      </c>
      <c r="AF98" s="46" t="e">
        <f t="shared" si="2"/>
        <v>#VALUE!</v>
      </c>
      <c r="AG98" s="46">
        <f t="shared" si="3"/>
        <v>-4.4172351369568632E-7</v>
      </c>
      <c r="AH98" s="36" t="e">
        <f t="shared" si="4"/>
        <v>#VALUE!</v>
      </c>
      <c r="AI98" s="46">
        <f t="shared" si="5"/>
        <v>1.9599640080326453</v>
      </c>
      <c r="AJ98" s="36">
        <f t="shared" si="6"/>
        <v>1.2993244763726393E-5</v>
      </c>
      <c r="AK98" s="36" t="e">
        <f t="shared" si="8"/>
        <v>#VALUE!</v>
      </c>
      <c r="AL98" s="387">
        <f>'CALCULO DE INCERTIDUMBRES'!E213</f>
        <v>3.2364737880517989E-3</v>
      </c>
      <c r="AM98" s="387" t="str">
        <f>IF('TOMA DE DATOS'!$O$23="C","",'CALCULO DE INCERTIDUMBRES'!D200)</f>
        <v/>
      </c>
      <c r="AN98" s="834" t="e">
        <f t="shared" si="9"/>
        <v>#N/A</v>
      </c>
      <c r="AO98" s="344"/>
    </row>
    <row r="99" spans="1:48" ht="17.25" customHeight="1" x14ac:dyDescent="0.3">
      <c r="A99" s="482" t="str">
        <f>IF('TOMA DE DATOS'!C85="","",('CALCULO DE INCERTIDUMBRES'!C226))</f>
        <v/>
      </c>
      <c r="B99" s="482"/>
      <c r="C99" s="482"/>
      <c r="D99" s="482"/>
      <c r="E99" s="482">
        <f>IF(A94="","",'CALCULO DE INCERTIDUMBRES'!F230)</f>
        <v>-1.1002844937034952E-4</v>
      </c>
      <c r="F99" s="482"/>
      <c r="G99" s="482"/>
      <c r="H99" s="482"/>
      <c r="I99" s="482"/>
      <c r="J99" s="483" t="e">
        <f>IF(A94="","",FIXED(ROUND(AM99,AA99),AA99))</f>
        <v>#VALUE!</v>
      </c>
      <c r="K99" s="483"/>
      <c r="L99" s="483"/>
      <c r="M99" s="483"/>
      <c r="N99" s="483"/>
      <c r="O99" s="485">
        <f>IF(A94="","",'CALCULO DE INCERTIDUMBRES'!S246)</f>
        <v>0</v>
      </c>
      <c r="P99" s="485"/>
      <c r="Q99" s="485"/>
      <c r="R99" s="485"/>
      <c r="S99" s="482" t="str">
        <f t="shared" si="7"/>
        <v/>
      </c>
      <c r="T99" s="482"/>
      <c r="U99" s="482"/>
      <c r="V99" s="483" t="str">
        <f>IF(A94="","",FIXED(ROUND(AL99,AA99),AA99))</f>
        <v>0,0</v>
      </c>
      <c r="W99" s="483"/>
      <c r="X99" s="483"/>
      <c r="Y99" s="484">
        <f>IF(A94="","",'CALCULO DE INCERTIDUMBRES'!E243)</f>
        <v>1.9599640080326453</v>
      </c>
      <c r="Z99" s="484"/>
      <c r="AA99" s="126">
        <v>1</v>
      </c>
      <c r="AB99" s="126">
        <v>1</v>
      </c>
      <c r="AC99" s="329"/>
      <c r="AD99" s="3">
        <f t="shared" si="0"/>
        <v>0.01</v>
      </c>
      <c r="AE99" s="3">
        <f t="shared" si="1"/>
        <v>-0.01</v>
      </c>
      <c r="AF99" s="46" t="e">
        <f t="shared" si="2"/>
        <v>#VALUE!</v>
      </c>
      <c r="AG99" s="46">
        <f t="shared" si="3"/>
        <v>-4.4172351369568632E-7</v>
      </c>
      <c r="AH99" s="36" t="e">
        <f t="shared" si="4"/>
        <v>#VALUE!</v>
      </c>
      <c r="AI99" s="46">
        <f t="shared" si="5"/>
        <v>1.9599640080326453</v>
      </c>
      <c r="AJ99" s="36">
        <f t="shared" si="6"/>
        <v>1.2993244763726393E-5</v>
      </c>
      <c r="AK99" s="36" t="e">
        <f t="shared" si="8"/>
        <v>#VALUE!</v>
      </c>
      <c r="AL99" s="387">
        <f>'CALCULO DE INCERTIDUMBRES'!E244</f>
        <v>3.2364737880517989E-3</v>
      </c>
      <c r="AM99" s="387" t="str">
        <f>IF('TOMA DE DATOS'!$O$23="C","",'CALCULO DE INCERTIDUMBRES'!D231)</f>
        <v/>
      </c>
      <c r="AN99" s="834" t="e">
        <f t="shared" si="9"/>
        <v>#N/A</v>
      </c>
      <c r="AO99" s="344"/>
    </row>
    <row r="100" spans="1:48" ht="17.25" customHeight="1" x14ac:dyDescent="0.3">
      <c r="A100" s="482" t="str">
        <f>IF('TOMA DE DATOS'!C86="","",('CALCULO DE INCERTIDUMBRES'!C257))</f>
        <v/>
      </c>
      <c r="B100" s="482"/>
      <c r="C100" s="482"/>
      <c r="D100" s="482"/>
      <c r="E100" s="482">
        <f>IF(A95="","",'CALCULO DE INCERTIDUMBRES'!F261)</f>
        <v>-1.1002844937034952E-4</v>
      </c>
      <c r="F100" s="482"/>
      <c r="G100" s="482"/>
      <c r="H100" s="482"/>
      <c r="I100" s="482"/>
      <c r="J100" s="483" t="e">
        <f>IF(A95="","",FIXED(ROUND(AM100,AA100),AA100))</f>
        <v>#VALUE!</v>
      </c>
      <c r="K100" s="483"/>
      <c r="L100" s="483"/>
      <c r="M100" s="483"/>
      <c r="N100" s="483"/>
      <c r="O100" s="485">
        <f>IF(A95="","",'CALCULO DE INCERTIDUMBRES'!S277)</f>
        <v>0</v>
      </c>
      <c r="P100" s="485"/>
      <c r="Q100" s="485"/>
      <c r="R100" s="485"/>
      <c r="S100" s="482" t="str">
        <f t="shared" si="7"/>
        <v/>
      </c>
      <c r="T100" s="482"/>
      <c r="U100" s="482"/>
      <c r="V100" s="483" t="str">
        <f>IF(A95="","",FIXED(ROUND(AL100,AA100),AA100))</f>
        <v>0,0</v>
      </c>
      <c r="W100" s="483"/>
      <c r="X100" s="483"/>
      <c r="Y100" s="484">
        <f>IF(A95="","",'CALCULO DE INCERTIDUMBRES'!E274)</f>
        <v>1.9599640080326453</v>
      </c>
      <c r="Z100" s="484"/>
      <c r="AA100" s="126">
        <v>1</v>
      </c>
      <c r="AB100" s="126">
        <v>1</v>
      </c>
      <c r="AC100" s="329"/>
      <c r="AD100" s="3">
        <f t="shared" si="0"/>
        <v>0.01</v>
      </c>
      <c r="AE100" s="3">
        <f t="shared" si="1"/>
        <v>-0.01</v>
      </c>
      <c r="AF100" s="46" t="e">
        <f t="shared" si="2"/>
        <v>#VALUE!</v>
      </c>
      <c r="AG100" s="46">
        <f t="shared" si="3"/>
        <v>-4.4172351369568632E-7</v>
      </c>
      <c r="AH100" s="36" t="e">
        <f t="shared" si="4"/>
        <v>#VALUE!</v>
      </c>
      <c r="AI100" s="46">
        <f t="shared" si="5"/>
        <v>1.9599640080326453</v>
      </c>
      <c r="AJ100" s="36">
        <f t="shared" si="6"/>
        <v>1.2993244763726393E-5</v>
      </c>
      <c r="AK100" s="36" t="e">
        <f t="shared" si="8"/>
        <v>#VALUE!</v>
      </c>
      <c r="AL100" s="387">
        <f>'CALCULO DE INCERTIDUMBRES'!E275</f>
        <v>3.2364737880517989E-3</v>
      </c>
      <c r="AM100" s="387" t="str">
        <f>IF('TOMA DE DATOS'!$O$23="C","",'CALCULO DE INCERTIDUMBRES'!D262)</f>
        <v/>
      </c>
      <c r="AN100" s="834" t="e">
        <f t="shared" si="9"/>
        <v>#N/A</v>
      </c>
      <c r="AO100" s="343"/>
      <c r="AP100" s="100"/>
      <c r="AQ100" s="1"/>
      <c r="AR100" s="1"/>
      <c r="AS100" s="1"/>
      <c r="AT100" s="1"/>
      <c r="AU100" s="52"/>
      <c r="AV100" s="52"/>
    </row>
    <row r="101" spans="1:48" ht="17.25" customHeight="1" x14ac:dyDescent="0.3">
      <c r="A101" s="482" t="str">
        <f>IF('TOMA DE DATOS'!C87="","",('CALCULO DE INCERTIDUMBRES'!C288))</f>
        <v/>
      </c>
      <c r="B101" s="482"/>
      <c r="C101" s="482"/>
      <c r="D101" s="482"/>
      <c r="E101" s="482">
        <f>IF(A96="","",'CALCULO DE INCERTIDUMBRES'!F292)</f>
        <v>-1.1002844937034952E-4</v>
      </c>
      <c r="F101" s="482"/>
      <c r="G101" s="482"/>
      <c r="H101" s="482"/>
      <c r="I101" s="482"/>
      <c r="J101" s="483" t="e">
        <f>IF(A96="","",FIXED(ROUND(AM101,AA101),AA101))</f>
        <v>#VALUE!</v>
      </c>
      <c r="K101" s="483"/>
      <c r="L101" s="483"/>
      <c r="M101" s="483"/>
      <c r="N101" s="483"/>
      <c r="O101" s="485">
        <f>IF(A96="","",'CALCULO DE INCERTIDUMBRES'!S308)</f>
        <v>0</v>
      </c>
      <c r="P101" s="485"/>
      <c r="Q101" s="485"/>
      <c r="R101" s="485"/>
      <c r="S101" s="482" t="str">
        <f t="shared" si="7"/>
        <v/>
      </c>
      <c r="T101" s="482"/>
      <c r="U101" s="482"/>
      <c r="V101" s="483" t="str">
        <f>IF(A96="","",FIXED(ROUND(AL101,AA101),AA101))</f>
        <v>0,0</v>
      </c>
      <c r="W101" s="483"/>
      <c r="X101" s="483"/>
      <c r="Y101" s="484">
        <f>IF(A96="","",'CALCULO DE INCERTIDUMBRES'!E305)</f>
        <v>1.9599640080326453</v>
      </c>
      <c r="Z101" s="484"/>
      <c r="AA101" s="126">
        <v>1</v>
      </c>
      <c r="AB101" s="126">
        <v>1</v>
      </c>
      <c r="AC101" s="329"/>
      <c r="AD101" s="3">
        <f t="shared" si="0"/>
        <v>0.01</v>
      </c>
      <c r="AE101" s="3">
        <f t="shared" si="1"/>
        <v>-0.01</v>
      </c>
      <c r="AF101" s="46" t="e">
        <f t="shared" si="2"/>
        <v>#VALUE!</v>
      </c>
      <c r="AG101" s="46">
        <f t="shared" si="3"/>
        <v>-4.4172351369568632E-7</v>
      </c>
      <c r="AH101" s="36" t="e">
        <f t="shared" si="4"/>
        <v>#VALUE!</v>
      </c>
      <c r="AI101" s="46">
        <f t="shared" si="5"/>
        <v>1.9599640080326453</v>
      </c>
      <c r="AJ101" s="36">
        <f t="shared" si="6"/>
        <v>1.2993244763726393E-5</v>
      </c>
      <c r="AK101" s="36" t="e">
        <f t="shared" si="8"/>
        <v>#VALUE!</v>
      </c>
      <c r="AL101" s="387">
        <f>'CALCULO DE INCERTIDUMBRES'!E306</f>
        <v>3.2364737880517989E-3</v>
      </c>
      <c r="AM101" s="387" t="str">
        <f>IF('TOMA DE DATOS'!$O$23="C","",'CALCULO DE INCERTIDUMBRES'!D293)</f>
        <v/>
      </c>
      <c r="AN101" s="834" t="e">
        <f t="shared" si="9"/>
        <v>#N/A</v>
      </c>
      <c r="AO101" s="344"/>
    </row>
    <row r="102" spans="1:48" ht="15.6" x14ac:dyDescent="0.3">
      <c r="A102" s="206"/>
      <c r="B102" s="206"/>
      <c r="C102" s="206"/>
      <c r="D102" s="206"/>
      <c r="E102" s="207"/>
      <c r="F102" s="207"/>
      <c r="G102" s="207"/>
      <c r="H102" s="207"/>
      <c r="I102" s="207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9"/>
      <c r="W102" s="209"/>
      <c r="X102" s="209"/>
      <c r="Y102" s="202"/>
      <c r="Z102" s="202"/>
      <c r="AA102" s="126"/>
      <c r="AB102" s="126"/>
      <c r="AC102" s="329"/>
      <c r="AM102" s="219">
        <f>IF('TOMA DE DATOS'!O23="C",MAX(ABS(AM92),ABS(AM93),ABS(AM94),ABS(AM95),ABS(AM96),ABS(AM97)),MAX(ABS(AM92),ABS(AM93),ABS(AM94),ABS(AM95),ABS(AM96),ABS(AM97),ABS(AM98),ABS(AM99),ABS(AM100),ABS(AM101)))</f>
        <v>4.3906123422819774E-3</v>
      </c>
    </row>
    <row r="103" spans="1:48" ht="16.2" thickBot="1" x14ac:dyDescent="0.35">
      <c r="A103" s="206"/>
      <c r="B103" s="206"/>
      <c r="C103" s="206"/>
      <c r="D103" s="206"/>
      <c r="E103" s="207"/>
      <c r="F103" s="207"/>
      <c r="G103" s="207"/>
      <c r="H103" s="207"/>
      <c r="I103" s="207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9"/>
      <c r="W103" s="209"/>
      <c r="X103" s="209"/>
      <c r="Y103" s="202"/>
      <c r="Z103" s="202"/>
    </row>
    <row r="104" spans="1:48" ht="15.6" x14ac:dyDescent="0.3">
      <c r="A104" s="206"/>
      <c r="B104" s="206"/>
      <c r="C104" s="206"/>
      <c r="D104" s="206"/>
      <c r="E104" s="207"/>
      <c r="F104" s="207"/>
      <c r="G104" s="207"/>
      <c r="H104" s="207"/>
      <c r="I104" s="207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9"/>
      <c r="W104" s="209"/>
      <c r="X104" s="209"/>
      <c r="Y104" s="202"/>
      <c r="Z104" s="202"/>
      <c r="AF104" s="426" t="s">
        <v>101</v>
      </c>
      <c r="AG104" s="427"/>
      <c r="AH104" s="102" t="str">
        <f>G29</f>
        <v>InH2O</v>
      </c>
      <c r="AI104" s="428" t="s">
        <v>102</v>
      </c>
      <c r="AJ104" s="428"/>
      <c r="AK104" s="56" t="s">
        <v>87</v>
      </c>
      <c r="AL104" s="219" t="s">
        <v>112</v>
      </c>
      <c r="AM104" s="219">
        <f>MATCH(AH104,CONVERSION!B4:M4,0)</f>
        <v>7</v>
      </c>
    </row>
    <row r="105" spans="1:48" ht="16.2" thickBot="1" x14ac:dyDescent="0.35">
      <c r="A105" s="210"/>
      <c r="B105" s="210"/>
      <c r="C105" s="210"/>
      <c r="D105" s="210"/>
      <c r="E105" s="210"/>
      <c r="F105" s="210"/>
      <c r="G105" s="211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2"/>
      <c r="S105" s="212"/>
      <c r="T105" s="212"/>
      <c r="U105" s="212"/>
      <c r="V105" s="212"/>
      <c r="W105" s="212"/>
      <c r="X105" s="212"/>
      <c r="Y105" s="136"/>
      <c r="Z105" s="136"/>
      <c r="AF105" s="429" t="s">
        <v>113</v>
      </c>
      <c r="AG105" s="430"/>
      <c r="AH105" s="431">
        <f>INDEX(CONVERSION!B5:M16,AM104,AM105)</f>
        <v>4.0146299999999999E-3</v>
      </c>
      <c r="AI105" s="432"/>
      <c r="AJ105" s="432"/>
      <c r="AK105" s="432"/>
      <c r="AL105" s="219" t="s">
        <v>111</v>
      </c>
      <c r="AM105" s="219">
        <f>MATCH(AK104,CONVERSION!A5:A14,0)</f>
        <v>1</v>
      </c>
    </row>
    <row r="106" spans="1:48" ht="15.6" x14ac:dyDescent="0.3">
      <c r="A106" s="210"/>
      <c r="B106" s="210"/>
      <c r="C106" s="210"/>
      <c r="D106" s="210"/>
      <c r="E106" s="210"/>
      <c r="F106" s="210"/>
      <c r="G106" s="211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2"/>
      <c r="S106" s="212"/>
      <c r="T106" s="212"/>
      <c r="U106" s="212"/>
      <c r="V106" s="212"/>
      <c r="W106" s="212"/>
      <c r="X106" s="212"/>
      <c r="Y106" s="136"/>
      <c r="Z106" s="136"/>
      <c r="AQ106" s="57"/>
    </row>
    <row r="107" spans="1:48" ht="15.6" x14ac:dyDescent="0.3">
      <c r="A107" s="210"/>
      <c r="B107" s="210"/>
      <c r="C107" s="210"/>
      <c r="D107" s="210"/>
      <c r="E107" s="210"/>
      <c r="F107" s="210"/>
      <c r="G107" s="211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2"/>
      <c r="S107" s="212"/>
      <c r="T107" s="212"/>
      <c r="U107" s="212"/>
      <c r="V107" s="212"/>
      <c r="W107" s="212"/>
      <c r="X107" s="212"/>
      <c r="Y107" s="136"/>
      <c r="Z107" s="136"/>
    </row>
    <row r="108" spans="1:48" ht="15.6" x14ac:dyDescent="0.3">
      <c r="A108" s="210"/>
      <c r="B108" s="210"/>
      <c r="C108" s="210"/>
      <c r="D108" s="210"/>
      <c r="E108" s="210"/>
      <c r="F108" s="210"/>
      <c r="G108" s="211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2"/>
      <c r="S108" s="212"/>
      <c r="T108" s="212"/>
      <c r="U108" s="212"/>
      <c r="V108" s="212"/>
      <c r="W108" s="212"/>
      <c r="X108" s="212"/>
      <c r="Y108" s="136"/>
      <c r="Z108" s="136"/>
    </row>
    <row r="109" spans="1:48" ht="15.6" x14ac:dyDescent="0.3">
      <c r="A109" s="210"/>
      <c r="B109" s="210"/>
      <c r="C109" s="210"/>
      <c r="D109" s="210"/>
      <c r="E109" s="210"/>
      <c r="F109" s="210"/>
      <c r="G109" s="211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2"/>
      <c r="S109" s="212"/>
      <c r="T109" s="212"/>
      <c r="U109" s="212"/>
      <c r="V109" s="212"/>
      <c r="W109" s="212"/>
      <c r="X109" s="212"/>
      <c r="Y109" s="136"/>
      <c r="Z109" s="136"/>
    </row>
    <row r="110" spans="1:48" ht="15.6" x14ac:dyDescent="0.3">
      <c r="A110" s="210"/>
      <c r="B110" s="210"/>
      <c r="C110" s="210"/>
      <c r="D110" s="210"/>
      <c r="E110" s="210"/>
      <c r="F110" s="210"/>
      <c r="G110" s="211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2"/>
      <c r="S110" s="212"/>
      <c r="T110" s="212"/>
      <c r="U110" s="212"/>
      <c r="V110" s="212"/>
      <c r="W110" s="212"/>
      <c r="X110" s="212"/>
      <c r="Y110" s="136"/>
      <c r="Z110" s="136"/>
    </row>
    <row r="111" spans="1:48" ht="15.6" x14ac:dyDescent="0.3">
      <c r="A111" s="210"/>
      <c r="B111" s="210"/>
      <c r="C111" s="210"/>
      <c r="D111" s="210"/>
      <c r="E111" s="210"/>
      <c r="F111" s="210"/>
      <c r="G111" s="211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2"/>
      <c r="S111" s="212"/>
      <c r="T111" s="212"/>
      <c r="U111" s="212"/>
      <c r="V111" s="212"/>
      <c r="W111" s="212"/>
      <c r="X111" s="212"/>
      <c r="Y111" s="136"/>
      <c r="Z111" s="136"/>
    </row>
    <row r="112" spans="1:48" ht="15.6" x14ac:dyDescent="0.3">
      <c r="A112" s="213"/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3"/>
      <c r="Q112" s="213"/>
      <c r="R112" s="213"/>
      <c r="S112" s="213"/>
      <c r="T112" s="213"/>
      <c r="U112" s="213"/>
      <c r="V112" s="213"/>
      <c r="W112" s="213"/>
      <c r="X112" s="213"/>
      <c r="Y112" s="136"/>
      <c r="Z112" s="136"/>
    </row>
    <row r="113" spans="1:36" ht="15.6" x14ac:dyDescent="0.3">
      <c r="A113" s="214"/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214"/>
      <c r="M113" s="214"/>
      <c r="N113" s="214"/>
      <c r="O113" s="214"/>
      <c r="P113" s="214"/>
      <c r="Q113" s="214"/>
      <c r="R113" s="214"/>
      <c r="S113" s="214"/>
      <c r="T113" s="214"/>
      <c r="U113" s="214"/>
      <c r="V113" s="214"/>
      <c r="W113" s="214"/>
      <c r="X113" s="214"/>
      <c r="Y113" s="136"/>
      <c r="Z113" s="136"/>
    </row>
    <row r="114" spans="1:36" ht="15.6" x14ac:dyDescent="0.3">
      <c r="A114" s="214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214"/>
      <c r="M114" s="214"/>
      <c r="N114" s="214"/>
      <c r="O114" s="214"/>
      <c r="P114" s="214"/>
      <c r="Q114" s="214"/>
      <c r="R114" s="214"/>
      <c r="S114" s="214"/>
      <c r="T114" s="214"/>
      <c r="U114" s="214"/>
      <c r="V114" s="214"/>
      <c r="W114" s="214"/>
      <c r="X114" s="214"/>
      <c r="Y114" s="136"/>
      <c r="Z114" s="136"/>
    </row>
    <row r="115" spans="1:36" ht="15.6" x14ac:dyDescent="0.3">
      <c r="A115" s="214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214"/>
      <c r="M115" s="214"/>
      <c r="N115" s="214"/>
      <c r="O115" s="214"/>
      <c r="P115" s="214"/>
      <c r="Q115" s="214"/>
      <c r="R115" s="214"/>
      <c r="S115" s="214"/>
      <c r="T115" s="214"/>
      <c r="U115" s="214"/>
      <c r="V115" s="214"/>
      <c r="W115" s="214"/>
      <c r="X115" s="214"/>
      <c r="Y115" s="136"/>
      <c r="Z115" s="136"/>
    </row>
    <row r="116" spans="1:36" ht="15.6" x14ac:dyDescent="0.3">
      <c r="A116" s="136"/>
      <c r="B116" s="136"/>
      <c r="C116" s="136"/>
      <c r="D116" s="136"/>
      <c r="E116" s="136"/>
      <c r="F116" s="136"/>
      <c r="G116" s="136"/>
      <c r="H116" s="136"/>
      <c r="I116" s="136"/>
      <c r="J116" s="159"/>
      <c r="K116" s="159"/>
      <c r="L116" s="159"/>
      <c r="M116" s="159"/>
      <c r="N116" s="159"/>
      <c r="O116" s="159"/>
      <c r="P116" s="159"/>
      <c r="Q116" s="159"/>
      <c r="R116" s="136"/>
      <c r="S116" s="136"/>
      <c r="T116" s="136"/>
      <c r="U116" s="136"/>
      <c r="V116" s="136"/>
      <c r="W116" s="136"/>
      <c r="X116" s="136"/>
      <c r="Y116" s="136"/>
      <c r="Z116" s="136"/>
    </row>
    <row r="117" spans="1:36" ht="15.6" x14ac:dyDescent="0.3">
      <c r="A117" s="136"/>
      <c r="B117" s="136"/>
      <c r="C117" s="136"/>
      <c r="D117" s="136"/>
      <c r="E117" s="136"/>
      <c r="F117" s="136"/>
      <c r="G117" s="136"/>
      <c r="H117" s="136"/>
      <c r="I117" s="136"/>
      <c r="J117" s="159"/>
      <c r="K117" s="159"/>
      <c r="L117" s="159"/>
      <c r="M117" s="159"/>
      <c r="N117" s="159"/>
      <c r="O117" s="159"/>
      <c r="P117" s="159"/>
      <c r="Q117" s="159"/>
      <c r="R117" s="136"/>
      <c r="S117" s="136"/>
      <c r="T117" s="136"/>
      <c r="U117" s="136"/>
      <c r="V117" s="136"/>
      <c r="W117" s="136"/>
      <c r="X117" s="136"/>
      <c r="Y117" s="136"/>
      <c r="Z117" s="136"/>
    </row>
    <row r="118" spans="1:36" ht="15.6" x14ac:dyDescent="0.3">
      <c r="A118" s="462" t="s">
        <v>239</v>
      </c>
      <c r="B118" s="462"/>
      <c r="C118" s="462"/>
      <c r="D118" s="462"/>
      <c r="E118" s="462"/>
      <c r="F118" s="462"/>
      <c r="G118" s="462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36"/>
      <c r="Z118" s="136"/>
      <c r="AE118" s="425" t="s">
        <v>274</v>
      </c>
      <c r="AF118" s="425"/>
      <c r="AG118" s="425"/>
      <c r="AH118" s="425"/>
      <c r="AI118" s="424">
        <f>(MAX(S92:S101)/'TOMA DE DATOS'!$I$20)</f>
        <v>3.1432786327109358E-2</v>
      </c>
      <c r="AJ118" s="424"/>
    </row>
    <row r="119" spans="1:36" ht="15.6" x14ac:dyDescent="0.3">
      <c r="A119" s="215"/>
      <c r="B119" s="215"/>
      <c r="C119" s="215"/>
      <c r="D119" s="215"/>
      <c r="E119" s="215"/>
      <c r="F119" s="215"/>
      <c r="G119" s="215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36"/>
      <c r="Z119" s="136"/>
      <c r="AE119" s="425"/>
      <c r="AF119" s="425"/>
      <c r="AG119" s="425"/>
      <c r="AH119" s="425"/>
      <c r="AI119" s="424"/>
      <c r="AJ119" s="424"/>
    </row>
    <row r="120" spans="1:36" ht="15.6" x14ac:dyDescent="0.3">
      <c r="A120" s="448" t="s">
        <v>259</v>
      </c>
      <c r="B120" s="448"/>
      <c r="C120" s="448"/>
      <c r="D120" s="448"/>
      <c r="E120" s="448"/>
      <c r="F120" s="448"/>
      <c r="G120" s="448"/>
      <c r="H120" s="448"/>
      <c r="I120" s="448"/>
      <c r="J120" s="448"/>
      <c r="K120" s="448"/>
      <c r="L120" s="448"/>
      <c r="M120" s="448"/>
      <c r="N120" s="448"/>
      <c r="O120" s="448"/>
      <c r="P120" s="448"/>
      <c r="Q120" s="448"/>
      <c r="R120" s="448"/>
      <c r="S120" s="448"/>
      <c r="T120" s="448"/>
      <c r="U120" s="448"/>
      <c r="V120" s="448"/>
      <c r="W120" s="448"/>
      <c r="X120" s="448"/>
      <c r="Y120" s="136"/>
      <c r="Z120" s="136"/>
      <c r="AE120" s="425"/>
      <c r="AF120" s="425"/>
      <c r="AG120" s="425"/>
      <c r="AH120" s="425"/>
      <c r="AI120" s="424"/>
      <c r="AJ120" s="424"/>
    </row>
    <row r="121" spans="1:36" ht="15.6" x14ac:dyDescent="0.3">
      <c r="A121" s="448"/>
      <c r="B121" s="448"/>
      <c r="C121" s="448"/>
      <c r="D121" s="448"/>
      <c r="E121" s="448"/>
      <c r="F121" s="448"/>
      <c r="G121" s="448"/>
      <c r="H121" s="448"/>
      <c r="I121" s="448"/>
      <c r="J121" s="448"/>
      <c r="K121" s="448"/>
      <c r="L121" s="448"/>
      <c r="M121" s="448"/>
      <c r="N121" s="448"/>
      <c r="O121" s="448"/>
      <c r="P121" s="448"/>
      <c r="Q121" s="448"/>
      <c r="R121" s="448"/>
      <c r="S121" s="448"/>
      <c r="T121" s="448"/>
      <c r="U121" s="448"/>
      <c r="V121" s="448"/>
      <c r="W121" s="448"/>
      <c r="X121" s="448"/>
      <c r="Y121" s="136"/>
      <c r="Z121" s="136"/>
      <c r="AE121" t="s">
        <v>275</v>
      </c>
    </row>
    <row r="122" spans="1:36" ht="15.6" x14ac:dyDescent="0.3">
      <c r="A122" s="448"/>
      <c r="B122" s="448"/>
      <c r="C122" s="448"/>
      <c r="D122" s="448"/>
      <c r="E122" s="448"/>
      <c r="F122" s="448"/>
      <c r="G122" s="448"/>
      <c r="H122" s="448"/>
      <c r="I122" s="448"/>
      <c r="J122" s="448"/>
      <c r="K122" s="448"/>
      <c r="L122" s="448"/>
      <c r="M122" s="448"/>
      <c r="N122" s="448"/>
      <c r="O122" s="448"/>
      <c r="P122" s="448"/>
      <c r="Q122" s="448"/>
      <c r="R122" s="448"/>
      <c r="S122" s="448"/>
      <c r="T122" s="448"/>
      <c r="U122" s="448"/>
      <c r="V122" s="448"/>
      <c r="W122" s="448"/>
      <c r="X122" s="448"/>
      <c r="Y122" s="136"/>
      <c r="Z122" s="136"/>
    </row>
    <row r="123" spans="1:36" ht="15.6" x14ac:dyDescent="0.3">
      <c r="A123" s="136"/>
      <c r="B123" s="136"/>
      <c r="C123" s="501"/>
      <c r="D123" s="501"/>
      <c r="E123" s="501"/>
      <c r="F123" s="501"/>
      <c r="G123" s="502"/>
      <c r="H123" s="502"/>
      <c r="I123" s="502"/>
      <c r="J123" s="502"/>
      <c r="K123" s="503"/>
      <c r="L123" s="503"/>
      <c r="M123" s="503"/>
      <c r="N123" s="503"/>
      <c r="O123" s="486"/>
      <c r="P123" s="486"/>
      <c r="Q123" s="486"/>
      <c r="R123" s="486"/>
      <c r="S123" s="487"/>
      <c r="T123" s="487"/>
      <c r="U123" s="487"/>
      <c r="V123" s="487"/>
      <c r="W123" s="136"/>
      <c r="X123" s="136"/>
      <c r="Y123" s="136"/>
      <c r="Z123" s="136"/>
    </row>
    <row r="124" spans="1:36" ht="15.6" x14ac:dyDescent="0.3">
      <c r="A124" s="187" t="s">
        <v>195</v>
      </c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36"/>
      <c r="Y124" s="136"/>
      <c r="Z124" s="136"/>
    </row>
    <row r="125" spans="1:36" ht="34.5" customHeight="1" x14ac:dyDescent="0.3">
      <c r="A125" s="448" t="s">
        <v>240</v>
      </c>
      <c r="B125" s="448"/>
      <c r="C125" s="448"/>
      <c r="D125" s="448"/>
      <c r="E125" s="448"/>
      <c r="F125" s="448"/>
      <c r="G125" s="448"/>
      <c r="H125" s="448"/>
      <c r="I125" s="448"/>
      <c r="J125" s="448"/>
      <c r="K125" s="448"/>
      <c r="L125" s="448"/>
      <c r="M125" s="448"/>
      <c r="N125" s="448"/>
      <c r="O125" s="448"/>
      <c r="P125" s="448"/>
      <c r="Q125" s="448"/>
      <c r="R125" s="448"/>
      <c r="S125" s="448"/>
      <c r="T125" s="448"/>
      <c r="U125" s="448"/>
      <c r="V125" s="448"/>
      <c r="W125" s="448"/>
      <c r="X125" s="448"/>
      <c r="Y125" s="448"/>
      <c r="Z125" s="448"/>
    </row>
    <row r="126" spans="1:36" ht="21" customHeight="1" x14ac:dyDescent="0.3">
      <c r="A126" s="448" t="s">
        <v>241</v>
      </c>
      <c r="B126" s="448"/>
      <c r="C126" s="448"/>
      <c r="D126" s="448"/>
      <c r="E126" s="448"/>
      <c r="F126" s="448"/>
      <c r="G126" s="448"/>
      <c r="H126" s="448"/>
      <c r="I126" s="448"/>
      <c r="J126" s="448"/>
      <c r="K126" s="448"/>
      <c r="L126" s="448"/>
      <c r="M126" s="448"/>
      <c r="N126" s="448"/>
      <c r="O126" s="448"/>
      <c r="P126" s="448"/>
      <c r="Q126" s="448"/>
      <c r="R126" s="448"/>
      <c r="S126" s="448"/>
      <c r="T126" s="448"/>
      <c r="U126" s="448"/>
      <c r="V126" s="448"/>
      <c r="W126" s="448"/>
      <c r="X126" s="448"/>
      <c r="Y126" s="448"/>
      <c r="Z126" s="448"/>
    </row>
    <row r="127" spans="1:36" ht="29.25" customHeight="1" x14ac:dyDescent="0.3">
      <c r="A127" s="448" t="s">
        <v>276</v>
      </c>
      <c r="B127" s="448"/>
      <c r="C127" s="448"/>
      <c r="D127" s="448"/>
      <c r="E127" s="448"/>
      <c r="F127" s="448"/>
      <c r="G127" s="448"/>
      <c r="H127" s="448"/>
      <c r="I127" s="448"/>
      <c r="J127" s="448"/>
      <c r="K127" s="448"/>
      <c r="L127" s="448"/>
      <c r="M127" s="448"/>
      <c r="N127" s="448"/>
      <c r="O127" s="448"/>
      <c r="P127" s="448"/>
      <c r="Q127" s="448"/>
      <c r="R127" s="448"/>
      <c r="S127" s="448"/>
      <c r="T127" s="448"/>
      <c r="U127" s="448"/>
      <c r="V127" s="448"/>
      <c r="W127" s="448"/>
      <c r="X127" s="448"/>
      <c r="Y127" s="448"/>
      <c r="Z127" s="448"/>
    </row>
    <row r="128" spans="1:36" ht="21" customHeight="1" x14ac:dyDescent="0.3">
      <c r="A128" s="448" t="s">
        <v>315</v>
      </c>
      <c r="B128" s="448"/>
      <c r="C128" s="448"/>
      <c r="D128" s="448"/>
      <c r="E128" s="448"/>
      <c r="F128" s="448"/>
      <c r="G128" s="448"/>
      <c r="H128" s="448"/>
      <c r="I128" s="448"/>
      <c r="J128" s="448"/>
      <c r="K128" s="448"/>
      <c r="L128" s="448"/>
      <c r="M128" s="448"/>
      <c r="N128" s="448"/>
      <c r="O128" s="448"/>
      <c r="P128" s="448"/>
      <c r="Q128" s="448"/>
      <c r="R128" s="448"/>
      <c r="S128" s="448"/>
      <c r="T128" s="448"/>
      <c r="U128" s="448"/>
      <c r="V128" s="448"/>
      <c r="W128" s="448"/>
      <c r="X128" s="448"/>
      <c r="Y128" s="448"/>
      <c r="Z128" s="448"/>
    </row>
    <row r="129" spans="1:26" ht="23.25" customHeight="1" x14ac:dyDescent="0.3">
      <c r="A129" s="448" t="str">
        <f>IF('TOMA DE DATOS'!E107="","",CONCATENATE('TOMA DE DATOS'!E107,'TOMA DE DATOS'!B108))</f>
        <v/>
      </c>
      <c r="B129" s="448"/>
      <c r="C129" s="448"/>
      <c r="D129" s="448"/>
      <c r="E129" s="448"/>
      <c r="F129" s="448"/>
      <c r="G129" s="448"/>
      <c r="H129" s="448"/>
      <c r="I129" s="448"/>
      <c r="J129" s="448"/>
      <c r="K129" s="448"/>
      <c r="L129" s="448"/>
      <c r="M129" s="448"/>
      <c r="N129" s="448"/>
      <c r="O129" s="448"/>
      <c r="P129" s="448"/>
      <c r="Q129" s="448"/>
      <c r="R129" s="448"/>
      <c r="S129" s="448"/>
      <c r="T129" s="448"/>
      <c r="U129" s="448"/>
      <c r="V129" s="448"/>
      <c r="W129" s="448"/>
      <c r="X129" s="448"/>
      <c r="Y129" s="448"/>
      <c r="Z129" s="448"/>
    </row>
    <row r="130" spans="1:26" ht="21" customHeight="1" x14ac:dyDescent="0.3">
      <c r="A130" s="448" t="str">
        <f>IF('TOMA DE DATOS'!B109="","",CONCATENATE('TOMA DE DATOS'!B109,'TOMA DE DATOS'!B110))</f>
        <v/>
      </c>
      <c r="B130" s="448"/>
      <c r="C130" s="448"/>
      <c r="D130" s="448"/>
      <c r="E130" s="448"/>
      <c r="F130" s="448"/>
      <c r="G130" s="448"/>
      <c r="H130" s="448"/>
      <c r="I130" s="448"/>
      <c r="J130" s="448"/>
      <c r="K130" s="448"/>
      <c r="L130" s="448"/>
      <c r="M130" s="448"/>
      <c r="N130" s="448"/>
      <c r="O130" s="448"/>
      <c r="P130" s="448"/>
      <c r="Q130" s="448"/>
      <c r="R130" s="448"/>
      <c r="S130" s="448"/>
      <c r="T130" s="448"/>
      <c r="U130" s="448"/>
      <c r="V130" s="448"/>
      <c r="W130" s="448"/>
      <c r="X130" s="448"/>
      <c r="Y130" s="448"/>
      <c r="Z130" s="448"/>
    </row>
    <row r="131" spans="1:26" ht="15.6" x14ac:dyDescent="0.3">
      <c r="A131" s="136"/>
      <c r="B131" s="136"/>
      <c r="C131" s="136"/>
      <c r="D131" s="136"/>
      <c r="E131" s="136"/>
      <c r="F131" s="136"/>
      <c r="G131" s="137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419" t="s">
        <v>242</v>
      </c>
      <c r="Y131" s="419"/>
      <c r="Z131" s="419"/>
    </row>
    <row r="132" spans="1:26" ht="15.6" x14ac:dyDescent="0.3">
      <c r="A132" s="136"/>
      <c r="B132" s="136"/>
      <c r="C132" s="136"/>
      <c r="D132" s="136"/>
      <c r="E132" s="136"/>
      <c r="F132" s="136"/>
      <c r="G132" s="137"/>
      <c r="H132" s="136"/>
      <c r="I132" s="136"/>
      <c r="J132" s="136"/>
      <c r="K132" s="183"/>
      <c r="L132" s="183"/>
      <c r="M132" s="183"/>
      <c r="N132" s="183"/>
      <c r="O132" s="183"/>
      <c r="P132" s="183"/>
      <c r="Q132" s="183"/>
      <c r="R132" s="183"/>
      <c r="S132" s="183"/>
      <c r="T132" s="136"/>
      <c r="U132" s="136"/>
      <c r="V132" s="136"/>
      <c r="W132" s="136"/>
      <c r="X132" s="480" t="str">
        <f>X74</f>
        <v xml:space="preserve">LC-FR-87-V5 </v>
      </c>
      <c r="Y132" s="480"/>
      <c r="Z132" s="480"/>
    </row>
    <row r="133" spans="1:26" ht="15.6" x14ac:dyDescent="0.3">
      <c r="A133" s="136"/>
      <c r="B133" s="136"/>
      <c r="C133" s="136"/>
      <c r="D133" s="136"/>
      <c r="E133" s="136"/>
      <c r="F133" s="136"/>
      <c r="G133" s="137"/>
      <c r="H133" s="136"/>
      <c r="I133" s="136"/>
      <c r="J133" s="136"/>
      <c r="K133" s="183"/>
      <c r="L133" s="183"/>
      <c r="M133" s="183"/>
      <c r="N133" s="183"/>
      <c r="O133" s="183"/>
      <c r="P133" s="183"/>
      <c r="Q133" s="183"/>
      <c r="R133" s="183"/>
      <c r="S133" s="183"/>
      <c r="T133" s="136"/>
      <c r="U133" s="136"/>
      <c r="V133" s="136"/>
      <c r="W133" s="136"/>
      <c r="X133" s="178"/>
      <c r="Y133" s="178"/>
      <c r="Z133" s="178"/>
    </row>
    <row r="134" spans="1:26" ht="15.6" x14ac:dyDescent="0.3">
      <c r="A134" s="136"/>
      <c r="B134" s="136"/>
      <c r="C134" s="136"/>
      <c r="D134" s="136"/>
      <c r="E134" s="136"/>
      <c r="F134" s="136"/>
      <c r="G134" s="137"/>
      <c r="H134" s="136"/>
      <c r="I134" s="136"/>
      <c r="J134" s="136"/>
      <c r="K134" s="183"/>
      <c r="L134" s="183"/>
      <c r="M134" s="183"/>
      <c r="N134" s="183"/>
      <c r="O134" s="183"/>
      <c r="P134" s="183"/>
      <c r="Q134" s="183"/>
      <c r="R134" s="183"/>
      <c r="S134" s="183"/>
      <c r="T134" s="136"/>
      <c r="U134" s="136"/>
      <c r="V134" s="136"/>
      <c r="W134" s="136"/>
      <c r="X134" s="178"/>
      <c r="Y134" s="178"/>
      <c r="Z134" s="178"/>
    </row>
    <row r="135" spans="1:26" ht="15.6" x14ac:dyDescent="0.3">
      <c r="A135" s="136"/>
      <c r="B135" s="136"/>
      <c r="C135" s="136"/>
      <c r="D135" s="136"/>
      <c r="E135" s="136"/>
      <c r="F135" s="136"/>
      <c r="G135" s="137"/>
      <c r="H135" s="136"/>
      <c r="I135" s="136"/>
      <c r="J135" s="136"/>
      <c r="K135" s="500" t="s">
        <v>243</v>
      </c>
      <c r="L135" s="500"/>
      <c r="M135" s="500"/>
      <c r="N135" s="500"/>
      <c r="O135" s="500"/>
      <c r="P135" s="500"/>
      <c r="Q135" s="500"/>
      <c r="R135" s="500"/>
      <c r="S135" s="500"/>
      <c r="T135" s="136"/>
      <c r="U135" s="136"/>
      <c r="V135" s="136"/>
      <c r="W135" s="136"/>
      <c r="X135" s="136"/>
      <c r="Y135" s="136"/>
      <c r="Z135" s="136"/>
    </row>
    <row r="136" spans="1:26" hidden="1" x14ac:dyDescent="0.3">
      <c r="A136" s="499" t="s">
        <v>178</v>
      </c>
      <c r="B136" s="499"/>
      <c r="C136" s="499"/>
      <c r="D136" s="510" t="s">
        <v>254</v>
      </c>
      <c r="E136" s="510"/>
      <c r="F136" s="510"/>
      <c r="G136" s="510"/>
      <c r="H136" s="510"/>
      <c r="I136" s="510"/>
      <c r="J136" s="510"/>
      <c r="K136" s="499" t="s">
        <v>179</v>
      </c>
      <c r="L136" s="499"/>
      <c r="M136" s="499"/>
      <c r="N136" s="499"/>
      <c r="O136" s="510" t="s">
        <v>255</v>
      </c>
      <c r="P136" s="510"/>
      <c r="Q136" s="510"/>
      <c r="R136" s="510"/>
      <c r="S136" s="499" t="s">
        <v>181</v>
      </c>
      <c r="T136" s="499"/>
      <c r="U136" s="499"/>
      <c r="V136" s="510" t="s">
        <v>182</v>
      </c>
      <c r="W136" s="510"/>
      <c r="X136" s="510"/>
      <c r="Y136" s="510"/>
      <c r="Z136" s="510"/>
    </row>
    <row r="137" spans="1:26" hidden="1" x14ac:dyDescent="0.3">
      <c r="A137" s="499" t="s">
        <v>183</v>
      </c>
      <c r="B137" s="499"/>
      <c r="C137" s="499"/>
      <c r="D137" s="510" t="s">
        <v>256</v>
      </c>
      <c r="E137" s="510"/>
      <c r="F137" s="510"/>
      <c r="G137" s="510"/>
      <c r="H137" s="510"/>
      <c r="I137" s="510"/>
      <c r="J137" s="510"/>
      <c r="K137" s="499" t="s">
        <v>183</v>
      </c>
      <c r="L137" s="499"/>
      <c r="M137" s="499"/>
      <c r="N137" s="499"/>
      <c r="O137" s="510" t="s">
        <v>184</v>
      </c>
      <c r="P137" s="510"/>
      <c r="Q137" s="510"/>
      <c r="R137" s="510"/>
      <c r="S137" s="499" t="s">
        <v>183</v>
      </c>
      <c r="T137" s="499"/>
      <c r="U137" s="499"/>
      <c r="V137" s="510" t="s">
        <v>185</v>
      </c>
      <c r="W137" s="510"/>
      <c r="X137" s="510"/>
      <c r="Y137" s="510"/>
      <c r="Z137" s="510"/>
    </row>
    <row r="138" spans="1:26" hidden="1" x14ac:dyDescent="0.3">
      <c r="A138" s="499" t="s">
        <v>186</v>
      </c>
      <c r="B138" s="499"/>
      <c r="C138" s="499"/>
      <c r="D138" s="510">
        <v>43902</v>
      </c>
      <c r="E138" s="510"/>
      <c r="F138" s="510"/>
      <c r="G138" s="510"/>
      <c r="H138" s="510"/>
      <c r="I138" s="510"/>
      <c r="J138" s="510"/>
      <c r="K138" s="499" t="s">
        <v>186</v>
      </c>
      <c r="L138" s="499"/>
      <c r="M138" s="499"/>
      <c r="N138" s="499"/>
      <c r="O138" s="511">
        <v>43903</v>
      </c>
      <c r="P138" s="511"/>
      <c r="Q138" s="511"/>
      <c r="R138" s="511"/>
      <c r="S138" s="499" t="s">
        <v>186</v>
      </c>
      <c r="T138" s="499"/>
      <c r="U138" s="499"/>
      <c r="V138" s="511">
        <v>43906</v>
      </c>
      <c r="W138" s="511"/>
      <c r="X138" s="511"/>
      <c r="Y138" s="511"/>
      <c r="Z138" s="511"/>
    </row>
    <row r="139" spans="1:26" x14ac:dyDescent="0.3">
      <c r="A139" s="125"/>
      <c r="B139" s="125"/>
      <c r="C139" s="125"/>
      <c r="D139" s="125"/>
      <c r="E139" s="125"/>
      <c r="F139" s="125"/>
      <c r="G139" s="124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</row>
    <row r="140" spans="1:26" x14ac:dyDescent="0.3">
      <c r="A140" s="125"/>
      <c r="B140" s="125"/>
      <c r="C140" s="125"/>
      <c r="D140" s="125"/>
      <c r="E140" s="125"/>
      <c r="F140" s="125"/>
      <c r="G140" s="124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</row>
    <row r="141" spans="1:26" ht="15.6" x14ac:dyDescent="0.3">
      <c r="A141" s="504" t="s">
        <v>211</v>
      </c>
      <c r="B141" s="504"/>
      <c r="C141" s="504"/>
      <c r="D141" s="504" t="s">
        <v>212</v>
      </c>
      <c r="E141" s="504"/>
      <c r="F141" s="50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  <c r="S141" s="504"/>
      <c r="T141" s="504" t="s">
        <v>213</v>
      </c>
      <c r="U141" s="504"/>
      <c r="V141" s="504"/>
      <c r="W141" s="504"/>
      <c r="X141" s="504"/>
      <c r="Y141" s="504"/>
      <c r="Z141" s="504"/>
    </row>
    <row r="142" spans="1:26" ht="15.6" x14ac:dyDescent="0.3">
      <c r="A142" s="504"/>
      <c r="B142" s="504"/>
      <c r="C142" s="504"/>
      <c r="D142" s="504"/>
      <c r="E142" s="504"/>
      <c r="F142" s="50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  <c r="S142" s="504"/>
      <c r="T142" s="504"/>
      <c r="U142" s="504"/>
      <c r="V142" s="504"/>
      <c r="W142" s="504"/>
      <c r="X142" s="504"/>
      <c r="Y142" s="504"/>
      <c r="Z142" s="504"/>
    </row>
    <row r="143" spans="1:26" ht="15.6" x14ac:dyDescent="0.3">
      <c r="A143" s="504"/>
      <c r="B143" s="504"/>
      <c r="C143" s="504"/>
      <c r="D143" s="504"/>
      <c r="E143" s="504"/>
      <c r="F143" s="50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  <c r="S143" s="504"/>
      <c r="T143" s="504"/>
      <c r="U143" s="504"/>
      <c r="V143" s="504"/>
      <c r="W143" s="504"/>
      <c r="X143" s="504"/>
      <c r="Y143" s="504"/>
      <c r="Z143" s="504"/>
    </row>
    <row r="144" spans="1:26" ht="15.6" x14ac:dyDescent="0.3">
      <c r="A144" s="504"/>
      <c r="B144" s="504"/>
      <c r="C144" s="504"/>
      <c r="D144" s="504"/>
      <c r="E144" s="504"/>
      <c r="F144" s="50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  <c r="S144" s="504"/>
      <c r="T144" s="504"/>
      <c r="U144" s="504"/>
      <c r="V144" s="504"/>
      <c r="W144" s="504"/>
      <c r="X144" s="504"/>
      <c r="Y144" s="504"/>
      <c r="Z144" s="504"/>
    </row>
    <row r="145" spans="1:26" ht="15.6" x14ac:dyDescent="0.3">
      <c r="A145" s="504"/>
      <c r="B145" s="504"/>
      <c r="C145" s="504"/>
      <c r="D145" s="504"/>
      <c r="E145" s="504"/>
      <c r="F145" s="50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  <c r="S145" s="504"/>
      <c r="T145" s="504"/>
      <c r="U145" s="504"/>
      <c r="V145" s="504"/>
      <c r="W145" s="504"/>
      <c r="X145" s="504"/>
      <c r="Y145" s="504"/>
      <c r="Z145" s="504"/>
    </row>
    <row r="146" spans="1:26" ht="15.6" x14ac:dyDescent="0.3">
      <c r="A146" s="504"/>
      <c r="B146" s="504"/>
      <c r="C146" s="504"/>
      <c r="D146" s="504"/>
      <c r="E146" s="504"/>
      <c r="F146" s="50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  <c r="S146" s="504"/>
      <c r="T146" s="504"/>
      <c r="U146" s="504"/>
      <c r="V146" s="504"/>
      <c r="W146" s="504"/>
      <c r="X146" s="504"/>
      <c r="Y146" s="504"/>
      <c r="Z146" s="504"/>
    </row>
    <row r="147" spans="1:26" ht="15.6" x14ac:dyDescent="0.3">
      <c r="A147" s="504"/>
      <c r="B147" s="504"/>
      <c r="C147" s="504"/>
      <c r="D147" s="504"/>
      <c r="E147" s="504"/>
      <c r="F147" s="50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  <c r="S147" s="504"/>
      <c r="T147" s="504"/>
      <c r="U147" s="504"/>
      <c r="V147" s="504"/>
      <c r="W147" s="504"/>
      <c r="X147" s="504"/>
      <c r="Y147" s="504"/>
      <c r="Z147" s="504"/>
    </row>
    <row r="148" spans="1:26" ht="15.6" x14ac:dyDescent="0.3">
      <c r="A148" s="504"/>
      <c r="B148" s="504"/>
      <c r="C148" s="504"/>
      <c r="D148" s="504"/>
      <c r="E148" s="504"/>
      <c r="F148" s="50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  <c r="S148" s="504"/>
      <c r="T148" s="504"/>
      <c r="U148" s="504"/>
      <c r="V148" s="504"/>
      <c r="W148" s="504"/>
      <c r="X148" s="504"/>
      <c r="Y148" s="504"/>
      <c r="Z148" s="504"/>
    </row>
  </sheetData>
  <sheetProtection algorithmName="SHA-512" hashValue="tGdLLRCSWEZqrt2KB6KAaABuYj4CC4ix8XRcOzmtR6tl1ADblM6bsSOxqZALbT/MKpsQR4bHjZ+nYubudjieZg==" saltValue="SUHMkuzWZiYs235e5XwBMA==" spinCount="100000" sheet="1" formatCells="0" formatRows="0"/>
  <mergeCells count="266">
    <mergeCell ref="A1:Z1"/>
    <mergeCell ref="AL1:AT4"/>
    <mergeCell ref="A2:Z2"/>
    <mergeCell ref="A3:Z3"/>
    <mergeCell ref="A4:Z4"/>
    <mergeCell ref="T146:Z146"/>
    <mergeCell ref="A147:C147"/>
    <mergeCell ref="D147:S147"/>
    <mergeCell ref="T147:Z147"/>
    <mergeCell ref="V136:Z136"/>
    <mergeCell ref="V137:Z137"/>
    <mergeCell ref="V138:Z138"/>
    <mergeCell ref="S136:U136"/>
    <mergeCell ref="S137:U137"/>
    <mergeCell ref="S138:U138"/>
    <mergeCell ref="O136:R136"/>
    <mergeCell ref="O137:R137"/>
    <mergeCell ref="O138:R138"/>
    <mergeCell ref="K136:N136"/>
    <mergeCell ref="K137:N137"/>
    <mergeCell ref="K138:N138"/>
    <mergeCell ref="D136:J136"/>
    <mergeCell ref="D137:J137"/>
    <mergeCell ref="D138:J138"/>
    <mergeCell ref="A148:C148"/>
    <mergeCell ref="D148:S148"/>
    <mergeCell ref="T148:Z148"/>
    <mergeCell ref="T141:Z141"/>
    <mergeCell ref="A141:C141"/>
    <mergeCell ref="D141:S141"/>
    <mergeCell ref="A142:C142"/>
    <mergeCell ref="D142:S142"/>
    <mergeCell ref="T142:Z142"/>
    <mergeCell ref="A143:C143"/>
    <mergeCell ref="D143:S143"/>
    <mergeCell ref="T143:Z143"/>
    <mergeCell ref="A144:C144"/>
    <mergeCell ref="D144:S144"/>
    <mergeCell ref="T144:Z144"/>
    <mergeCell ref="A145:C145"/>
    <mergeCell ref="D145:S145"/>
    <mergeCell ref="T145:Z145"/>
    <mergeCell ref="A146:C146"/>
    <mergeCell ref="D146:S146"/>
    <mergeCell ref="A136:C136"/>
    <mergeCell ref="A137:C137"/>
    <mergeCell ref="A138:C138"/>
    <mergeCell ref="V92:X92"/>
    <mergeCell ref="A92:D92"/>
    <mergeCell ref="E92:I92"/>
    <mergeCell ref="J92:N92"/>
    <mergeCell ref="O92:R92"/>
    <mergeCell ref="S92:U92"/>
    <mergeCell ref="A98:D98"/>
    <mergeCell ref="E98:I98"/>
    <mergeCell ref="J98:N98"/>
    <mergeCell ref="O98:R98"/>
    <mergeCell ref="S98:U98"/>
    <mergeCell ref="A96:D96"/>
    <mergeCell ref="V99:X99"/>
    <mergeCell ref="X132:Z132"/>
    <mergeCell ref="X131:Z131"/>
    <mergeCell ref="K135:S135"/>
    <mergeCell ref="A118:G118"/>
    <mergeCell ref="A120:X122"/>
    <mergeCell ref="C123:F123"/>
    <mergeCell ref="G123:J123"/>
    <mergeCell ref="K123:N123"/>
    <mergeCell ref="Y92:Z92"/>
    <mergeCell ref="A89:X89"/>
    <mergeCell ref="A86:D86"/>
    <mergeCell ref="E86:F86"/>
    <mergeCell ref="G86:H86"/>
    <mergeCell ref="J86:K86"/>
    <mergeCell ref="L86:M86"/>
    <mergeCell ref="A85:D85"/>
    <mergeCell ref="E85:F85"/>
    <mergeCell ref="G85:H85"/>
    <mergeCell ref="J85:K85"/>
    <mergeCell ref="L85:M85"/>
    <mergeCell ref="Y90:Z91"/>
    <mergeCell ref="A90:D91"/>
    <mergeCell ref="E90:I91"/>
    <mergeCell ref="J90:N91"/>
    <mergeCell ref="O90:R91"/>
    <mergeCell ref="S90:U91"/>
    <mergeCell ref="V90:X91"/>
    <mergeCell ref="V100:X100"/>
    <mergeCell ref="Y100:Z100"/>
    <mergeCell ref="A99:D99"/>
    <mergeCell ref="V97:X97"/>
    <mergeCell ref="Y97:Z97"/>
    <mergeCell ref="V98:X98"/>
    <mergeCell ref="Y98:Z98"/>
    <mergeCell ref="A129:Z129"/>
    <mergeCell ref="V96:X96"/>
    <mergeCell ref="Y96:Z96"/>
    <mergeCell ref="E96:I96"/>
    <mergeCell ref="J96:N96"/>
    <mergeCell ref="O96:R96"/>
    <mergeCell ref="S96:U96"/>
    <mergeCell ref="E97:I97"/>
    <mergeCell ref="J97:N97"/>
    <mergeCell ref="O97:R97"/>
    <mergeCell ref="S97:U97"/>
    <mergeCell ref="A97:D97"/>
    <mergeCell ref="A130:Z130"/>
    <mergeCell ref="O101:R101"/>
    <mergeCell ref="S101:U101"/>
    <mergeCell ref="V101:X101"/>
    <mergeCell ref="E99:I99"/>
    <mergeCell ref="J99:N99"/>
    <mergeCell ref="O99:R99"/>
    <mergeCell ref="S99:U99"/>
    <mergeCell ref="A100:D100"/>
    <mergeCell ref="E100:I100"/>
    <mergeCell ref="J100:N100"/>
    <mergeCell ref="O100:R100"/>
    <mergeCell ref="A126:Z126"/>
    <mergeCell ref="A125:Z125"/>
    <mergeCell ref="S100:U100"/>
    <mergeCell ref="O123:R123"/>
    <mergeCell ref="S123:V123"/>
    <mergeCell ref="A127:Z127"/>
    <mergeCell ref="A128:Z128"/>
    <mergeCell ref="Y101:Z101"/>
    <mergeCell ref="A101:D101"/>
    <mergeCell ref="E101:I101"/>
    <mergeCell ref="J101:N101"/>
    <mergeCell ref="Y99:Z99"/>
    <mergeCell ref="A93:D93"/>
    <mergeCell ref="V93:X93"/>
    <mergeCell ref="Y93:Z93"/>
    <mergeCell ref="V94:X94"/>
    <mergeCell ref="Y94:Z94"/>
    <mergeCell ref="A94:D94"/>
    <mergeCell ref="E94:I94"/>
    <mergeCell ref="E95:I95"/>
    <mergeCell ref="J95:N95"/>
    <mergeCell ref="O95:R95"/>
    <mergeCell ref="S95:U95"/>
    <mergeCell ref="J93:N93"/>
    <mergeCell ref="O93:R93"/>
    <mergeCell ref="S93:U93"/>
    <mergeCell ref="J94:N94"/>
    <mergeCell ref="O94:R94"/>
    <mergeCell ref="S94:U94"/>
    <mergeCell ref="E93:I93"/>
    <mergeCell ref="V95:X95"/>
    <mergeCell ref="Y95:Z95"/>
    <mergeCell ref="A95:D95"/>
    <mergeCell ref="R78:U78"/>
    <mergeCell ref="A82:N82"/>
    <mergeCell ref="A84:D84"/>
    <mergeCell ref="E84:F84"/>
    <mergeCell ref="G84:H84"/>
    <mergeCell ref="J84:K84"/>
    <mergeCell ref="L84:M84"/>
    <mergeCell ref="X73:Z73"/>
    <mergeCell ref="X74:Z74"/>
    <mergeCell ref="A75:Z75"/>
    <mergeCell ref="A76:Z76"/>
    <mergeCell ref="R77:U77"/>
    <mergeCell ref="V77:X77"/>
    <mergeCell ref="A73:E73"/>
    <mergeCell ref="R65:S65"/>
    <mergeCell ref="A66:X66"/>
    <mergeCell ref="R72:U72"/>
    <mergeCell ref="C62:F62"/>
    <mergeCell ref="G62:L62"/>
    <mergeCell ref="M62:P62"/>
    <mergeCell ref="Q62:T62"/>
    <mergeCell ref="U62:X62"/>
    <mergeCell ref="C61:F61"/>
    <mergeCell ref="G61:L61"/>
    <mergeCell ref="M61:P61"/>
    <mergeCell ref="Q61:T61"/>
    <mergeCell ref="U61:X61"/>
    <mergeCell ref="A70:C70"/>
    <mergeCell ref="A71:C71"/>
    <mergeCell ref="E67:X69"/>
    <mergeCell ref="A72:E72"/>
    <mergeCell ref="C60:F60"/>
    <mergeCell ref="G60:L60"/>
    <mergeCell ref="M60:P60"/>
    <mergeCell ref="Q60:T60"/>
    <mergeCell ref="U60:X60"/>
    <mergeCell ref="C59:F59"/>
    <mergeCell ref="G59:L59"/>
    <mergeCell ref="M59:P59"/>
    <mergeCell ref="Q59:T59"/>
    <mergeCell ref="U59:X59"/>
    <mergeCell ref="C58:F58"/>
    <mergeCell ref="G58:L58"/>
    <mergeCell ref="M58:P58"/>
    <mergeCell ref="Q58:T58"/>
    <mergeCell ref="U58:X58"/>
    <mergeCell ref="A52:F52"/>
    <mergeCell ref="A56:X56"/>
    <mergeCell ref="A57:X57"/>
    <mergeCell ref="A41:X41"/>
    <mergeCell ref="A43:G43"/>
    <mergeCell ref="A44:X46"/>
    <mergeCell ref="A47:I47"/>
    <mergeCell ref="A48:X50"/>
    <mergeCell ref="A53:I53"/>
    <mergeCell ref="J53:Z53"/>
    <mergeCell ref="A37:X37"/>
    <mergeCell ref="A38:X38"/>
    <mergeCell ref="A40:Z40"/>
    <mergeCell ref="E30:F30"/>
    <mergeCell ref="A30:D30"/>
    <mergeCell ref="A31:D31"/>
    <mergeCell ref="A32:D32"/>
    <mergeCell ref="E31:F31"/>
    <mergeCell ref="E32:F32"/>
    <mergeCell ref="H30:I30"/>
    <mergeCell ref="J30:K30"/>
    <mergeCell ref="Q30:T30"/>
    <mergeCell ref="H33:K33"/>
    <mergeCell ref="A33:D33"/>
    <mergeCell ref="E33:F33"/>
    <mergeCell ref="L33:M33"/>
    <mergeCell ref="Q31:T31"/>
    <mergeCell ref="Q32:R32"/>
    <mergeCell ref="D34:E34"/>
    <mergeCell ref="F34:G34"/>
    <mergeCell ref="H34:K34"/>
    <mergeCell ref="L34:M34"/>
    <mergeCell ref="U31:V31"/>
    <mergeCell ref="V35:W35"/>
    <mergeCell ref="E29:F29"/>
    <mergeCell ref="A23:G23"/>
    <mergeCell ref="H23:I23"/>
    <mergeCell ref="A26:Z26"/>
    <mergeCell ref="A28:D28"/>
    <mergeCell ref="A29:D29"/>
    <mergeCell ref="H29:I29"/>
    <mergeCell ref="J29:K29"/>
    <mergeCell ref="Q29:T29"/>
    <mergeCell ref="U29:V29"/>
    <mergeCell ref="Q23:Z23"/>
    <mergeCell ref="AB90:AB91"/>
    <mergeCell ref="AA90:AA91"/>
    <mergeCell ref="A5:Z5"/>
    <mergeCell ref="A6:Z6"/>
    <mergeCell ref="R9:U9"/>
    <mergeCell ref="V9:X9"/>
    <mergeCell ref="R10:U10"/>
    <mergeCell ref="AI118:AJ120"/>
    <mergeCell ref="AE118:AH120"/>
    <mergeCell ref="AF104:AG104"/>
    <mergeCell ref="AI104:AJ104"/>
    <mergeCell ref="AF105:AG105"/>
    <mergeCell ref="AH105:AK105"/>
    <mergeCell ref="E17:N17"/>
    <mergeCell ref="R17:Y17"/>
    <mergeCell ref="E19:M19"/>
    <mergeCell ref="R19:X19"/>
    <mergeCell ref="E21:M21"/>
    <mergeCell ref="S21:X21"/>
    <mergeCell ref="A13:D13"/>
    <mergeCell ref="E13:M13"/>
    <mergeCell ref="R13:X13"/>
    <mergeCell ref="E15:M15"/>
    <mergeCell ref="R15:X15"/>
  </mergeCells>
  <conditionalFormatting sqref="C60:X61">
    <cfRule type="containsBlanks" dxfId="13" priority="1">
      <formula>LEN(TRIM(C60))=0</formula>
    </cfRule>
    <cfRule type="cellIs" dxfId="12" priority="12" operator="equal">
      <formula>"N/A"</formula>
    </cfRule>
  </conditionalFormatting>
  <conditionalFormatting sqref="E17">
    <cfRule type="containsText" dxfId="11" priority="23" operator="containsText" text="OJO">
      <formula>NOT(ISERROR(SEARCH("OJO",E17)))</formula>
    </cfRule>
  </conditionalFormatting>
  <conditionalFormatting sqref="E15:M15">
    <cfRule type="containsText" dxfId="10" priority="24" operator="containsText" text="OJO">
      <formula>NOT(ISERROR(SEARCH("OJO",E15)))</formula>
    </cfRule>
  </conditionalFormatting>
  <conditionalFormatting sqref="E19:M19">
    <cfRule type="containsText" dxfId="9" priority="21" operator="containsText" text="OJO">
      <formula>NOT(ISERROR(SEARCH("OJO",E19)))</formula>
    </cfRule>
  </conditionalFormatting>
  <conditionalFormatting sqref="E67:X69">
    <cfRule type="containsText" dxfId="8" priority="9" operator="containsText" text="No Se Puede Emitir Certificado, Revisar Equipo Patron&quot;">
      <formula>NOT(ISERROR(SEARCH("No Se Puede Emitir Certificado, Revisar Equipo Patron""",E67)))</formula>
    </cfRule>
  </conditionalFormatting>
  <conditionalFormatting sqref="G60:X61">
    <cfRule type="cellIs" dxfId="7" priority="15" operator="equal">
      <formula>N/A</formula>
    </cfRule>
  </conditionalFormatting>
  <conditionalFormatting sqref="J53">
    <cfRule type="containsText" dxfId="6" priority="19" operator="containsText" text="OJO">
      <formula>NOT(ISERROR(SEARCH("OJO",J53)))</formula>
    </cfRule>
  </conditionalFormatting>
  <conditionalFormatting sqref="K31:K32">
    <cfRule type="containsText" dxfId="5" priority="20" operator="containsText" text="OJO">
      <formula>NOT(ISERROR(SEARCH("OJO",K31)))</formula>
    </cfRule>
  </conditionalFormatting>
  <conditionalFormatting sqref="U59:X61">
    <cfRule type="expression" dxfId="2" priority="10">
      <formula>$U$59&lt;TODAY()</formula>
    </cfRule>
    <cfRule type="colorScale" priority="11">
      <colorScale>
        <cfvo type="formula" val="&quot;&lt;HOY()&quot;"/>
        <cfvo type="max"/>
        <color rgb="FFFF7128"/>
        <color rgb="FFFFEF9C"/>
      </colorScale>
    </cfRule>
  </conditionalFormatting>
  <conditionalFormatting sqref="V9:X9 R13:X13 R15:X15 R17 R19:X19 S21:X21 Q23">
    <cfRule type="containsText" dxfId="1" priority="22" operator="containsText" text="OJO">
      <formula>NOT(ISERROR(SEARCH("OJO",Q9)))</formula>
    </cfRule>
  </conditionalFormatting>
  <printOptions horizontalCentered="1"/>
  <pageMargins left="0.19685039370078741" right="0.19685039370078741" top="0.9055118110236221" bottom="0.19685039370078741" header="0" footer="0"/>
  <pageSetup scale="64" fitToHeight="2" orientation="portrait" r:id="rId1"/>
  <headerFooter>
    <oddHeader xml:space="preserve">&amp;C&amp;G
</oddHeader>
    <oddFooter>&amp;C&amp;G</oddFooter>
  </headerFooter>
  <rowBreaks count="1" manualBreakCount="1">
    <brk id="74" max="25" man="1"/>
  </rowBreaks>
  <ignoredErrors>
    <ignoredError sqref="G60" formula="1"/>
  </ignoredErrors>
  <drawing r:id="rId2"/>
  <legacyDrawing r:id="rId3"/>
  <legacyDrawingHF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A5C84323-A650-4FA3-BEE9-1DE0EF37A253}">
            <xm:f>'TOMA DE DATOS'!$O$23="C"</xm:f>
            <x14:dxf>
              <border>
                <left/>
                <right/>
                <top style="thin">
                  <color auto="1"/>
                </top>
                <bottom/>
                <vertical/>
                <horizontal/>
              </border>
            </x14:dxf>
          </x14:cfRule>
          <xm:sqref>A98:R98 V98:Z98</xm:sqref>
        </x14:conditionalFormatting>
        <x14:conditionalFormatting xmlns:xm="http://schemas.microsoft.com/office/excel/2006/main">
          <x14:cfRule type="expression" priority="7" id="{09CC6B87-A265-40E9-A149-4972E215A747}">
            <xm:f>'TOMA DE DATOS'!$O$23="C"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A98:R101 V98:Z101</xm:sqref>
        </x14:conditionalFormatting>
        <x14:conditionalFormatting xmlns:xm="http://schemas.microsoft.com/office/excel/2006/main">
          <x14:cfRule type="expression" priority="4" id="{A5C15AE1-676D-46FF-AEDF-C65C9028B3C4}">
            <xm:f>'TOMA DE DATOS'!$Q$134='TOMA DE DATOS'!$O$23</xm:f>
            <x14:dxf>
              <font>
                <color theme="0"/>
              </font>
            </x14:dxf>
          </x14:cfRule>
          <xm:sqref>S98:U98</xm:sqref>
        </x14:conditionalFormatting>
        <x14:conditionalFormatting xmlns:xm="http://schemas.microsoft.com/office/excel/2006/main">
          <x14:cfRule type="expression" priority="5" id="{0BD97A8F-8006-42A7-AAB2-3F0A189BD384}">
            <xm:f>'TOMA DE DATOS'!$O$23='TOMA DE DATOS'!$Q$134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S99:U101</xm:sqref>
        </x14:conditionalFormatting>
        <x14:conditionalFormatting xmlns:xm="http://schemas.microsoft.com/office/excel/2006/main">
          <x14:cfRule type="expression" priority="3" id="{E0FB6308-E90F-4ECC-87E3-3086B9848321}">
            <xm:f>'TOMA DE DATOS'!$O$23='TOMA DE DATOS'!$Q$134</xm:f>
            <x14:dxf>
              <font>
                <color theme="0"/>
              </font>
              <border>
                <left/>
                <right/>
                <bottom/>
              </border>
            </x14:dxf>
          </x14:cfRule>
          <xm:sqref>AA98:AB102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'TOMA DE DATOS'!$H$127:$H$136</xm:f>
          </x14:formula1>
          <xm:sqref>AK104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42"/>
  <sheetViews>
    <sheetView zoomScaleNormal="100" workbookViewId="0">
      <selection activeCell="G21" sqref="G21"/>
    </sheetView>
  </sheetViews>
  <sheetFormatPr baseColWidth="10" defaultRowHeight="14.4" x14ac:dyDescent="0.3"/>
  <cols>
    <col min="1" max="1" width="11.88671875" bestFit="1" customWidth="1"/>
    <col min="2" max="2" width="16.109375" customWidth="1"/>
    <col min="5" max="5" width="26.44140625" bestFit="1" customWidth="1"/>
    <col min="6" max="6" width="20.6640625" customWidth="1"/>
    <col min="7" max="7" width="22.33203125" customWidth="1"/>
    <col min="8" max="8" width="22.5546875" customWidth="1"/>
    <col min="9" max="9" width="22.88671875" customWidth="1"/>
    <col min="10" max="10" width="17.5546875" customWidth="1"/>
    <col min="11" max="11" width="18.88671875" customWidth="1"/>
    <col min="13" max="13" width="11.88671875" bestFit="1" customWidth="1"/>
  </cols>
  <sheetData>
    <row r="1" spans="1:20" x14ac:dyDescent="0.3">
      <c r="A1" t="s">
        <v>8</v>
      </c>
      <c r="E1" s="10"/>
    </row>
    <row r="2" spans="1:20" x14ac:dyDescent="0.3">
      <c r="A2" s="34"/>
      <c r="B2" s="34"/>
      <c r="C2" s="34">
        <v>1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 spans="1:20" x14ac:dyDescent="0.3">
      <c r="A3" s="34"/>
      <c r="B3" s="34"/>
      <c r="C3" s="35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</row>
    <row r="4" spans="1:20" x14ac:dyDescent="0.3">
      <c r="D4" s="1"/>
      <c r="E4" s="1" t="s">
        <v>51</v>
      </c>
      <c r="F4" s="1" t="s">
        <v>51</v>
      </c>
      <c r="G4" s="1" t="s">
        <v>51</v>
      </c>
      <c r="H4" s="1" t="s">
        <v>50</v>
      </c>
      <c r="I4" s="1" t="s">
        <v>51</v>
      </c>
      <c r="J4" s="1" t="s">
        <v>51</v>
      </c>
      <c r="K4" s="1" t="s">
        <v>51</v>
      </c>
    </row>
    <row r="5" spans="1:20" ht="15" thickBot="1" x14ac:dyDescent="0.35">
      <c r="A5" s="4" t="s">
        <v>10</v>
      </c>
      <c r="D5" s="525"/>
      <c r="E5" s="525"/>
      <c r="F5" s="525"/>
      <c r="G5" s="525"/>
      <c r="H5" s="525"/>
      <c r="I5" s="525"/>
      <c r="J5" s="804" t="s">
        <v>45</v>
      </c>
      <c r="K5" s="525"/>
      <c r="O5" t="s">
        <v>34</v>
      </c>
      <c r="P5" s="525"/>
      <c r="Q5" s="525"/>
    </row>
    <row r="6" spans="1:20" x14ac:dyDescent="0.3">
      <c r="A6" s="808">
        <v>0</v>
      </c>
      <c r="D6" s="525"/>
      <c r="E6" s="525"/>
      <c r="F6" s="525"/>
      <c r="G6" s="525"/>
      <c r="H6" s="525"/>
      <c r="I6" s="525"/>
      <c r="J6" s="804"/>
      <c r="K6" s="525"/>
      <c r="P6" s="525"/>
      <c r="Q6" s="525"/>
    </row>
    <row r="7" spans="1:20" ht="15" thickBot="1" x14ac:dyDescent="0.35">
      <c r="A7" s="809"/>
      <c r="D7" s="803"/>
      <c r="E7" s="803"/>
      <c r="F7" s="803"/>
      <c r="G7" s="525"/>
      <c r="H7" s="525"/>
      <c r="I7" s="525"/>
      <c r="J7" s="805"/>
      <c r="K7" s="525"/>
      <c r="P7" s="806"/>
      <c r="Q7" s="806"/>
    </row>
    <row r="8" spans="1:20" ht="42" thickBot="1" x14ac:dyDescent="0.35">
      <c r="C8" s="16" t="str">
        <f>'Tabla de resultados'!$A$90</f>
        <v>Valor indicación [InH2O]</v>
      </c>
      <c r="D8" s="16" t="str">
        <f>'Tabla de resultados'!$E$90</f>
        <v>Patrón Estándar  [InH2O]</v>
      </c>
      <c r="E8" s="16" t="s">
        <v>31</v>
      </c>
      <c r="F8" s="16" t="s">
        <v>32</v>
      </c>
      <c r="G8" s="14"/>
      <c r="H8" s="14"/>
      <c r="I8" s="22"/>
      <c r="J8" s="16" t="s">
        <v>44</v>
      </c>
      <c r="K8" s="16" t="s">
        <v>83</v>
      </c>
      <c r="P8" s="27"/>
      <c r="Q8" s="28"/>
    </row>
    <row r="9" spans="1:20" x14ac:dyDescent="0.3">
      <c r="A9">
        <v>17</v>
      </c>
      <c r="C9" s="798">
        <f>IF('TOMA DE DATOS'!$A$68='TOMA DE DATOS'!$Q$138,'TOMA DE DATOS'!$C$78,'TOMA DE DATOS'!C78+'Base Patrones Presion'!Q42)</f>
        <v>0</v>
      </c>
      <c r="D9" s="2" t="str">
        <f>'TOMA DE DATOS'!E78&amp;""</f>
        <v>0,0067</v>
      </c>
      <c r="E9" s="799">
        <f>'Base Patrones Presion'!R42</f>
        <v>4.8999734598193108E-4</v>
      </c>
      <c r="F9" s="513">
        <f>IF('TOMA DE DATOS'!$O$20="Analógica",SQRT((1/3)*(POWER((2*'TOMA DE DATOS'!$I$22)/2,2))),SQRT((1/3)*(POWER((2*'TOMA DE DATOS'!$D$22)/2,2))))</f>
        <v>1.4433756729740645E-3</v>
      </c>
      <c r="G9" s="513">
        <f>SQRT((1/3)*(POWER(($Q$11)/2,2)))</f>
        <v>6.3508529610858846E-4</v>
      </c>
      <c r="H9" s="513">
        <f>SQRT((1/3)*(POWER(S21/2,2)))</f>
        <v>0</v>
      </c>
      <c r="I9" s="513">
        <f>SQRT(1/3*POWER((S29)/2,2))</f>
        <v>6.3508529610858846E-4</v>
      </c>
      <c r="J9" s="802">
        <f>'Base Patrones Presion'!$M$63</f>
        <v>4.477276495498265E-15</v>
      </c>
      <c r="K9" s="802">
        <f>'Base Patrones Presion'!$N$93</f>
        <v>0</v>
      </c>
      <c r="P9" s="17"/>
      <c r="Q9" s="20">
        <f>ABS(D10-D9)</f>
        <v>2.2000000000000006E-3</v>
      </c>
    </row>
    <row r="10" spans="1:20" x14ac:dyDescent="0.3">
      <c r="C10" s="798"/>
      <c r="D10" s="2">
        <f>'TOMA DE DATOS'!G78</f>
        <v>4.4999999999999997E-3</v>
      </c>
      <c r="E10" s="799"/>
      <c r="F10" s="513"/>
      <c r="G10" s="513"/>
      <c r="H10" s="513"/>
      <c r="I10" s="513"/>
      <c r="J10" s="802"/>
      <c r="K10" s="802"/>
      <c r="P10" s="18"/>
      <c r="Q10" s="20">
        <f>ABS(D12-D11)</f>
        <v>0</v>
      </c>
    </row>
    <row r="11" spans="1:20" ht="15" thickBot="1" x14ac:dyDescent="0.35">
      <c r="C11" s="798"/>
      <c r="D11" s="2">
        <f>'TOMA DE DATOS'!K78</f>
        <v>0</v>
      </c>
      <c r="E11" s="799"/>
      <c r="F11" s="513"/>
      <c r="G11" s="513"/>
      <c r="H11" s="513"/>
      <c r="I11" s="513"/>
      <c r="J11" s="802"/>
      <c r="K11" s="802"/>
      <c r="P11" s="19" t="s">
        <v>33</v>
      </c>
      <c r="Q11" s="21">
        <f>IF(OR('TOMA DE DATOS'!O23="C",'TOMA DE DATOS'!O23="B"), MAX(Q9),MAX(Q9:Q10))</f>
        <v>2.2000000000000006E-3</v>
      </c>
    </row>
    <row r="12" spans="1:20" ht="15" thickBot="1" x14ac:dyDescent="0.35">
      <c r="C12" s="798"/>
      <c r="D12" s="2">
        <f>'TOMA DE DATOS'!M78</f>
        <v>0</v>
      </c>
      <c r="E12" s="800"/>
      <c r="F12" s="801"/>
      <c r="G12" s="513"/>
      <c r="H12" s="513"/>
      <c r="I12" s="513"/>
      <c r="J12" s="802"/>
      <c r="K12" s="802"/>
    </row>
    <row r="13" spans="1:20" ht="15" thickBot="1" x14ac:dyDescent="0.35">
      <c r="B13" s="23" t="s">
        <v>11</v>
      </c>
      <c r="C13" s="1"/>
      <c r="D13" s="116">
        <f>IF('TOMA DE DATOS'!$O$23="C",AVERAGE(D9:D10),IF('TOMA DE DATOS'!O23="B",AVERAGE(((D9+D10)/2),D11),AVERAGE(D9:D12)))</f>
        <v>4.4999999999999997E-3</v>
      </c>
      <c r="E13" s="117" t="s">
        <v>267</v>
      </c>
      <c r="F13" s="325">
        <f>IF('TOMA DE DATOS'!$A$68='TOMA DE DATOS'!$Q$137,D13,D13+'Base Patrones Presion'!Q42)</f>
        <v>4.3906123422819774E-3</v>
      </c>
      <c r="G13" s="130"/>
    </row>
    <row r="14" spans="1:20" x14ac:dyDescent="0.3">
      <c r="B14" s="23" t="s">
        <v>13</v>
      </c>
      <c r="D14" s="30">
        <f>IF('TOMA DE DATOS'!$A$68='TOMA DE DATOS'!$Q$138,(C9-F13),F13-C9)</f>
        <v>-4.3906123422819774E-3</v>
      </c>
    </row>
    <row r="15" spans="1:20" x14ac:dyDescent="0.3">
      <c r="B15" s="25" t="s">
        <v>48</v>
      </c>
      <c r="C15" s="793"/>
      <c r="D15" s="525"/>
      <c r="E15" s="23">
        <v>200</v>
      </c>
      <c r="F15" s="23">
        <v>200</v>
      </c>
      <c r="G15" s="23">
        <v>200</v>
      </c>
      <c r="H15" s="23">
        <f>COUNT('TOMA DE DATOS'!$E$78:$N$87)-1</f>
        <v>11</v>
      </c>
      <c r="I15" s="23">
        <v>200</v>
      </c>
      <c r="J15" s="23">
        <v>200</v>
      </c>
      <c r="K15" s="23">
        <v>200</v>
      </c>
      <c r="O15" t="s">
        <v>35</v>
      </c>
    </row>
    <row r="16" spans="1:20" ht="30" customHeight="1" x14ac:dyDescent="0.3">
      <c r="B16" s="25" t="s">
        <v>46</v>
      </c>
      <c r="C16" s="793"/>
      <c r="D16" s="791"/>
      <c r="E16" s="23">
        <v>-1</v>
      </c>
      <c r="F16" s="23">
        <v>1</v>
      </c>
      <c r="G16" s="23">
        <v>1</v>
      </c>
      <c r="H16" s="23">
        <v>1</v>
      </c>
      <c r="I16" s="23">
        <v>1</v>
      </c>
      <c r="J16" s="23">
        <v>1</v>
      </c>
      <c r="K16" s="23">
        <v>1</v>
      </c>
      <c r="O16" t="s">
        <v>36</v>
      </c>
    </row>
    <row r="17" spans="2:20" ht="43.2" x14ac:dyDescent="0.3">
      <c r="B17" s="25" t="s">
        <v>47</v>
      </c>
      <c r="C17" s="793"/>
      <c r="D17" s="791"/>
      <c r="E17" s="23">
        <f t="shared" ref="E17:K17" si="0">POWER(E9*E16,2)</f>
        <v>2.4009739906933629E-7</v>
      </c>
      <c r="F17" s="23">
        <f t="shared" si="0"/>
        <v>2.0833333333333334E-6</v>
      </c>
      <c r="G17" s="23">
        <f t="shared" si="0"/>
        <v>4.0333333333333348E-7</v>
      </c>
      <c r="H17" s="23">
        <f t="shared" si="0"/>
        <v>0</v>
      </c>
      <c r="I17" s="23">
        <f t="shared" si="0"/>
        <v>4.0333333333333348E-7</v>
      </c>
      <c r="J17" s="23">
        <f t="shared" si="0"/>
        <v>2.0046004817141226E-29</v>
      </c>
      <c r="K17" s="23">
        <f t="shared" si="0"/>
        <v>0</v>
      </c>
      <c r="O17" s="26" t="s">
        <v>37</v>
      </c>
    </row>
    <row r="18" spans="2:20" x14ac:dyDescent="0.3">
      <c r="B18" s="418" t="s">
        <v>52</v>
      </c>
      <c r="C18" s="525"/>
      <c r="D18" s="525"/>
      <c r="E18" s="794">
        <f>SQRT(SUM(E17:K17))</f>
        <v>1.7692081276857556E-3</v>
      </c>
    </row>
    <row r="19" spans="2:20" x14ac:dyDescent="0.3">
      <c r="B19" s="418"/>
      <c r="C19" s="525"/>
      <c r="D19" s="525"/>
      <c r="E19" s="513"/>
    </row>
    <row r="20" spans="2:20" x14ac:dyDescent="0.3">
      <c r="B20" s="418"/>
      <c r="C20" s="525"/>
      <c r="D20" s="525"/>
      <c r="E20" s="513"/>
      <c r="S20" s="795" t="s">
        <v>95</v>
      </c>
      <c r="T20" s="795"/>
    </row>
    <row r="21" spans="2:20" x14ac:dyDescent="0.3">
      <c r="B21" s="418"/>
      <c r="C21" s="525"/>
      <c r="D21" s="525"/>
      <c r="E21" s="513"/>
      <c r="S21" s="432">
        <f>IF('TOMA DE DATOS'!$O$23="A",MAX(ABS(D11-D9),ABS(D12-D10)),IF('TOMA DE DATOS'!$O$23="B",ABS(D11-D9),0))</f>
        <v>0</v>
      </c>
      <c r="T21" s="432"/>
    </row>
    <row r="22" spans="2:20" x14ac:dyDescent="0.3">
      <c r="B22" s="418" t="s">
        <v>49</v>
      </c>
      <c r="C22" s="525"/>
      <c r="D22" s="525"/>
      <c r="E22" s="794">
        <f>POWER(E18,2)/((POWER(E17,2)/E15)+(POWER(F17,2)/F15)+(POWER(G17,2)/G15)+(POWER(H17,2)/H15)+(POWER(I17,2)/I15)+(POWER(J17,2)/J15)+(POWER(K17,2)/K15))</f>
        <v>132539139.60335305</v>
      </c>
    </row>
    <row r="23" spans="2:20" x14ac:dyDescent="0.3">
      <c r="B23" s="418"/>
      <c r="C23" s="525"/>
      <c r="D23" s="525"/>
      <c r="E23" s="513"/>
    </row>
    <row r="24" spans="2:20" x14ac:dyDescent="0.3">
      <c r="B24" s="418"/>
      <c r="C24" s="525"/>
      <c r="D24" s="525"/>
      <c r="E24" s="513"/>
      <c r="G24" s="10"/>
      <c r="H24" s="10"/>
      <c r="I24" s="10"/>
      <c r="O24" t="s">
        <v>38</v>
      </c>
    </row>
    <row r="25" spans="2:20" x14ac:dyDescent="0.3">
      <c r="B25" s="418"/>
      <c r="C25" s="525"/>
      <c r="D25" s="525"/>
      <c r="E25" s="513"/>
    </row>
    <row r="26" spans="2:20" x14ac:dyDescent="0.3">
      <c r="B26" s="2" t="s">
        <v>57</v>
      </c>
      <c r="C26" s="525"/>
      <c r="D26" s="791"/>
      <c r="E26" s="32">
        <f>TINV(0.05,E22)</f>
        <v>1.9599640004091534</v>
      </c>
    </row>
    <row r="27" spans="2:20" x14ac:dyDescent="0.3">
      <c r="B27" s="418" t="s">
        <v>53</v>
      </c>
      <c r="C27" s="525"/>
      <c r="D27" s="525"/>
      <c r="E27" s="792">
        <f>E18*E26</f>
        <v>3.467584239495362E-3</v>
      </c>
      <c r="O27" t="s">
        <v>39</v>
      </c>
    </row>
    <row r="28" spans="2:20" x14ac:dyDescent="0.3">
      <c r="B28" s="418"/>
      <c r="C28" s="525"/>
      <c r="D28" s="525"/>
      <c r="E28" s="792"/>
    </row>
    <row r="29" spans="2:20" x14ac:dyDescent="0.3">
      <c r="B29" s="418"/>
      <c r="C29" s="525"/>
      <c r="D29" s="525"/>
      <c r="E29" s="792"/>
      <c r="O29" s="14" t="s">
        <v>56</v>
      </c>
      <c r="P29" s="14"/>
      <c r="R29" s="14" t="s">
        <v>55</v>
      </c>
      <c r="S29" s="3">
        <f>IF('TOMA DE DATOS'!O23="A",(ABS((D10-D9))+ABS((D12-D11)))/2,D10-D9)</f>
        <v>-2.2000000000000006E-3</v>
      </c>
    </row>
    <row r="30" spans="2:20" x14ac:dyDescent="0.3">
      <c r="O30" s="3" t="s">
        <v>9</v>
      </c>
      <c r="P30" s="3">
        <v>2</v>
      </c>
    </row>
    <row r="31" spans="2:20" x14ac:dyDescent="0.3">
      <c r="O31" s="3" t="s">
        <v>54</v>
      </c>
      <c r="P31" s="3">
        <v>1</v>
      </c>
    </row>
    <row r="32" spans="2:20" x14ac:dyDescent="0.3">
      <c r="O32" s="3" t="s">
        <v>0</v>
      </c>
      <c r="P32" s="3">
        <v>1</v>
      </c>
    </row>
    <row r="33" spans="1:20" x14ac:dyDescent="0.3">
      <c r="A33" s="34"/>
      <c r="B33" s="34"/>
      <c r="C33" s="34">
        <v>2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</row>
    <row r="34" spans="1:20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</row>
    <row r="35" spans="1:20" x14ac:dyDescent="0.3">
      <c r="D35" s="1"/>
      <c r="E35" s="1" t="s">
        <v>51</v>
      </c>
      <c r="F35" s="1" t="s">
        <v>51</v>
      </c>
      <c r="G35" s="1" t="s">
        <v>51</v>
      </c>
      <c r="H35" s="1" t="s">
        <v>50</v>
      </c>
      <c r="I35" s="1" t="s">
        <v>51</v>
      </c>
      <c r="J35" s="1" t="s">
        <v>51</v>
      </c>
      <c r="K35" s="1" t="s">
        <v>51</v>
      </c>
    </row>
    <row r="36" spans="1:20" ht="15" thickBot="1" x14ac:dyDescent="0.35">
      <c r="A36" s="4" t="s">
        <v>58</v>
      </c>
      <c r="D36" s="525"/>
      <c r="E36" s="525"/>
      <c r="F36" s="525"/>
      <c r="G36" s="525"/>
      <c r="H36" s="525"/>
      <c r="I36" s="525"/>
      <c r="J36" s="804" t="s">
        <v>45</v>
      </c>
      <c r="K36" s="525"/>
      <c r="O36" t="s">
        <v>34</v>
      </c>
      <c r="P36" s="525"/>
      <c r="Q36" s="525"/>
    </row>
    <row r="37" spans="1:20" x14ac:dyDescent="0.3">
      <c r="A37" s="796">
        <f>'TOMA DE DATOS'!C79</f>
        <v>0.05</v>
      </c>
      <c r="D37" s="525"/>
      <c r="E37" s="525"/>
      <c r="F37" s="525"/>
      <c r="G37" s="525"/>
      <c r="H37" s="525"/>
      <c r="I37" s="525"/>
      <c r="J37" s="804"/>
      <c r="K37" s="525"/>
      <c r="P37" s="525"/>
      <c r="Q37" s="525"/>
    </row>
    <row r="38" spans="1:20" ht="15" thickBot="1" x14ac:dyDescent="0.35">
      <c r="A38" s="797"/>
      <c r="D38" s="803"/>
      <c r="E38" s="803"/>
      <c r="F38" s="803"/>
      <c r="G38" s="525"/>
      <c r="H38" s="525"/>
      <c r="I38" s="525"/>
      <c r="J38" s="805"/>
      <c r="K38" s="525"/>
      <c r="P38" s="806"/>
      <c r="Q38" s="806"/>
    </row>
    <row r="39" spans="1:20" ht="42" thickBot="1" x14ac:dyDescent="0.35">
      <c r="C39" s="16" t="str">
        <f>'Tabla de resultados'!$A$90</f>
        <v>Valor indicación [InH2O]</v>
      </c>
      <c r="D39" s="16" t="str">
        <f>'Tabla de resultados'!$E$90</f>
        <v>Patrón Estándar  [InH2O]</v>
      </c>
      <c r="E39" s="16" t="s">
        <v>31</v>
      </c>
      <c r="F39" s="16" t="s">
        <v>32</v>
      </c>
      <c r="G39" s="14"/>
      <c r="H39" s="14"/>
      <c r="I39" s="22"/>
      <c r="J39" s="16" t="s">
        <v>44</v>
      </c>
      <c r="K39" s="16" t="s">
        <v>83</v>
      </c>
      <c r="P39" s="27"/>
      <c r="Q39" s="28"/>
    </row>
    <row r="40" spans="1:20" x14ac:dyDescent="0.3">
      <c r="A40">
        <v>18</v>
      </c>
      <c r="C40" s="798">
        <f>IF('TOMA DE DATOS'!$A$68='TOMA DE DATOS'!$Q$138,'TOMA DE DATOS'!$C$79,'TOMA DE DATOS'!C79+'Base Patrones Presion'!Q43)</f>
        <v>0.05</v>
      </c>
      <c r="D40" s="30">
        <f>'TOMA DE DATOS'!E79</f>
        <v>5.1799999999999999E-2</v>
      </c>
      <c r="E40" s="810">
        <f>'Base Patrones Presion'!R43</f>
        <v>4.8997002643179398E-4</v>
      </c>
      <c r="F40" s="513">
        <f>IF('TOMA DE DATOS'!$O$20="Analógica",SQRT((1/3)*(POWER((2*'TOMA DE DATOS'!$I$22)/2,2))),SQRT((1/3)*(POWER((2*'TOMA DE DATOS'!$D$22)/2,2))))</f>
        <v>1.4433756729740645E-3</v>
      </c>
      <c r="G40" s="513">
        <f>G9</f>
        <v>6.3508529610858846E-4</v>
      </c>
      <c r="H40" s="513">
        <f>SQRT((1/3)*(POWER(S52/2,2)))</f>
        <v>0</v>
      </c>
      <c r="I40" s="513">
        <f>SQRT(1/3*POWER((S60)/2,2))</f>
        <v>5.7735026918962634E-4</v>
      </c>
      <c r="J40" s="812">
        <f>'Base Patrones Presion'!$M$63</f>
        <v>4.477276495498265E-15</v>
      </c>
      <c r="K40" s="813">
        <f>'Base Patrones Presion'!$N$93</f>
        <v>0</v>
      </c>
      <c r="P40" s="17"/>
      <c r="Q40" s="20">
        <f>ABS(D41-D40)</f>
        <v>2.0000000000000018E-3</v>
      </c>
    </row>
    <row r="41" spans="1:20" x14ac:dyDescent="0.3">
      <c r="C41" s="798"/>
      <c r="D41" s="30">
        <f>'TOMA DE DATOS'!G79</f>
        <v>4.9799999999999997E-2</v>
      </c>
      <c r="E41" s="810"/>
      <c r="F41" s="513"/>
      <c r="G41" s="513"/>
      <c r="H41" s="513"/>
      <c r="I41" s="513"/>
      <c r="J41" s="812"/>
      <c r="K41" s="813"/>
      <c r="P41" s="18"/>
      <c r="Q41" s="20">
        <f>ABS(D43-D42)</f>
        <v>0</v>
      </c>
    </row>
    <row r="42" spans="1:20" ht="15" thickBot="1" x14ac:dyDescent="0.35">
      <c r="C42" s="798"/>
      <c r="D42" s="30">
        <f>'TOMA DE DATOS'!K79</f>
        <v>0</v>
      </c>
      <c r="E42" s="810"/>
      <c r="F42" s="513"/>
      <c r="G42" s="513"/>
      <c r="H42" s="513"/>
      <c r="I42" s="513"/>
      <c r="J42" s="812"/>
      <c r="K42" s="813"/>
      <c r="P42" s="19" t="s">
        <v>33</v>
      </c>
      <c r="Q42" s="21">
        <f>IF(OR('TOMA DE DATOS'!$O$23="C",'TOMA DE DATOS'!$O$23="B"), MAX(Q40),MAX(Q40:Q41))</f>
        <v>2.0000000000000018E-3</v>
      </c>
    </row>
    <row r="43" spans="1:20" ht="15" thickBot="1" x14ac:dyDescent="0.35">
      <c r="C43" s="798"/>
      <c r="D43" s="30">
        <f>'TOMA DE DATOS'!M79</f>
        <v>0</v>
      </c>
      <c r="E43" s="811"/>
      <c r="F43" s="513"/>
      <c r="G43" s="513"/>
      <c r="H43" s="513"/>
      <c r="I43" s="513"/>
      <c r="J43" s="812"/>
      <c r="K43" s="813"/>
    </row>
    <row r="44" spans="1:20" ht="15" thickBot="1" x14ac:dyDescent="0.35">
      <c r="B44" s="23" t="s">
        <v>11</v>
      </c>
      <c r="C44" s="1"/>
      <c r="D44" s="29">
        <f>IF('TOMA DE DATOS'!$O$23="C",AVERAGE(D40:D41),IF('TOMA DE DATOS'!$O$23="B",AVERAGE(D40:D42),AVERAGE(D40:D43)))</f>
        <v>5.0799999999999998E-2</v>
      </c>
      <c r="E44" s="115" t="s">
        <v>267</v>
      </c>
      <c r="F44" s="325">
        <f>IF('TOMA DE DATOS'!$A$68='TOMA DE DATOS'!$Q$137,D44,D44+'Base Patrones Presion'!Q43)</f>
        <v>5.0697241440159788E-2</v>
      </c>
    </row>
    <row r="45" spans="1:20" x14ac:dyDescent="0.3">
      <c r="B45" s="23" t="s">
        <v>13</v>
      </c>
      <c r="D45" s="30">
        <f>IF('TOMA DE DATOS'!$A$68='TOMA DE DATOS'!$Q$138,(C40-F44),F44-C40)</f>
        <v>-6.9724144015978484E-4</v>
      </c>
    </row>
    <row r="46" spans="1:20" x14ac:dyDescent="0.3">
      <c r="B46" s="25" t="s">
        <v>48</v>
      </c>
      <c r="C46" s="793"/>
      <c r="D46" s="525"/>
      <c r="E46" s="23">
        <v>200</v>
      </c>
      <c r="F46" s="23">
        <v>200</v>
      </c>
      <c r="G46" s="23">
        <v>200</v>
      </c>
      <c r="H46" s="23">
        <f>COUNT('TOMA DE DATOS'!$E$78:$N$87)-1</f>
        <v>11</v>
      </c>
      <c r="I46" s="23">
        <v>200</v>
      </c>
      <c r="J46" s="23">
        <v>200</v>
      </c>
      <c r="K46" s="23">
        <v>200</v>
      </c>
      <c r="O46" t="s">
        <v>35</v>
      </c>
    </row>
    <row r="47" spans="1:20" ht="30" customHeight="1" x14ac:dyDescent="0.3">
      <c r="B47" s="25" t="s">
        <v>46</v>
      </c>
      <c r="C47" s="793"/>
      <c r="D47" s="791"/>
      <c r="E47" s="23">
        <v>-1</v>
      </c>
      <c r="F47" s="23">
        <v>1</v>
      </c>
      <c r="G47" s="23">
        <v>1</v>
      </c>
      <c r="H47" s="23">
        <v>1</v>
      </c>
      <c r="I47" s="23">
        <v>1</v>
      </c>
      <c r="J47" s="23">
        <v>1</v>
      </c>
      <c r="K47" s="23">
        <v>1</v>
      </c>
      <c r="O47" t="s">
        <v>36</v>
      </c>
    </row>
    <row r="48" spans="1:20" ht="43.2" x14ac:dyDescent="0.3">
      <c r="B48" s="25" t="s">
        <v>47</v>
      </c>
      <c r="C48" s="793"/>
      <c r="D48" s="791"/>
      <c r="E48" s="24">
        <f>POWER(E40*E47,2)</f>
        <v>2.400706268015729E-7</v>
      </c>
      <c r="F48" s="24">
        <f t="shared" ref="F48" si="1">POWER(F40*F47,2)</f>
        <v>2.0833333333333334E-6</v>
      </c>
      <c r="G48" s="24">
        <f t="shared" ref="G48" si="2">POWER(G40*G47,2)</f>
        <v>4.0333333333333348E-7</v>
      </c>
      <c r="H48" s="24">
        <f t="shared" ref="H48" si="3">POWER(H40*H47,2)</f>
        <v>0</v>
      </c>
      <c r="I48" s="24">
        <f>POWER(I40*I47,2)</f>
        <v>3.3333333333333399E-7</v>
      </c>
      <c r="J48" s="24">
        <f>POWER(J40*J47,2)</f>
        <v>2.0046004817141226E-29</v>
      </c>
      <c r="K48" s="24">
        <f>POWER(K40*K47,2)</f>
        <v>0</v>
      </c>
      <c r="O48" s="26" t="s">
        <v>37</v>
      </c>
    </row>
    <row r="49" spans="1:20" x14ac:dyDescent="0.3">
      <c r="B49" s="418" t="s">
        <v>52</v>
      </c>
      <c r="C49" s="525"/>
      <c r="D49" s="525"/>
      <c r="E49" s="794">
        <f>SQRT(SUM(E48:K48))</f>
        <v>1.7493057556646791E-3</v>
      </c>
    </row>
    <row r="50" spans="1:20" x14ac:dyDescent="0.3">
      <c r="B50" s="418"/>
      <c r="C50" s="525"/>
      <c r="D50" s="525"/>
      <c r="E50" s="513"/>
    </row>
    <row r="51" spans="1:20" x14ac:dyDescent="0.3">
      <c r="B51" s="418"/>
      <c r="C51" s="525"/>
      <c r="D51" s="525"/>
      <c r="E51" s="513"/>
      <c r="S51" s="795" t="s">
        <v>95</v>
      </c>
      <c r="T51" s="795"/>
    </row>
    <row r="52" spans="1:20" x14ac:dyDescent="0.3">
      <c r="B52" s="418"/>
      <c r="C52" s="525"/>
      <c r="D52" s="525"/>
      <c r="E52" s="513"/>
      <c r="S52" s="807">
        <f>IF('TOMA DE DATOS'!$O$23="A",MAX(ABS(D42-D40),ABS(D43-D41)),IF('TOMA DE DATOS'!$O$23="B",ABS(D42-D40),0))</f>
        <v>0</v>
      </c>
      <c r="T52" s="807"/>
    </row>
    <row r="53" spans="1:20" x14ac:dyDescent="0.3">
      <c r="B53" s="418" t="s">
        <v>49</v>
      </c>
      <c r="C53" s="525"/>
      <c r="D53" s="525"/>
      <c r="E53" s="794">
        <f>POWER(E49,2)/((POWER(E48,2)/E46)+(POWER(F48,2)/F46)+(POWER(G48,2)/G46)+(POWER(H48,2)/H46)+(POWER(I48,2)/I46)+(POWER(J48,2)/J46)+(POWER(K48,2)/K46))</f>
        <v>131004570.14740562</v>
      </c>
    </row>
    <row r="54" spans="1:20" x14ac:dyDescent="0.3">
      <c r="B54" s="418"/>
      <c r="C54" s="525"/>
      <c r="D54" s="525"/>
      <c r="E54" s="513"/>
      <c r="F54" s="130">
        <f>E53</f>
        <v>131004570.14740562</v>
      </c>
      <c r="G54" s="57">
        <v>1</v>
      </c>
    </row>
    <row r="55" spans="1:20" x14ac:dyDescent="0.3">
      <c r="B55" s="418"/>
      <c r="C55" s="525"/>
      <c r="D55" s="525"/>
      <c r="E55" s="513"/>
      <c r="G55" s="10"/>
      <c r="H55" s="10"/>
      <c r="I55" s="10"/>
      <c r="O55" t="s">
        <v>38</v>
      </c>
    </row>
    <row r="56" spans="1:20" x14ac:dyDescent="0.3">
      <c r="B56" s="418"/>
      <c r="C56" s="525"/>
      <c r="D56" s="525"/>
      <c r="E56" s="513"/>
    </row>
    <row r="57" spans="1:20" x14ac:dyDescent="0.3">
      <c r="B57" s="2" t="s">
        <v>57</v>
      </c>
      <c r="C57" s="525"/>
      <c r="D57" s="791"/>
      <c r="E57" s="32">
        <f>TINV(0.05,E53)</f>
        <v>1.959963999171195</v>
      </c>
      <c r="G57">
        <f>TINV(0.05,G54)</f>
        <v>12.706204736174707</v>
      </c>
    </row>
    <row r="58" spans="1:20" x14ac:dyDescent="0.3">
      <c r="B58" s="418" t="s">
        <v>53</v>
      </c>
      <c r="C58" s="525"/>
      <c r="D58" s="525"/>
      <c r="E58" s="792">
        <f>E49*E57</f>
        <v>3.4285763046457336E-3</v>
      </c>
      <c r="O58" t="s">
        <v>39</v>
      </c>
    </row>
    <row r="59" spans="1:20" x14ac:dyDescent="0.3">
      <c r="B59" s="418"/>
      <c r="C59" s="525"/>
      <c r="D59" s="525"/>
      <c r="E59" s="792"/>
    </row>
    <row r="60" spans="1:20" x14ac:dyDescent="0.3">
      <c r="B60" s="418"/>
      <c r="C60" s="525"/>
      <c r="D60" s="525"/>
      <c r="E60" s="792"/>
      <c r="O60" s="14" t="s">
        <v>56</v>
      </c>
      <c r="P60" s="14"/>
      <c r="R60" s="14" t="s">
        <v>55</v>
      </c>
      <c r="S60" s="33">
        <f>IF('TOMA DE DATOS'!$O$23="A",(ABS((D41-D40))+ABS((D43-D42)))/2,D41-D40)</f>
        <v>-2.0000000000000018E-3</v>
      </c>
    </row>
    <row r="61" spans="1:20" x14ac:dyDescent="0.3">
      <c r="O61" s="3" t="s">
        <v>9</v>
      </c>
      <c r="P61" s="3">
        <v>2</v>
      </c>
    </row>
    <row r="62" spans="1:20" x14ac:dyDescent="0.3">
      <c r="O62" s="3" t="s">
        <v>54</v>
      </c>
      <c r="P62" s="3">
        <v>1</v>
      </c>
    </row>
    <row r="63" spans="1:20" x14ac:dyDescent="0.3">
      <c r="O63" s="3" t="s">
        <v>0</v>
      </c>
      <c r="P63" s="3">
        <v>1</v>
      </c>
    </row>
    <row r="64" spans="1:20" x14ac:dyDescent="0.3">
      <c r="A64" s="34"/>
      <c r="B64" s="34"/>
      <c r="C64" s="34">
        <v>3</v>
      </c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</row>
    <row r="65" spans="1:20" x14ac:dyDescent="0.3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</row>
    <row r="66" spans="1:20" x14ac:dyDescent="0.3">
      <c r="D66" s="1"/>
      <c r="E66" s="1" t="s">
        <v>51</v>
      </c>
      <c r="F66" s="1" t="s">
        <v>51</v>
      </c>
      <c r="G66" s="1" t="s">
        <v>51</v>
      </c>
      <c r="H66" s="1" t="s">
        <v>50</v>
      </c>
      <c r="I66" s="1" t="s">
        <v>51</v>
      </c>
      <c r="J66" s="1" t="s">
        <v>51</v>
      </c>
      <c r="K66" s="1" t="s">
        <v>51</v>
      </c>
    </row>
    <row r="67" spans="1:20" ht="15" thickBot="1" x14ac:dyDescent="0.35">
      <c r="A67" s="4" t="s">
        <v>66</v>
      </c>
      <c r="D67" s="525"/>
      <c r="E67" s="525"/>
      <c r="F67" s="525"/>
      <c r="G67" s="525"/>
      <c r="H67" s="525"/>
      <c r="I67" s="525"/>
      <c r="J67" s="804" t="s">
        <v>45</v>
      </c>
      <c r="K67" s="525"/>
      <c r="O67" t="s">
        <v>34</v>
      </c>
      <c r="P67" s="525"/>
      <c r="Q67" s="525"/>
    </row>
    <row r="68" spans="1:20" x14ac:dyDescent="0.3">
      <c r="A68" s="796">
        <f>'TOMA DE DATOS'!C80</f>
        <v>0.1</v>
      </c>
      <c r="D68" s="525"/>
      <c r="E68" s="525"/>
      <c r="F68" s="525"/>
      <c r="G68" s="525"/>
      <c r="H68" s="525"/>
      <c r="I68" s="525"/>
      <c r="J68" s="804"/>
      <c r="K68" s="525"/>
      <c r="P68" s="525"/>
      <c r="Q68" s="525"/>
    </row>
    <row r="69" spans="1:20" ht="15" thickBot="1" x14ac:dyDescent="0.35">
      <c r="A69" s="797"/>
      <c r="D69" s="803"/>
      <c r="E69" s="803"/>
      <c r="F69" s="803"/>
      <c r="G69" s="525"/>
      <c r="H69" s="525"/>
      <c r="I69" s="525"/>
      <c r="J69" s="805"/>
      <c r="K69" s="525"/>
      <c r="P69" s="806"/>
      <c r="Q69" s="806"/>
    </row>
    <row r="70" spans="1:20" ht="42" thickBot="1" x14ac:dyDescent="0.35">
      <c r="C70" s="16" t="str">
        <f>'Tabla de resultados'!$A$90</f>
        <v>Valor indicación [InH2O]</v>
      </c>
      <c r="D70" s="16" t="str">
        <f>'Tabla de resultados'!$E$90</f>
        <v>Patrón Estándar  [InH2O]</v>
      </c>
      <c r="E70" s="16" t="s">
        <v>31</v>
      </c>
      <c r="F70" s="16" t="s">
        <v>32</v>
      </c>
      <c r="G70" s="14"/>
      <c r="H70" s="14"/>
      <c r="I70" s="22"/>
      <c r="J70" s="16" t="s">
        <v>44</v>
      </c>
      <c r="K70" s="16" t="s">
        <v>83</v>
      </c>
      <c r="P70" s="27"/>
      <c r="Q70" s="28"/>
    </row>
    <row r="71" spans="1:20" x14ac:dyDescent="0.3">
      <c r="A71">
        <v>19</v>
      </c>
      <c r="C71" s="798">
        <f>IF('TOMA DE DATOS'!$A$68='TOMA DE DATOS'!$Q$138,'TOMA DE DATOS'!$C$80,'TOMA DE DATOS'!C80+'Base Patrones Presion'!Q44)</f>
        <v>0.1</v>
      </c>
      <c r="D71" s="30">
        <f>'TOMA DE DATOS'!E80</f>
        <v>9.64E-2</v>
      </c>
      <c r="E71" s="799">
        <f>'Base Patrones Presion'!R44</f>
        <v>4.8994672024998249E-4</v>
      </c>
      <c r="F71" s="513">
        <f>IF('TOMA DE DATOS'!$O$20="Analógica",SQRT((1/3)*(POWER((2*'TOMA DE DATOS'!$I$22)/2,2))),SQRT((1/3)*(POWER((2*'TOMA DE DATOS'!$D$22)/2,2))))</f>
        <v>1.4433756729740645E-3</v>
      </c>
      <c r="G71" s="513">
        <f>$G$9</f>
        <v>6.3508529610858846E-4</v>
      </c>
      <c r="H71" s="513">
        <f>SQRT((1/3)*(POWER(S83/2,2)))</f>
        <v>0</v>
      </c>
      <c r="I71" s="513">
        <f>SQRT(1/3*POWER((S91)/2,2))</f>
        <v>2.309401076758489E-4</v>
      </c>
      <c r="J71" s="802">
        <f>'Base Patrones Presion'!$M$63</f>
        <v>4.477276495498265E-15</v>
      </c>
      <c r="K71" s="802">
        <f>'Base Patrones Presion'!$N$93</f>
        <v>0</v>
      </c>
      <c r="P71" s="17"/>
      <c r="Q71" s="20">
        <f>ABS(D72-D71)</f>
        <v>7.9999999999999516E-4</v>
      </c>
    </row>
    <row r="72" spans="1:20" x14ac:dyDescent="0.3">
      <c r="C72" s="798"/>
      <c r="D72" s="30">
        <f>'TOMA DE DATOS'!G80</f>
        <v>9.5600000000000004E-2</v>
      </c>
      <c r="E72" s="799"/>
      <c r="F72" s="513"/>
      <c r="G72" s="513"/>
      <c r="H72" s="513"/>
      <c r="I72" s="513"/>
      <c r="J72" s="802"/>
      <c r="K72" s="802"/>
      <c r="P72" s="18"/>
      <c r="Q72" s="20">
        <f>ABS(D74-D73)</f>
        <v>0</v>
      </c>
    </row>
    <row r="73" spans="1:20" ht="15" thickBot="1" x14ac:dyDescent="0.35">
      <c r="C73" s="798"/>
      <c r="D73" s="30">
        <f>'TOMA DE DATOS'!K80</f>
        <v>0</v>
      </c>
      <c r="E73" s="799"/>
      <c r="F73" s="513"/>
      <c r="G73" s="513"/>
      <c r="H73" s="513"/>
      <c r="I73" s="513"/>
      <c r="J73" s="802"/>
      <c r="K73" s="802"/>
      <c r="P73" s="19" t="s">
        <v>33</v>
      </c>
      <c r="Q73" s="21">
        <f>IF(OR('TOMA DE DATOS'!$O$23="C",'TOMA DE DATOS'!$O$23="B"), MAX(Q71),MAX(Q71:Q72))</f>
        <v>7.9999999999999516E-4</v>
      </c>
    </row>
    <row r="74" spans="1:20" ht="15" thickBot="1" x14ac:dyDescent="0.35">
      <c r="C74" s="798"/>
      <c r="D74" s="30">
        <f>'TOMA DE DATOS'!M80</f>
        <v>0</v>
      </c>
      <c r="E74" s="800"/>
      <c r="F74" s="801"/>
      <c r="G74" s="513"/>
      <c r="H74" s="513"/>
      <c r="I74" s="513"/>
      <c r="J74" s="802"/>
      <c r="K74" s="802"/>
    </row>
    <row r="75" spans="1:20" ht="15" thickBot="1" x14ac:dyDescent="0.35">
      <c r="B75" s="23" t="s">
        <v>11</v>
      </c>
      <c r="C75" s="1"/>
      <c r="D75" s="116">
        <f>IF('TOMA DE DATOS'!$O$23="C",AVERAGE(D71:D72),IF('TOMA DE DATOS'!O23="B",AVERAGE(D71:D73),AVERAGE(D71:D74)))</f>
        <v>9.6000000000000002E-2</v>
      </c>
      <c r="E75" s="117" t="s">
        <v>267</v>
      </c>
      <c r="F75" s="325">
        <f>IF('TOMA DE DATOS'!$A$68='TOMA DE DATOS'!$Q$137,D75,D75+'Base Patrones Presion'!Q44)</f>
        <v>9.5903615533679543E-2</v>
      </c>
      <c r="G75" s="131"/>
    </row>
    <row r="76" spans="1:20" x14ac:dyDescent="0.3">
      <c r="B76" s="23" t="s">
        <v>13</v>
      </c>
      <c r="D76" s="30">
        <f>IF('TOMA DE DATOS'!$A$68='TOMA DE DATOS'!$Q$138,(C71-F75),F75-C71)</f>
        <v>4.0963844663204629E-3</v>
      </c>
    </row>
    <row r="77" spans="1:20" x14ac:dyDescent="0.3">
      <c r="B77" s="25" t="s">
        <v>48</v>
      </c>
      <c r="C77" s="793"/>
      <c r="D77" s="525"/>
      <c r="E77" s="23">
        <v>200</v>
      </c>
      <c r="F77" s="23">
        <v>200</v>
      </c>
      <c r="G77" s="23">
        <v>200</v>
      </c>
      <c r="H77" s="23">
        <f>COUNT('TOMA DE DATOS'!$E$78:$N$87)-1</f>
        <v>11</v>
      </c>
      <c r="I77" s="23">
        <v>200</v>
      </c>
      <c r="J77" s="23">
        <v>200</v>
      </c>
      <c r="K77" s="23">
        <v>200</v>
      </c>
      <c r="O77" t="s">
        <v>35</v>
      </c>
    </row>
    <row r="78" spans="1:20" ht="30" customHeight="1" x14ac:dyDescent="0.3">
      <c r="B78" s="25" t="s">
        <v>46</v>
      </c>
      <c r="C78" s="793"/>
      <c r="D78" s="791"/>
      <c r="E78" s="23">
        <v>-1</v>
      </c>
      <c r="F78" s="23">
        <v>1</v>
      </c>
      <c r="G78" s="23">
        <v>1</v>
      </c>
      <c r="H78" s="23">
        <v>1</v>
      </c>
      <c r="I78" s="23">
        <v>1</v>
      </c>
      <c r="J78" s="23">
        <v>1</v>
      </c>
      <c r="K78" s="23">
        <v>1</v>
      </c>
      <c r="O78" t="s">
        <v>36</v>
      </c>
    </row>
    <row r="79" spans="1:20" ht="43.2" x14ac:dyDescent="0.3">
      <c r="B79" s="25" t="s">
        <v>47</v>
      </c>
      <c r="C79" s="793"/>
      <c r="D79" s="791"/>
      <c r="E79" s="24">
        <f>POWER(E71*E78,2)</f>
        <v>2.4004778868371462E-7</v>
      </c>
      <c r="F79" s="24">
        <f>POWER(F71*F78,2)</f>
        <v>2.0833333333333334E-6</v>
      </c>
      <c r="G79" s="24">
        <f t="shared" ref="G79:H79" si="4">POWER(G71*G78,2)</f>
        <v>4.0333333333333348E-7</v>
      </c>
      <c r="H79" s="24">
        <f t="shared" si="4"/>
        <v>0</v>
      </c>
      <c r="I79" s="24">
        <f>POWER(I71*I78,2)</f>
        <v>5.3333333333332686E-8</v>
      </c>
      <c r="J79" s="24">
        <f>POWER(J71*J78,2)</f>
        <v>2.0046004817141226E-29</v>
      </c>
      <c r="K79" s="24">
        <f>POWER(K71*K78,2)</f>
        <v>0</v>
      </c>
      <c r="O79" s="26" t="s">
        <v>37</v>
      </c>
    </row>
    <row r="80" spans="1:20" x14ac:dyDescent="0.3">
      <c r="B80" s="418" t="s">
        <v>52</v>
      </c>
      <c r="C80" s="525"/>
      <c r="D80" s="525"/>
      <c r="E80" s="794">
        <f>SQRT(SUM(E79:K79))</f>
        <v>1.6673475308656303E-3</v>
      </c>
    </row>
    <row r="81" spans="1:20" x14ac:dyDescent="0.3">
      <c r="B81" s="418"/>
      <c r="C81" s="525"/>
      <c r="D81" s="525"/>
      <c r="E81" s="513"/>
    </row>
    <row r="82" spans="1:20" x14ac:dyDescent="0.3">
      <c r="B82" s="418"/>
      <c r="C82" s="525"/>
      <c r="D82" s="525"/>
      <c r="E82" s="513"/>
      <c r="S82" s="795" t="s">
        <v>95</v>
      </c>
      <c r="T82" s="795"/>
    </row>
    <row r="83" spans="1:20" x14ac:dyDescent="0.3">
      <c r="B83" s="418"/>
      <c r="C83" s="525"/>
      <c r="D83" s="525"/>
      <c r="E83" s="513"/>
      <c r="S83" s="432">
        <f>IF('TOMA DE DATOS'!$O$23="A",MAX(ABS(D73-D71),ABS(D74-D72)),IF('TOMA DE DATOS'!$O$23="B",ABS(D73-D71),0))</f>
        <v>0</v>
      </c>
      <c r="T83" s="432"/>
    </row>
    <row r="84" spans="1:20" x14ac:dyDescent="0.3">
      <c r="B84" s="418" t="s">
        <v>49</v>
      </c>
      <c r="C84" s="525"/>
      <c r="D84" s="525"/>
      <c r="E84" s="794">
        <f>POWER(E80,2)/((POWER(E79,2)/E77)+(POWER(F79,2)/F77)+(POWER(G79,2)/G77)+(POWER(H79,2)/H77)+(POWER(I79,2)/I77)+(POWER(J79,2)/J77)+(POWER(K79,2)/K77))</f>
        <v>121840461.6322812</v>
      </c>
    </row>
    <row r="85" spans="1:20" x14ac:dyDescent="0.3">
      <c r="B85" s="418"/>
      <c r="C85" s="525"/>
      <c r="D85" s="525"/>
      <c r="E85" s="513"/>
    </row>
    <row r="86" spans="1:20" x14ac:dyDescent="0.3">
      <c r="B86" s="418"/>
      <c r="C86" s="525"/>
      <c r="D86" s="525"/>
      <c r="E86" s="513"/>
      <c r="G86" s="10"/>
      <c r="H86" s="10"/>
      <c r="I86" s="10"/>
      <c r="O86" t="s">
        <v>38</v>
      </c>
    </row>
    <row r="87" spans="1:20" x14ac:dyDescent="0.3">
      <c r="B87" s="418"/>
      <c r="C87" s="525"/>
      <c r="D87" s="525"/>
      <c r="E87" s="513"/>
    </row>
    <row r="88" spans="1:20" x14ac:dyDescent="0.3">
      <c r="B88" s="2" t="s">
        <v>57</v>
      </c>
      <c r="C88" s="525"/>
      <c r="D88" s="791"/>
      <c r="E88" s="32">
        <f>TINV(0.05,E84)</f>
        <v>1.9599640002872865</v>
      </c>
    </row>
    <row r="89" spans="1:20" x14ac:dyDescent="0.3">
      <c r="B89" s="418" t="s">
        <v>53</v>
      </c>
      <c r="C89" s="525"/>
      <c r="D89" s="525"/>
      <c r="E89" s="792">
        <f>E80*E88</f>
        <v>3.2679411364645305E-3</v>
      </c>
      <c r="O89" t="s">
        <v>39</v>
      </c>
    </row>
    <row r="90" spans="1:20" x14ac:dyDescent="0.3">
      <c r="B90" s="418"/>
      <c r="C90" s="525"/>
      <c r="D90" s="525"/>
      <c r="E90" s="792"/>
    </row>
    <row r="91" spans="1:20" x14ac:dyDescent="0.3">
      <c r="B91" s="418"/>
      <c r="C91" s="525"/>
      <c r="D91" s="525"/>
      <c r="E91" s="792"/>
      <c r="O91" s="14" t="s">
        <v>56</v>
      </c>
      <c r="P91" s="14"/>
      <c r="R91" s="14" t="s">
        <v>55</v>
      </c>
      <c r="S91" s="33">
        <f>IF('TOMA DE DATOS'!$O$23="A",(ABS((D72-D71))+ABS((D74-D73)))/2,D72-D71)</f>
        <v>-7.9999999999999516E-4</v>
      </c>
    </row>
    <row r="92" spans="1:20" x14ac:dyDescent="0.3">
      <c r="O92" s="3" t="s">
        <v>9</v>
      </c>
      <c r="P92" s="3">
        <v>2</v>
      </c>
    </row>
    <row r="93" spans="1:20" x14ac:dyDescent="0.3">
      <c r="O93" s="3" t="s">
        <v>54</v>
      </c>
      <c r="P93" s="3">
        <v>1</v>
      </c>
    </row>
    <row r="94" spans="1:20" x14ac:dyDescent="0.3">
      <c r="O94" s="3" t="s">
        <v>0</v>
      </c>
      <c r="P94" s="3">
        <v>1</v>
      </c>
    </row>
    <row r="95" spans="1:20" x14ac:dyDescent="0.3">
      <c r="A95" s="34"/>
      <c r="B95" s="34"/>
      <c r="C95" s="34">
        <v>4</v>
      </c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</row>
    <row r="96" spans="1:20" x14ac:dyDescent="0.3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</row>
    <row r="97" spans="1:17" x14ac:dyDescent="0.3">
      <c r="D97" s="1"/>
      <c r="E97" s="1" t="s">
        <v>51</v>
      </c>
      <c r="F97" s="1" t="s">
        <v>51</v>
      </c>
      <c r="G97" s="1" t="s">
        <v>51</v>
      </c>
      <c r="H97" s="1" t="s">
        <v>50</v>
      </c>
      <c r="I97" s="1" t="s">
        <v>51</v>
      </c>
      <c r="J97" s="1" t="s">
        <v>51</v>
      </c>
      <c r="K97" s="1" t="s">
        <v>51</v>
      </c>
    </row>
    <row r="98" spans="1:17" ht="15" thickBot="1" x14ac:dyDescent="0.35">
      <c r="A98" s="4" t="s">
        <v>69</v>
      </c>
      <c r="D98" s="525"/>
      <c r="E98" s="525"/>
      <c r="F98" s="525"/>
      <c r="G98" s="525"/>
      <c r="H98" s="525"/>
      <c r="I98" s="525"/>
      <c r="J98" s="804" t="s">
        <v>45</v>
      </c>
      <c r="K98" s="525"/>
      <c r="O98" t="s">
        <v>34</v>
      </c>
      <c r="P98" s="525"/>
      <c r="Q98" s="525"/>
    </row>
    <row r="99" spans="1:17" x14ac:dyDescent="0.3">
      <c r="A99" s="796">
        <f>'TOMA DE DATOS'!C81</f>
        <v>0.15</v>
      </c>
      <c r="D99" s="525"/>
      <c r="E99" s="525"/>
      <c r="F99" s="525"/>
      <c r="G99" s="525"/>
      <c r="H99" s="525"/>
      <c r="I99" s="525"/>
      <c r="J99" s="804"/>
      <c r="K99" s="525"/>
      <c r="P99" s="525"/>
      <c r="Q99" s="525"/>
    </row>
    <row r="100" spans="1:17" ht="15" thickBot="1" x14ac:dyDescent="0.35">
      <c r="A100" s="797"/>
      <c r="D100" s="803"/>
      <c r="E100" s="803"/>
      <c r="F100" s="803"/>
      <c r="G100" s="525"/>
      <c r="H100" s="525"/>
      <c r="I100" s="525"/>
      <c r="J100" s="805"/>
      <c r="K100" s="525"/>
      <c r="P100" s="806"/>
      <c r="Q100" s="806"/>
    </row>
    <row r="101" spans="1:17" ht="42" thickBot="1" x14ac:dyDescent="0.35">
      <c r="C101" s="16" t="str">
        <f>'Tabla de resultados'!$A$90</f>
        <v>Valor indicación [InH2O]</v>
      </c>
      <c r="D101" s="16" t="str">
        <f>'Tabla de resultados'!$E$90</f>
        <v>Patrón Estándar  [InH2O]</v>
      </c>
      <c r="E101" s="16" t="s">
        <v>31</v>
      </c>
      <c r="F101" s="16" t="s">
        <v>32</v>
      </c>
      <c r="G101" s="14"/>
      <c r="H101" s="14"/>
      <c r="I101" s="22"/>
      <c r="J101" s="16" t="s">
        <v>44</v>
      </c>
      <c r="K101" s="16" t="s">
        <v>83</v>
      </c>
      <c r="P101" s="27"/>
      <c r="Q101" s="28"/>
    </row>
    <row r="102" spans="1:17" x14ac:dyDescent="0.3">
      <c r="A102">
        <v>20</v>
      </c>
      <c r="C102" s="798">
        <f>IF('TOMA DE DATOS'!$A$68='TOMA DE DATOS'!$Q$138,'TOMA DE DATOS'!$C$81,'TOMA DE DATOS'!C81+'Base Patrones Presion'!Q45)</f>
        <v>0.15</v>
      </c>
      <c r="D102" s="30">
        <f>'TOMA DE DATOS'!E81</f>
        <v>0.15049999999999999</v>
      </c>
      <c r="E102" s="799">
        <f>'Base Patrones Presion'!R45</f>
        <v>4.8992552796232988E-4</v>
      </c>
      <c r="F102" s="513">
        <f>IF('TOMA DE DATOS'!$O$20="Analógica",SQRT((1/3)*(POWER((2*'TOMA DE DATOS'!$I$22)/2,2))),SQRT((1/3)*(POWER((2*'TOMA DE DATOS'!$D$22)/2,2))))</f>
        <v>1.4433756729740645E-3</v>
      </c>
      <c r="G102" s="513">
        <f>$G$9</f>
        <v>6.3508529610858846E-4</v>
      </c>
      <c r="H102" s="513">
        <f>SQRT((1/3)*(POWER(S114/2,2)))</f>
        <v>0</v>
      </c>
      <c r="I102" s="513">
        <f>SQRT(1/3*POWER((S122)/2,2))</f>
        <v>9.2376043070340364E-4</v>
      </c>
      <c r="J102" s="802">
        <f>'Base Patrones Presion'!$M$63</f>
        <v>4.477276495498265E-15</v>
      </c>
      <c r="K102" s="802">
        <f>'Base Patrones Presion'!$N$93</f>
        <v>0</v>
      </c>
      <c r="P102" s="17"/>
      <c r="Q102" s="20">
        <f>ABS(D103-D102)</f>
        <v>3.2000000000000084E-3</v>
      </c>
    </row>
    <row r="103" spans="1:17" x14ac:dyDescent="0.3">
      <c r="C103" s="798"/>
      <c r="D103" s="30">
        <f>'TOMA DE DATOS'!G81</f>
        <v>0.14729999999999999</v>
      </c>
      <c r="E103" s="799"/>
      <c r="F103" s="513"/>
      <c r="G103" s="513"/>
      <c r="H103" s="513"/>
      <c r="I103" s="513"/>
      <c r="J103" s="802"/>
      <c r="K103" s="802"/>
      <c r="P103" s="18"/>
      <c r="Q103" s="20">
        <f>ABS(D105-D104)</f>
        <v>0</v>
      </c>
    </row>
    <row r="104" spans="1:17" ht="15" thickBot="1" x14ac:dyDescent="0.35">
      <c r="C104" s="798"/>
      <c r="D104" s="30">
        <f>'TOMA DE DATOS'!K81</f>
        <v>0</v>
      </c>
      <c r="E104" s="799"/>
      <c r="F104" s="513"/>
      <c r="G104" s="513"/>
      <c r="H104" s="513"/>
      <c r="I104" s="513"/>
      <c r="J104" s="802"/>
      <c r="K104" s="802"/>
      <c r="P104" s="19" t="s">
        <v>33</v>
      </c>
      <c r="Q104" s="21">
        <f>IF(OR('TOMA DE DATOS'!$O$23="C",'TOMA DE DATOS'!$O$23="B"), MAX(Q102),MAX(Q102:Q103))</f>
        <v>3.2000000000000084E-3</v>
      </c>
    </row>
    <row r="105" spans="1:17" ht="15" thickBot="1" x14ac:dyDescent="0.35">
      <c r="C105" s="798"/>
      <c r="D105" s="30">
        <f>'TOMA DE DATOS'!M81</f>
        <v>0</v>
      </c>
      <c r="E105" s="800"/>
      <c r="F105" s="801"/>
      <c r="G105" s="513"/>
      <c r="H105" s="513"/>
      <c r="I105" s="513"/>
      <c r="J105" s="802"/>
      <c r="K105" s="802"/>
    </row>
    <row r="106" spans="1:17" ht="15" thickBot="1" x14ac:dyDescent="0.35">
      <c r="B106" s="23" t="s">
        <v>11</v>
      </c>
      <c r="C106" s="1"/>
      <c r="D106" s="116">
        <f>IF('TOMA DE DATOS'!$O$23="C",AVERAGE(D102:D103),IF('TOMA DE DATOS'!O23="B",AVERAGE((D102+D103)/2,D104),AVERAGE(D102:D105)))</f>
        <v>0.14889999999999998</v>
      </c>
      <c r="E106" s="117" t="s">
        <v>267</v>
      </c>
      <c r="F106" s="325">
        <f>IF('TOMA DE DATOS'!$A$68='TOMA DE DATOS'!$Q$137,D106,D106+'Base Patrones Presion'!Q45)</f>
        <v>0.14881063853421925</v>
      </c>
    </row>
    <row r="107" spans="1:17" x14ac:dyDescent="0.3">
      <c r="B107" s="23" t="s">
        <v>13</v>
      </c>
      <c r="D107" s="30">
        <f>IF('TOMA DE DATOS'!$A$68='TOMA DE DATOS'!$Q$138,(C102-F106),F106-C102)</f>
        <v>1.1893614657807472E-3</v>
      </c>
    </row>
    <row r="108" spans="1:17" x14ac:dyDescent="0.3">
      <c r="B108" s="25" t="s">
        <v>48</v>
      </c>
      <c r="C108" s="793"/>
      <c r="D108" s="525"/>
      <c r="E108" s="23">
        <v>200</v>
      </c>
      <c r="F108" s="23">
        <v>200</v>
      </c>
      <c r="G108" s="23">
        <v>200</v>
      </c>
      <c r="H108" s="23">
        <f>COUNT('TOMA DE DATOS'!$E$78:$N$87)-1</f>
        <v>11</v>
      </c>
      <c r="I108" s="23">
        <v>200</v>
      </c>
      <c r="J108" s="23">
        <v>200</v>
      </c>
      <c r="K108" s="23">
        <v>200</v>
      </c>
      <c r="O108" t="s">
        <v>35</v>
      </c>
    </row>
    <row r="109" spans="1:17" ht="30" customHeight="1" x14ac:dyDescent="0.3">
      <c r="B109" s="25" t="s">
        <v>46</v>
      </c>
      <c r="C109" s="793"/>
      <c r="D109" s="791"/>
      <c r="E109" s="23">
        <v>-1</v>
      </c>
      <c r="F109" s="23">
        <v>1</v>
      </c>
      <c r="G109" s="23">
        <v>1</v>
      </c>
      <c r="H109" s="23">
        <v>1</v>
      </c>
      <c r="I109" s="23">
        <v>1</v>
      </c>
      <c r="J109" s="23">
        <v>1</v>
      </c>
      <c r="K109" s="23">
        <v>1</v>
      </c>
      <c r="O109" t="s">
        <v>36</v>
      </c>
    </row>
    <row r="110" spans="1:17" ht="43.2" x14ac:dyDescent="0.3">
      <c r="B110" s="25" t="s">
        <v>47</v>
      </c>
      <c r="C110" s="793"/>
      <c r="D110" s="791"/>
      <c r="E110" s="24">
        <f>POWER(E102*E109,2)</f>
        <v>2.4002702294916766E-7</v>
      </c>
      <c r="F110" s="24">
        <f>POWER(F102*F109,2)</f>
        <v>2.0833333333333334E-6</v>
      </c>
      <c r="G110" s="24">
        <f t="shared" ref="G110:H110" si="5">POWER(G102*G109,2)</f>
        <v>4.0333333333333348E-7</v>
      </c>
      <c r="H110" s="24">
        <f t="shared" si="5"/>
        <v>0</v>
      </c>
      <c r="I110" s="24">
        <f>POWER(I102*I109,2)</f>
        <v>8.533333333333378E-7</v>
      </c>
      <c r="J110" s="24">
        <f>POWER(J102*J109,2)</f>
        <v>2.0046004817141226E-29</v>
      </c>
      <c r="K110" s="24">
        <f>POWER(K102*K109,2)</f>
        <v>0</v>
      </c>
      <c r="O110" s="26" t="s">
        <v>37</v>
      </c>
    </row>
    <row r="111" spans="1:17" x14ac:dyDescent="0.3">
      <c r="B111" s="418" t="s">
        <v>52</v>
      </c>
      <c r="C111" s="525"/>
      <c r="D111" s="525"/>
      <c r="E111" s="794">
        <f>SQRT(SUM(E110:K110))</f>
        <v>1.8920959338651865E-3</v>
      </c>
    </row>
    <row r="112" spans="1:17" x14ac:dyDescent="0.3">
      <c r="B112" s="418"/>
      <c r="C112" s="525"/>
      <c r="D112" s="525"/>
      <c r="E112" s="513"/>
    </row>
    <row r="113" spans="1:20" x14ac:dyDescent="0.3">
      <c r="B113" s="418"/>
      <c r="C113" s="525"/>
      <c r="D113" s="525"/>
      <c r="E113" s="513"/>
      <c r="S113" s="795" t="s">
        <v>95</v>
      </c>
      <c r="T113" s="795"/>
    </row>
    <row r="114" spans="1:20" x14ac:dyDescent="0.3">
      <c r="B114" s="418"/>
      <c r="C114" s="525"/>
      <c r="D114" s="525"/>
      <c r="E114" s="513"/>
      <c r="S114" s="432">
        <f>IF('TOMA DE DATOS'!$O$23="A",MAX(ABS(D104-D102),ABS(D105-D103)),IF('TOMA DE DATOS'!$O$23="B",ABS(D104-D102),0))</f>
        <v>0</v>
      </c>
      <c r="T114" s="432"/>
    </row>
    <row r="115" spans="1:20" x14ac:dyDescent="0.3">
      <c r="B115" s="418" t="s">
        <v>49</v>
      </c>
      <c r="C115" s="525"/>
      <c r="D115" s="525"/>
      <c r="E115" s="794">
        <f>POWER(E111,2)/((POWER(E110,2)/E108)+(POWER(F110,2)/F108)+(POWER(G110,2)/G108)+(POWER(H110,2)/H108)+(POWER(I110,2)/I108)+(POWER(J110,2)/J108)+(POWER(K110,2)/K108))</f>
        <v>135382822.93900171</v>
      </c>
    </row>
    <row r="116" spans="1:20" x14ac:dyDescent="0.3">
      <c r="B116" s="418"/>
      <c r="C116" s="525"/>
      <c r="D116" s="525"/>
      <c r="E116" s="513"/>
    </row>
    <row r="117" spans="1:20" x14ac:dyDescent="0.3">
      <c r="B117" s="418"/>
      <c r="C117" s="525"/>
      <c r="D117" s="525"/>
      <c r="E117" s="513"/>
      <c r="G117" s="10"/>
      <c r="H117" s="10"/>
      <c r="I117" s="10"/>
      <c r="O117" t="s">
        <v>38</v>
      </c>
    </row>
    <row r="118" spans="1:20" x14ac:dyDescent="0.3">
      <c r="B118" s="418"/>
      <c r="C118" s="525"/>
      <c r="D118" s="525"/>
      <c r="E118" s="513"/>
    </row>
    <row r="119" spans="1:20" x14ac:dyDescent="0.3">
      <c r="B119" s="2" t="s">
        <v>57</v>
      </c>
      <c r="C119" s="525"/>
      <c r="D119" s="791"/>
      <c r="E119" s="32">
        <f>TINV(0.05,E115)</f>
        <v>1.959964000487449</v>
      </c>
    </row>
    <row r="120" spans="1:20" x14ac:dyDescent="0.3">
      <c r="B120" s="418" t="s">
        <v>53</v>
      </c>
      <c r="C120" s="525"/>
      <c r="D120" s="525"/>
      <c r="E120" s="792">
        <f>E111*E119</f>
        <v>3.7084399158444467E-3</v>
      </c>
      <c r="O120" t="s">
        <v>39</v>
      </c>
    </row>
    <row r="121" spans="1:20" x14ac:dyDescent="0.3">
      <c r="B121" s="418"/>
      <c r="C121" s="525"/>
      <c r="D121" s="525"/>
      <c r="E121" s="792"/>
    </row>
    <row r="122" spans="1:20" x14ac:dyDescent="0.3">
      <c r="B122" s="418"/>
      <c r="C122" s="525"/>
      <c r="D122" s="525"/>
      <c r="E122" s="792"/>
      <c r="O122" s="14" t="s">
        <v>56</v>
      </c>
      <c r="P122" s="14"/>
      <c r="R122" s="14" t="s">
        <v>55</v>
      </c>
      <c r="S122" s="33">
        <f>IF('TOMA DE DATOS'!$O$23="A",(ABS((D103-D102))+ABS((D105-D104)))/2,D103-D102)</f>
        <v>-3.2000000000000084E-3</v>
      </c>
    </row>
    <row r="123" spans="1:20" x14ac:dyDescent="0.3">
      <c r="O123" s="3" t="s">
        <v>9</v>
      </c>
      <c r="P123" s="3">
        <v>2</v>
      </c>
    </row>
    <row r="124" spans="1:20" x14ac:dyDescent="0.3">
      <c r="O124" s="3" t="s">
        <v>54</v>
      </c>
      <c r="P124" s="3">
        <v>1</v>
      </c>
    </row>
    <row r="125" spans="1:20" x14ac:dyDescent="0.3">
      <c r="O125" s="3" t="s">
        <v>0</v>
      </c>
      <c r="P125" s="3">
        <v>1</v>
      </c>
    </row>
    <row r="126" spans="1:20" x14ac:dyDescent="0.3">
      <c r="A126" s="34"/>
      <c r="B126" s="34"/>
      <c r="C126" s="34">
        <v>5</v>
      </c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</row>
    <row r="127" spans="1:20" x14ac:dyDescent="0.3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</row>
    <row r="128" spans="1:20" x14ac:dyDescent="0.3">
      <c r="D128" s="1"/>
      <c r="E128" s="1" t="s">
        <v>51</v>
      </c>
      <c r="F128" s="1" t="s">
        <v>51</v>
      </c>
      <c r="G128" s="1" t="s">
        <v>51</v>
      </c>
      <c r="H128" s="1" t="s">
        <v>50</v>
      </c>
      <c r="I128" s="1" t="s">
        <v>51</v>
      </c>
      <c r="J128" s="1" t="s">
        <v>51</v>
      </c>
      <c r="K128" s="1" t="s">
        <v>51</v>
      </c>
    </row>
    <row r="129" spans="1:20" ht="15" thickBot="1" x14ac:dyDescent="0.35">
      <c r="A129" s="4" t="s">
        <v>70</v>
      </c>
      <c r="D129" s="525"/>
      <c r="E129" s="525"/>
      <c r="F129" s="525"/>
      <c r="G129" s="525"/>
      <c r="H129" s="525"/>
      <c r="I129" s="525"/>
      <c r="J129" s="804" t="s">
        <v>45</v>
      </c>
      <c r="K129" s="525"/>
      <c r="O129" t="s">
        <v>34</v>
      </c>
      <c r="P129" s="525"/>
      <c r="Q129" s="525"/>
    </row>
    <row r="130" spans="1:20" x14ac:dyDescent="0.3">
      <c r="A130" s="796">
        <f>'TOMA DE DATOS'!C82</f>
        <v>0.2</v>
      </c>
      <c r="D130" s="525"/>
      <c r="E130" s="525"/>
      <c r="F130" s="525"/>
      <c r="G130" s="525"/>
      <c r="H130" s="525"/>
      <c r="I130" s="525"/>
      <c r="J130" s="804"/>
      <c r="K130" s="525"/>
      <c r="P130" s="525"/>
      <c r="Q130" s="525"/>
    </row>
    <row r="131" spans="1:20" ht="15" thickBot="1" x14ac:dyDescent="0.35">
      <c r="A131" s="797"/>
      <c r="D131" s="803"/>
      <c r="E131" s="803"/>
      <c r="F131" s="803"/>
      <c r="G131" s="525"/>
      <c r="H131" s="525"/>
      <c r="I131" s="525"/>
      <c r="J131" s="805"/>
      <c r="K131" s="525"/>
      <c r="P131" s="806"/>
      <c r="Q131" s="806"/>
    </row>
    <row r="132" spans="1:20" ht="42" thickBot="1" x14ac:dyDescent="0.35">
      <c r="C132" s="16" t="str">
        <f>'Tabla de resultados'!$A$90</f>
        <v>Valor indicación [InH2O]</v>
      </c>
      <c r="D132" s="16" t="str">
        <f>'Tabla de resultados'!$E$90</f>
        <v>Patrón Estándar  [InH2O]</v>
      </c>
      <c r="E132" s="16" t="s">
        <v>31</v>
      </c>
      <c r="F132" s="16" t="s">
        <v>32</v>
      </c>
      <c r="G132" s="14"/>
      <c r="H132" s="14"/>
      <c r="I132" s="22"/>
      <c r="J132" s="16" t="s">
        <v>44</v>
      </c>
      <c r="K132" s="16" t="s">
        <v>83</v>
      </c>
      <c r="P132" s="27"/>
      <c r="Q132" s="28"/>
    </row>
    <row r="133" spans="1:20" x14ac:dyDescent="0.3">
      <c r="A133">
        <v>21</v>
      </c>
      <c r="C133" s="798">
        <f>IF('TOMA DE DATOS'!$A$68='TOMA DE DATOS'!$Q$138,'TOMA DE DATOS'!$C$82,'TOMA DE DATOS'!C82+'Base Patrones Presion'!Q46)</f>
        <v>0.2</v>
      </c>
      <c r="D133" s="30">
        <f>'TOMA DE DATOS'!E82</f>
        <v>0.2021</v>
      </c>
      <c r="E133" s="799">
        <f>'Base Patrones Presion'!R46</f>
        <v>4.8991282232657446E-4</v>
      </c>
      <c r="F133" s="513">
        <f>IF('TOMA DE DATOS'!$O$20="Analógica",SQRT((1/3)*(POWER((2*'TOMA DE DATOS'!$I$22)/2,2))),SQRT((1/3)*(POWER((2*'TOMA DE DATOS'!$D$22)/2,2))))</f>
        <v>1.4433756729740645E-3</v>
      </c>
      <c r="G133" s="513">
        <f>$G$9</f>
        <v>6.3508529610858846E-4</v>
      </c>
      <c r="H133" s="513">
        <f>SQRT((1/3)*(POWER(S145/2,2)))</f>
        <v>0</v>
      </c>
      <c r="I133" s="513">
        <f>SQRT(1/3*POWER((S153)/2,2))</f>
        <v>1.3856406460551014E-3</v>
      </c>
      <c r="J133" s="802">
        <f>'Base Patrones Presion'!$M$63</f>
        <v>4.477276495498265E-15</v>
      </c>
      <c r="K133" s="802">
        <f>'Base Patrones Presion'!$N$93</f>
        <v>0</v>
      </c>
      <c r="P133" s="17"/>
      <c r="Q133" s="20">
        <f>ABS(D134-D133)</f>
        <v>4.7999999999999987E-3</v>
      </c>
    </row>
    <row r="134" spans="1:20" x14ac:dyDescent="0.3">
      <c r="C134" s="798"/>
      <c r="D134" s="30">
        <f>'TOMA DE DATOS'!G82</f>
        <v>0.1973</v>
      </c>
      <c r="E134" s="799"/>
      <c r="F134" s="513"/>
      <c r="G134" s="513"/>
      <c r="H134" s="513"/>
      <c r="I134" s="513"/>
      <c r="J134" s="802"/>
      <c r="K134" s="802"/>
      <c r="P134" s="18"/>
      <c r="Q134" s="20">
        <f>ABS(D136-D135)</f>
        <v>0</v>
      </c>
    </row>
    <row r="135" spans="1:20" ht="15" thickBot="1" x14ac:dyDescent="0.35">
      <c r="C135" s="798"/>
      <c r="D135" s="30">
        <f>'TOMA DE DATOS'!K82</f>
        <v>0</v>
      </c>
      <c r="E135" s="799"/>
      <c r="F135" s="513"/>
      <c r="G135" s="513"/>
      <c r="H135" s="513"/>
      <c r="I135" s="513"/>
      <c r="J135" s="802"/>
      <c r="K135" s="802"/>
      <c r="P135" s="19" t="s">
        <v>33</v>
      </c>
      <c r="Q135" s="21">
        <f>IF(OR('TOMA DE DATOS'!$O$23="C",'TOMA DE DATOS'!$O$23="B"), MAX(Q133),MAX(Q133:Q134))</f>
        <v>4.7999999999999987E-3</v>
      </c>
    </row>
    <row r="136" spans="1:20" ht="15" thickBot="1" x14ac:dyDescent="0.35">
      <c r="C136" s="798"/>
      <c r="D136" s="30">
        <f>'TOMA DE DATOS'!M82</f>
        <v>0</v>
      </c>
      <c r="E136" s="800"/>
      <c r="F136" s="801"/>
      <c r="G136" s="513"/>
      <c r="H136" s="513"/>
      <c r="I136" s="513"/>
      <c r="J136" s="802"/>
      <c r="K136" s="802"/>
    </row>
    <row r="137" spans="1:20" ht="15" thickBot="1" x14ac:dyDescent="0.35">
      <c r="B137" s="23" t="s">
        <v>11</v>
      </c>
      <c r="C137" s="1"/>
      <c r="D137" s="116">
        <f>IF('TOMA DE DATOS'!$O$23="C",AVERAGE(D133:D134),IF('TOMA DE DATOS'!O23="B",AVERAGE((D133+D134)/2,D135),AVERAGE(D133:D136)))</f>
        <v>0.19969999999999999</v>
      </c>
      <c r="E137" s="117" t="s">
        <v>267</v>
      </c>
      <c r="F137" s="325">
        <f>IF('TOMA DE DATOS'!$A$68='TOMA DE DATOS'!$Q$137,D137,D137+'Base Patrones Presion'!Q46)</f>
        <v>0.19961660320864152</v>
      </c>
    </row>
    <row r="138" spans="1:20" x14ac:dyDescent="0.3">
      <c r="B138" s="23" t="s">
        <v>13</v>
      </c>
      <c r="D138" s="30">
        <f>IF('TOMA DE DATOS'!$A$68='TOMA DE DATOS'!$Q$138,(C133-F137),F137-C133)</f>
        <v>3.8339679135848681E-4</v>
      </c>
    </row>
    <row r="139" spans="1:20" x14ac:dyDescent="0.3">
      <c r="B139" s="25" t="s">
        <v>48</v>
      </c>
      <c r="C139" s="793"/>
      <c r="D139" s="525"/>
      <c r="E139" s="23">
        <v>200</v>
      </c>
      <c r="F139" s="23">
        <v>200</v>
      </c>
      <c r="G139" s="23">
        <v>200</v>
      </c>
      <c r="H139" s="23">
        <f>COUNT('TOMA DE DATOS'!$E$78:$N$87)-1</f>
        <v>11</v>
      </c>
      <c r="I139" s="23">
        <v>200</v>
      </c>
      <c r="J139" s="23">
        <v>200</v>
      </c>
      <c r="K139" s="23">
        <v>200</v>
      </c>
      <c r="O139" t="s">
        <v>35</v>
      </c>
    </row>
    <row r="140" spans="1:20" ht="30" customHeight="1" x14ac:dyDescent="0.3">
      <c r="B140" s="25" t="s">
        <v>46</v>
      </c>
      <c r="C140" s="793"/>
      <c r="D140" s="791"/>
      <c r="E140" s="23">
        <v>-1</v>
      </c>
      <c r="F140" s="23">
        <v>1</v>
      </c>
      <c r="G140" s="23">
        <v>1</v>
      </c>
      <c r="H140" s="23">
        <v>1</v>
      </c>
      <c r="I140" s="23">
        <v>1</v>
      </c>
      <c r="J140" s="23">
        <v>1</v>
      </c>
      <c r="K140" s="23">
        <v>1</v>
      </c>
      <c r="O140" t="s">
        <v>36</v>
      </c>
    </row>
    <row r="141" spans="1:20" ht="43.2" x14ac:dyDescent="0.3">
      <c r="B141" s="25" t="s">
        <v>47</v>
      </c>
      <c r="C141" s="793"/>
      <c r="D141" s="791"/>
      <c r="E141" s="24">
        <f>POWER(E133*E140,2)</f>
        <v>2.400145734799897E-7</v>
      </c>
      <c r="F141" s="24">
        <f>POWER(F133*F140,2)</f>
        <v>2.0833333333333334E-6</v>
      </c>
      <c r="G141" s="24">
        <f t="shared" ref="G141:H141" si="6">POWER(G133*G140,2)</f>
        <v>4.0333333333333348E-7</v>
      </c>
      <c r="H141" s="24">
        <f t="shared" si="6"/>
        <v>0</v>
      </c>
      <c r="I141" s="24">
        <f>POWER(I133*I140,2)</f>
        <v>1.919999999999999E-6</v>
      </c>
      <c r="J141" s="24">
        <f>POWER(J133*J140,2)</f>
        <v>2.0046004817141226E-29</v>
      </c>
      <c r="K141" s="24">
        <f>POWER(K133*K140,2)</f>
        <v>0</v>
      </c>
      <c r="O141" s="26" t="s">
        <v>37</v>
      </c>
    </row>
    <row r="142" spans="1:20" x14ac:dyDescent="0.3">
      <c r="B142" s="418" t="s">
        <v>52</v>
      </c>
      <c r="C142" s="525"/>
      <c r="D142" s="525"/>
      <c r="E142" s="794">
        <f>SQRT(SUM(E141:K141))</f>
        <v>2.1556162089172216E-3</v>
      </c>
    </row>
    <row r="143" spans="1:20" x14ac:dyDescent="0.3">
      <c r="B143" s="418"/>
      <c r="C143" s="525"/>
      <c r="D143" s="525"/>
      <c r="E143" s="513"/>
    </row>
    <row r="144" spans="1:20" x14ac:dyDescent="0.3">
      <c r="B144" s="418"/>
      <c r="C144" s="525"/>
      <c r="D144" s="525"/>
      <c r="E144" s="513"/>
      <c r="S144" s="795" t="s">
        <v>95</v>
      </c>
      <c r="T144" s="795"/>
    </row>
    <row r="145" spans="1:20" x14ac:dyDescent="0.3">
      <c r="B145" s="418"/>
      <c r="C145" s="525"/>
      <c r="D145" s="525"/>
      <c r="E145" s="513"/>
      <c r="S145" s="432">
        <f>IF('TOMA DE DATOS'!$O$23="A",MAX(ABS(D135-D133),ABS(D136-D134)),IF('TOMA DE DATOS'!$O$23="B",ABS(D135-D133),0))</f>
        <v>0</v>
      </c>
      <c r="T145" s="432"/>
    </row>
    <row r="146" spans="1:20" x14ac:dyDescent="0.3">
      <c r="B146" s="418" t="s">
        <v>49</v>
      </c>
      <c r="C146" s="525"/>
      <c r="D146" s="525"/>
      <c r="E146" s="794">
        <f>POWER(E142,2)/((POWER(E141,2)/E139)+(POWER(F141,2)/F139)+(POWER(G141,2)/G139)+(POWER(H141,2)/H139)+(POWER(I141,2)/I139)+(POWER(J141,2)/J139)+(POWER(K141,2)/K139))</f>
        <v>112688307.03157769</v>
      </c>
    </row>
    <row r="147" spans="1:20" x14ac:dyDescent="0.3">
      <c r="B147" s="418"/>
      <c r="C147" s="525"/>
      <c r="D147" s="525"/>
      <c r="E147" s="513"/>
    </row>
    <row r="148" spans="1:20" x14ac:dyDescent="0.3">
      <c r="B148" s="418"/>
      <c r="C148" s="525"/>
      <c r="D148" s="525"/>
      <c r="E148" s="513"/>
      <c r="G148" s="10"/>
      <c r="H148" s="10"/>
      <c r="I148" s="10"/>
      <c r="O148" t="s">
        <v>38</v>
      </c>
    </row>
    <row r="149" spans="1:20" x14ac:dyDescent="0.3">
      <c r="B149" s="418"/>
      <c r="C149" s="525"/>
      <c r="D149" s="525"/>
      <c r="E149" s="513"/>
    </row>
    <row r="150" spans="1:20" x14ac:dyDescent="0.3">
      <c r="B150" s="2" t="s">
        <v>57</v>
      </c>
      <c r="C150" s="525"/>
      <c r="D150" s="791"/>
      <c r="E150" s="32">
        <f>TINV(0.05,E146)</f>
        <v>1.9599640056959349</v>
      </c>
    </row>
    <row r="151" spans="1:20" x14ac:dyDescent="0.3">
      <c r="B151" s="418" t="s">
        <v>53</v>
      </c>
      <c r="C151" s="525"/>
      <c r="D151" s="525"/>
      <c r="E151" s="792">
        <f>E142*E150</f>
        <v>4.2249301795724828E-3</v>
      </c>
      <c r="O151" t="s">
        <v>39</v>
      </c>
    </row>
    <row r="152" spans="1:20" x14ac:dyDescent="0.3">
      <c r="B152" s="418"/>
      <c r="C152" s="525"/>
      <c r="D152" s="525"/>
      <c r="E152" s="792"/>
    </row>
    <row r="153" spans="1:20" x14ac:dyDescent="0.3">
      <c r="B153" s="418"/>
      <c r="C153" s="525"/>
      <c r="D153" s="525"/>
      <c r="E153" s="792"/>
      <c r="O153" s="14" t="s">
        <v>56</v>
      </c>
      <c r="P153" s="14"/>
      <c r="R153" s="14" t="s">
        <v>55</v>
      </c>
      <c r="S153" s="33">
        <f>IF('TOMA DE DATOS'!$O$23="A",(ABS((D134-D133))+ABS((D136-D135)))/2,D134-D133)</f>
        <v>-4.7999999999999987E-3</v>
      </c>
    </row>
    <row r="154" spans="1:20" x14ac:dyDescent="0.3">
      <c r="O154" s="3" t="s">
        <v>9</v>
      </c>
      <c r="P154" s="3">
        <v>2</v>
      </c>
    </row>
    <row r="155" spans="1:20" x14ac:dyDescent="0.3">
      <c r="O155" s="3" t="s">
        <v>54</v>
      </c>
      <c r="P155" s="3">
        <v>1</v>
      </c>
    </row>
    <row r="156" spans="1:20" x14ac:dyDescent="0.3">
      <c r="O156" s="3" t="s">
        <v>0</v>
      </c>
      <c r="P156" s="3">
        <v>1</v>
      </c>
    </row>
    <row r="157" spans="1:20" x14ac:dyDescent="0.3">
      <c r="A157" s="34"/>
      <c r="B157" s="34"/>
      <c r="C157" s="34">
        <v>6</v>
      </c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</row>
    <row r="158" spans="1:20" x14ac:dyDescent="0.3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</row>
    <row r="159" spans="1:20" x14ac:dyDescent="0.3">
      <c r="D159" s="1"/>
      <c r="E159" s="1" t="s">
        <v>51</v>
      </c>
      <c r="F159" s="1" t="s">
        <v>51</v>
      </c>
      <c r="G159" s="1" t="s">
        <v>51</v>
      </c>
      <c r="H159" s="1" t="s">
        <v>50</v>
      </c>
      <c r="I159" s="1" t="s">
        <v>51</v>
      </c>
      <c r="J159" s="1" t="s">
        <v>51</v>
      </c>
      <c r="K159" s="1" t="s">
        <v>51</v>
      </c>
    </row>
    <row r="160" spans="1:20" ht="15" thickBot="1" x14ac:dyDescent="0.35">
      <c r="A160" s="4" t="s">
        <v>71</v>
      </c>
      <c r="D160" s="525"/>
      <c r="E160" s="525"/>
      <c r="F160" s="525"/>
      <c r="G160" s="525"/>
      <c r="H160" s="525"/>
      <c r="I160" s="525"/>
      <c r="J160" s="804" t="s">
        <v>45</v>
      </c>
      <c r="K160" s="525"/>
      <c r="O160" t="s">
        <v>34</v>
      </c>
      <c r="P160" s="525"/>
      <c r="Q160" s="525"/>
    </row>
    <row r="161" spans="1:20" x14ac:dyDescent="0.3">
      <c r="A161" s="796">
        <f>'TOMA DE DATOS'!C83</f>
        <v>0.25</v>
      </c>
      <c r="D161" s="525"/>
      <c r="E161" s="525"/>
      <c r="F161" s="525"/>
      <c r="G161" s="525"/>
      <c r="H161" s="525"/>
      <c r="I161" s="525"/>
      <c r="J161" s="804"/>
      <c r="K161" s="525"/>
      <c r="P161" s="525"/>
      <c r="Q161" s="525"/>
    </row>
    <row r="162" spans="1:20" ht="15" thickBot="1" x14ac:dyDescent="0.35">
      <c r="A162" s="797"/>
      <c r="D162" s="803"/>
      <c r="E162" s="803"/>
      <c r="F162" s="803"/>
      <c r="G162" s="525"/>
      <c r="H162" s="525"/>
      <c r="I162" s="525"/>
      <c r="J162" s="805"/>
      <c r="K162" s="525"/>
      <c r="P162" s="806"/>
      <c r="Q162" s="806"/>
    </row>
    <row r="163" spans="1:20" ht="42" thickBot="1" x14ac:dyDescent="0.35">
      <c r="C163" s="16" t="str">
        <f>'Tabla de resultados'!$A$90</f>
        <v>Valor indicación [InH2O]</v>
      </c>
      <c r="D163" s="16" t="str">
        <f>'Tabla de resultados'!$E$90</f>
        <v>Patrón Estándar  [InH2O]</v>
      </c>
      <c r="E163" s="16" t="s">
        <v>31</v>
      </c>
      <c r="F163" s="16" t="s">
        <v>32</v>
      </c>
      <c r="G163" s="14"/>
      <c r="H163" s="14"/>
      <c r="I163" s="22"/>
      <c r="J163" s="16" t="s">
        <v>44</v>
      </c>
      <c r="K163" s="16" t="s">
        <v>83</v>
      </c>
      <c r="P163" s="27"/>
      <c r="Q163" s="28"/>
    </row>
    <row r="164" spans="1:20" x14ac:dyDescent="0.3">
      <c r="A164">
        <v>22</v>
      </c>
      <c r="C164" s="798">
        <f>IF('TOMA DE DATOS'!$A$68='TOMA DE DATOS'!$Q$138,'TOMA DE DATOS'!$C$83,'TOMA DE DATOS'!C83+'Base Patrones Presion'!Q47)</f>
        <v>0.25</v>
      </c>
      <c r="D164" s="30">
        <f>'TOMA DE DATOS'!E83</f>
        <v>0.25130000000000002</v>
      </c>
      <c r="E164" s="799">
        <f>'Base Patrones Presion'!R47</f>
        <v>4.8990853765480485E-4</v>
      </c>
      <c r="F164" s="513">
        <f>IF('TOMA DE DATOS'!$O$20="Analógica",SQRT((1/3)*(POWER((2*'TOMA DE DATOS'!$I$22)/2,2))),SQRT((1/3)*(POWER((2*'TOMA DE DATOS'!$D$22)/2,2))))</f>
        <v>1.4433756729740645E-3</v>
      </c>
      <c r="G164" s="513">
        <f>$G$9</f>
        <v>6.3508529610858846E-4</v>
      </c>
      <c r="H164" s="513">
        <f>SQRT((1/3)*(POWER(S176/2,2)))</f>
        <v>0</v>
      </c>
      <c r="I164" s="513">
        <f>SQRT(1/3*POWER((S184)/2,2))</f>
        <v>2.309401076758569E-4</v>
      </c>
      <c r="J164" s="802">
        <f>'Base Patrones Presion'!$M$63</f>
        <v>4.477276495498265E-15</v>
      </c>
      <c r="K164" s="802">
        <f>'Base Patrones Presion'!$N$93</f>
        <v>0</v>
      </c>
      <c r="P164" s="17"/>
      <c r="Q164" s="20">
        <f>ABS(D165-D164)</f>
        <v>8.0000000000002292E-4</v>
      </c>
      <c r="T164" t="b">
        <f>IF('TOMA DE DATOS'!$A$68='TOMA DE DATOS'!$Q$137,D168)</f>
        <v>0</v>
      </c>
    </row>
    <row r="165" spans="1:20" x14ac:dyDescent="0.3">
      <c r="C165" s="798"/>
      <c r="D165" s="30">
        <f>'TOMA DE DATOS'!G83</f>
        <v>0.2505</v>
      </c>
      <c r="E165" s="799"/>
      <c r="F165" s="513"/>
      <c r="G165" s="513"/>
      <c r="H165" s="513"/>
      <c r="I165" s="513"/>
      <c r="J165" s="802"/>
      <c r="K165" s="802"/>
      <c r="P165" s="18"/>
      <c r="Q165" s="20">
        <f>ABS(D167-D166)</f>
        <v>0</v>
      </c>
      <c r="T165" t="b">
        <f>IF('TOMA DE DATOS'!F42='TOMA DE DATOS'!X25,D168+#REF!)</f>
        <v>0</v>
      </c>
    </row>
    <row r="166" spans="1:20" ht="15" thickBot="1" x14ac:dyDescent="0.35">
      <c r="C166" s="798"/>
      <c r="D166" s="30">
        <f>'TOMA DE DATOS'!K83</f>
        <v>0</v>
      </c>
      <c r="E166" s="799"/>
      <c r="F166" s="513"/>
      <c r="G166" s="513"/>
      <c r="H166" s="513"/>
      <c r="I166" s="513"/>
      <c r="J166" s="802"/>
      <c r="K166" s="802"/>
      <c r="P166" s="19" t="s">
        <v>33</v>
      </c>
      <c r="Q166" s="21">
        <f>IF(OR('TOMA DE DATOS'!$O$23="C",'TOMA DE DATOS'!$O$23="B"), MAX(Q164),MAX(Q164:Q165))</f>
        <v>8.0000000000002292E-4</v>
      </c>
      <c r="T166" t="b">
        <f>IF('TOMA DE DATOS'!F42='TOMA DE DATOS'!X27,D168+#REF!)</f>
        <v>0</v>
      </c>
    </row>
    <row r="167" spans="1:20" ht="15" thickBot="1" x14ac:dyDescent="0.35">
      <c r="C167" s="798"/>
      <c r="D167" s="30">
        <f>'TOMA DE DATOS'!M83</f>
        <v>0</v>
      </c>
      <c r="E167" s="800"/>
      <c r="F167" s="801"/>
      <c r="G167" s="513"/>
      <c r="H167" s="513"/>
      <c r="I167" s="513"/>
      <c r="J167" s="802"/>
      <c r="K167" s="802"/>
      <c r="T167" t="b">
        <f>IF('TOMA DE DATOS'!F42='TOMA DE DATOS'!X27,D168+#REF!)</f>
        <v>0</v>
      </c>
    </row>
    <row r="168" spans="1:20" ht="15" thickBot="1" x14ac:dyDescent="0.35">
      <c r="B168" s="23" t="s">
        <v>11</v>
      </c>
      <c r="C168" s="1"/>
      <c r="D168" s="116">
        <f>IF('TOMA DE DATOS'!$O$23="C",AVERAGE(D164:D165),IF('TOMA DE DATOS'!O23="B",AVERAGE((D164+D165)/2,D166),AVERAGE(D164:D167)))</f>
        <v>0.25090000000000001</v>
      </c>
      <c r="E168" s="117" t="s">
        <v>267</v>
      </c>
      <c r="F168" s="325">
        <f>IF('TOMA DE DATOS'!$A$68='TOMA DE DATOS'!$Q$137,D168,D168+'Base Patrones Presion'!Q47)</f>
        <v>0.25082149991936548</v>
      </c>
      <c r="T168" t="b">
        <f>IF('TOMA DE DATOS'!F42='TOMA DE DATOS'!X29,D168+#REF!)</f>
        <v>0</v>
      </c>
    </row>
    <row r="169" spans="1:20" x14ac:dyDescent="0.3">
      <c r="B169" s="23" t="s">
        <v>13</v>
      </c>
      <c r="D169" s="30">
        <f>IF('TOMA DE DATOS'!$A$68='TOMA DE DATOS'!$Q$138,(C164-F168),F168-C164)</f>
        <v>-8.2149991936547595E-4</v>
      </c>
      <c r="T169" t="str">
        <f>IF('TOMA DE DATOS'!F42='TOMA DE DATOS'!X28,D168+#REF!,"Elija Patron")</f>
        <v>Elija Patron</v>
      </c>
    </row>
    <row r="170" spans="1:20" x14ac:dyDescent="0.3">
      <c r="B170" s="25" t="s">
        <v>48</v>
      </c>
      <c r="C170" s="793"/>
      <c r="D170" s="525"/>
      <c r="E170" s="23">
        <v>200</v>
      </c>
      <c r="F170" s="23">
        <v>200</v>
      </c>
      <c r="G170" s="23">
        <v>200</v>
      </c>
      <c r="H170" s="23">
        <f>COUNT('TOMA DE DATOS'!$E$78:$N$87)-1</f>
        <v>11</v>
      </c>
      <c r="I170" s="23">
        <v>200</v>
      </c>
      <c r="J170" s="23">
        <v>200</v>
      </c>
      <c r="K170" s="23">
        <v>200</v>
      </c>
      <c r="O170" t="s">
        <v>35</v>
      </c>
    </row>
    <row r="171" spans="1:20" ht="30" customHeight="1" x14ac:dyDescent="0.3">
      <c r="B171" s="25" t="s">
        <v>46</v>
      </c>
      <c r="C171" s="793"/>
      <c r="D171" s="791"/>
      <c r="E171" s="23">
        <v>-1</v>
      </c>
      <c r="F171" s="23">
        <v>1</v>
      </c>
      <c r="G171" s="23">
        <v>1</v>
      </c>
      <c r="H171" s="23">
        <v>1</v>
      </c>
      <c r="I171" s="23">
        <v>1</v>
      </c>
      <c r="J171" s="23">
        <v>1</v>
      </c>
      <c r="K171" s="23">
        <v>1</v>
      </c>
      <c r="O171" t="s">
        <v>36</v>
      </c>
    </row>
    <row r="172" spans="1:20" ht="43.2" x14ac:dyDescent="0.3">
      <c r="B172" s="25" t="s">
        <v>47</v>
      </c>
      <c r="C172" s="793"/>
      <c r="D172" s="791"/>
      <c r="E172" s="24">
        <f>POWER(E164*E171,2)</f>
        <v>2.4001037526706936E-7</v>
      </c>
      <c r="F172" s="24">
        <f>POWER(F164*F171,2)</f>
        <v>2.0833333333333334E-6</v>
      </c>
      <c r="G172" s="24">
        <f t="shared" ref="G172:H172" si="7">POWER(G164*G171,2)</f>
        <v>4.0333333333333348E-7</v>
      </c>
      <c r="H172" s="24">
        <f t="shared" si="7"/>
        <v>0</v>
      </c>
      <c r="I172" s="24">
        <f>POWER(I164*I171,2)</f>
        <v>5.3333333333336378E-8</v>
      </c>
      <c r="J172" s="24">
        <f>POWER(J164*J171,2)</f>
        <v>2.0046004817141226E-29</v>
      </c>
      <c r="K172" s="24">
        <f>POWER(K164*K171,2)</f>
        <v>0</v>
      </c>
      <c r="O172" s="26" t="s">
        <v>37</v>
      </c>
    </row>
    <row r="173" spans="1:20" x14ac:dyDescent="0.3">
      <c r="B173" s="418" t="s">
        <v>52</v>
      </c>
      <c r="C173" s="525"/>
      <c r="D173" s="525"/>
      <c r="E173" s="794">
        <f>SQRT(SUM(E172:K172))</f>
        <v>1.6673363113862399E-3</v>
      </c>
    </row>
    <row r="174" spans="1:20" x14ac:dyDescent="0.3">
      <c r="B174" s="418"/>
      <c r="C174" s="525"/>
      <c r="D174" s="525"/>
      <c r="E174" s="513"/>
    </row>
    <row r="175" spans="1:20" x14ac:dyDescent="0.3">
      <c r="B175" s="418"/>
      <c r="C175" s="525"/>
      <c r="D175" s="525"/>
      <c r="E175" s="513"/>
      <c r="S175" s="795" t="s">
        <v>95</v>
      </c>
      <c r="T175" s="795"/>
    </row>
    <row r="176" spans="1:20" x14ac:dyDescent="0.3">
      <c r="B176" s="418"/>
      <c r="C176" s="525"/>
      <c r="D176" s="525"/>
      <c r="E176" s="513"/>
      <c r="S176" s="432">
        <f>IF('TOMA DE DATOS'!$O$23="A",MAX(ABS(D166-D164),ABS(D167-D165)),IF('TOMA DE DATOS'!$O$23="B",ABS(D166-D164),0))</f>
        <v>0</v>
      </c>
      <c r="T176" s="432"/>
    </row>
    <row r="177" spans="1:20" x14ac:dyDescent="0.3">
      <c r="B177" s="418" t="s">
        <v>49</v>
      </c>
      <c r="C177" s="525"/>
      <c r="D177" s="525"/>
      <c r="E177" s="794">
        <f>POWER(E173,2)/((POWER(E172,2)/E170)+(POWER(F172,2)/F170)+(POWER(G172,2)/G170)+(POWER(H172,2)/H170)+(POWER(I172,2)/I170)+(POWER(J172,2)/J170)+(POWER(K172,2)/K170))</f>
        <v>121839301.45614205</v>
      </c>
    </row>
    <row r="178" spans="1:20" x14ac:dyDescent="0.3">
      <c r="B178" s="418"/>
      <c r="C178" s="525"/>
      <c r="D178" s="525"/>
      <c r="E178" s="513"/>
    </row>
    <row r="179" spans="1:20" x14ac:dyDescent="0.3">
      <c r="B179" s="418"/>
      <c r="C179" s="525"/>
      <c r="D179" s="525"/>
      <c r="E179" s="513"/>
      <c r="G179" s="10"/>
      <c r="H179" s="10"/>
      <c r="I179" s="10"/>
      <c r="O179" t="s">
        <v>38</v>
      </c>
    </row>
    <row r="180" spans="1:20" x14ac:dyDescent="0.3">
      <c r="B180" s="418"/>
      <c r="C180" s="525"/>
      <c r="D180" s="525"/>
      <c r="E180" s="513"/>
    </row>
    <row r="181" spans="1:20" x14ac:dyDescent="0.3">
      <c r="B181" s="2" t="s">
        <v>57</v>
      </c>
      <c r="C181" s="525"/>
      <c r="D181" s="791"/>
      <c r="E181" s="32">
        <f>TINV(0.05,E177)</f>
        <v>1.9599640011825612</v>
      </c>
    </row>
    <row r="182" spans="1:20" x14ac:dyDescent="0.3">
      <c r="B182" s="418" t="s">
        <v>53</v>
      </c>
      <c r="C182" s="525"/>
      <c r="D182" s="525"/>
      <c r="E182" s="792">
        <f>E173*E181</f>
        <v>3.2679191481815475E-3</v>
      </c>
      <c r="O182" t="s">
        <v>39</v>
      </c>
    </row>
    <row r="183" spans="1:20" x14ac:dyDescent="0.3">
      <c r="B183" s="418"/>
      <c r="C183" s="525"/>
      <c r="D183" s="525"/>
      <c r="E183" s="792"/>
    </row>
    <row r="184" spans="1:20" x14ac:dyDescent="0.3">
      <c r="B184" s="418"/>
      <c r="C184" s="525"/>
      <c r="D184" s="525"/>
      <c r="E184" s="792"/>
      <c r="O184" s="14" t="s">
        <v>56</v>
      </c>
      <c r="P184" s="14"/>
      <c r="R184" s="14" t="s">
        <v>55</v>
      </c>
      <c r="S184" s="33">
        <f>IF('TOMA DE DATOS'!$O$23="A",(ABS((D165-D164))+ABS((D167-D166)))/2,D165-D164)</f>
        <v>-8.0000000000002292E-4</v>
      </c>
    </row>
    <row r="185" spans="1:20" x14ac:dyDescent="0.3">
      <c r="O185" s="3" t="s">
        <v>9</v>
      </c>
      <c r="P185" s="3">
        <v>2</v>
      </c>
    </row>
    <row r="186" spans="1:20" x14ac:dyDescent="0.3">
      <c r="O186" s="3" t="s">
        <v>54</v>
      </c>
      <c r="P186" s="3">
        <v>1</v>
      </c>
    </row>
    <row r="187" spans="1:20" x14ac:dyDescent="0.3">
      <c r="O187" s="3" t="s">
        <v>0</v>
      </c>
      <c r="P187" s="3">
        <v>1</v>
      </c>
    </row>
    <row r="188" spans="1:20" x14ac:dyDescent="0.3">
      <c r="A188" s="34"/>
      <c r="B188" s="34"/>
      <c r="C188" s="34">
        <v>7</v>
      </c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</row>
    <row r="189" spans="1:20" x14ac:dyDescent="0.3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</row>
    <row r="190" spans="1:20" x14ac:dyDescent="0.3">
      <c r="D190" s="1"/>
      <c r="E190" s="1" t="s">
        <v>51</v>
      </c>
      <c r="F190" s="1" t="s">
        <v>51</v>
      </c>
      <c r="G190" s="1" t="s">
        <v>51</v>
      </c>
      <c r="H190" s="1" t="s">
        <v>50</v>
      </c>
      <c r="I190" s="1" t="s">
        <v>51</v>
      </c>
      <c r="J190" s="1" t="s">
        <v>51</v>
      </c>
      <c r="K190" s="1" t="s">
        <v>51</v>
      </c>
    </row>
    <row r="191" spans="1:20" ht="15" thickBot="1" x14ac:dyDescent="0.35">
      <c r="A191" s="4" t="s">
        <v>73</v>
      </c>
      <c r="D191" s="525"/>
      <c r="E191" s="525"/>
      <c r="F191" s="525"/>
      <c r="G191" s="525"/>
      <c r="H191" s="525"/>
      <c r="I191" s="525"/>
      <c r="J191" s="804" t="s">
        <v>45</v>
      </c>
      <c r="K191" s="525"/>
      <c r="O191" t="s">
        <v>34</v>
      </c>
      <c r="P191" s="525"/>
      <c r="Q191" s="525"/>
    </row>
    <row r="192" spans="1:20" x14ac:dyDescent="0.3">
      <c r="A192" s="796">
        <f>'TOMA DE DATOS'!C84</f>
        <v>0</v>
      </c>
      <c r="D192" s="525"/>
      <c r="E192" s="525"/>
      <c r="F192" s="525"/>
      <c r="G192" s="525"/>
      <c r="H192" s="525"/>
      <c r="I192" s="525"/>
      <c r="J192" s="804"/>
      <c r="K192" s="525"/>
      <c r="P192" s="525"/>
      <c r="Q192" s="525"/>
    </row>
    <row r="193" spans="1:20" ht="15" thickBot="1" x14ac:dyDescent="0.35">
      <c r="A193" s="797"/>
      <c r="D193" s="803"/>
      <c r="E193" s="803"/>
      <c r="F193" s="803"/>
      <c r="G193" s="525"/>
      <c r="H193" s="525"/>
      <c r="I193" s="525"/>
      <c r="J193" s="805"/>
      <c r="K193" s="525"/>
      <c r="P193" s="806"/>
      <c r="Q193" s="806"/>
    </row>
    <row r="194" spans="1:20" ht="42" thickBot="1" x14ac:dyDescent="0.35">
      <c r="C194" s="16" t="str">
        <f>'Tabla de resultados'!$A$90</f>
        <v>Valor indicación [InH2O]</v>
      </c>
      <c r="D194" s="16" t="str">
        <f>'Tabla de resultados'!$E$90</f>
        <v>Patrón Estándar  [InH2O]</v>
      </c>
      <c r="E194" s="16" t="s">
        <v>31</v>
      </c>
      <c r="F194" s="16" t="s">
        <v>32</v>
      </c>
      <c r="G194" s="14"/>
      <c r="H194" s="14"/>
      <c r="I194" s="22"/>
      <c r="J194" s="16" t="s">
        <v>44</v>
      </c>
      <c r="K194" s="16" t="s">
        <v>83</v>
      </c>
      <c r="P194" s="27"/>
      <c r="Q194" s="28"/>
    </row>
    <row r="195" spans="1:20" x14ac:dyDescent="0.3">
      <c r="A195">
        <v>23</v>
      </c>
      <c r="C195" s="798">
        <f>IF('TOMA DE DATOS'!$A$68='TOMA DE DATOS'!$Q$138,'TOMA DE DATOS'!$C$84,'TOMA DE DATOS'!C84+'Base Patrones Presion'!Q48)</f>
        <v>0</v>
      </c>
      <c r="D195" s="30">
        <f>'TOMA DE DATOS'!E84</f>
        <v>0</v>
      </c>
      <c r="E195" s="799">
        <f>'Base Patrones Presion'!R48</f>
        <v>4.9000012378348215E-4</v>
      </c>
      <c r="F195" s="513">
        <f>IF('TOMA DE DATOS'!$O$20="Analógica",SQRT((1/3)*(POWER((2*'TOMA DE DATOS'!$I$22)/2,2))),SQRT((1/3)*(POWER((2*'TOMA DE DATOS'!$D$22)/2,2))))</f>
        <v>1.4433756729740645E-3</v>
      </c>
      <c r="G195" s="513">
        <f>$G$9</f>
        <v>6.3508529610858846E-4</v>
      </c>
      <c r="H195" s="513">
        <f>SQRT((1/3)*(POWER(S207/2,2)))</f>
        <v>0</v>
      </c>
      <c r="I195" s="513">
        <f>SQRT(1/3*POWER((S215)/2,2))</f>
        <v>0</v>
      </c>
      <c r="J195" s="802">
        <f>'Base Patrones Presion'!$M$63</f>
        <v>4.477276495498265E-15</v>
      </c>
      <c r="K195" s="802">
        <f>'Base Patrones Presion'!$N$93</f>
        <v>0</v>
      </c>
      <c r="P195" s="17"/>
      <c r="Q195" s="20">
        <f>ABS(D196-D195)</f>
        <v>0</v>
      </c>
    </row>
    <row r="196" spans="1:20" x14ac:dyDescent="0.3">
      <c r="C196" s="798"/>
      <c r="D196" s="30">
        <f>'TOMA DE DATOS'!G84</f>
        <v>0</v>
      </c>
      <c r="E196" s="799"/>
      <c r="F196" s="513"/>
      <c r="G196" s="513"/>
      <c r="H196" s="513"/>
      <c r="I196" s="513"/>
      <c r="J196" s="802"/>
      <c r="K196" s="802"/>
      <c r="P196" s="18"/>
      <c r="Q196" s="20">
        <f>ABS(D198-D197)</f>
        <v>0</v>
      </c>
    </row>
    <row r="197" spans="1:20" ht="15" thickBot="1" x14ac:dyDescent="0.35">
      <c r="C197" s="798"/>
      <c r="D197" s="30">
        <f>'TOMA DE DATOS'!K84</f>
        <v>0</v>
      </c>
      <c r="E197" s="799"/>
      <c r="F197" s="513"/>
      <c r="G197" s="513"/>
      <c r="H197" s="513"/>
      <c r="I197" s="513"/>
      <c r="J197" s="802"/>
      <c r="K197" s="802"/>
      <c r="P197" s="19" t="s">
        <v>33</v>
      </c>
      <c r="Q197" s="21">
        <f>IF(OR('TOMA DE DATOS'!$O$23="C",'TOMA DE DATOS'!$O$23="B"), MAX(Q195),MAX(Q195:Q196))</f>
        <v>0</v>
      </c>
    </row>
    <row r="198" spans="1:20" ht="15" thickBot="1" x14ac:dyDescent="0.35">
      <c r="C198" s="798"/>
      <c r="D198" s="30">
        <f>'TOMA DE DATOS'!M84</f>
        <v>0</v>
      </c>
      <c r="E198" s="800"/>
      <c r="F198" s="801"/>
      <c r="G198" s="513"/>
      <c r="H198" s="513"/>
      <c r="I198" s="513"/>
      <c r="J198" s="802"/>
      <c r="K198" s="802"/>
    </row>
    <row r="199" spans="1:20" ht="15" thickBot="1" x14ac:dyDescent="0.35">
      <c r="B199" s="23" t="s">
        <v>11</v>
      </c>
      <c r="C199" s="1"/>
      <c r="D199" s="116">
        <f>IF('TOMA DE DATOS'!$O$23="C",AVERAGE(D195:D196),IF('TOMA DE DATOS'!O23="B",AVERAGE((D195+D196)/2,D197),AVERAGE(D195:D198)))</f>
        <v>0</v>
      </c>
      <c r="E199" s="117" t="s">
        <v>267</v>
      </c>
      <c r="F199" s="325">
        <f>IF('TOMA DE DATOS'!$A$68='TOMA DE DATOS'!$Q$137,D199,D199+'Base Patrones Presion'!Q48)</f>
        <v>-1.1002844937034952E-4</v>
      </c>
    </row>
    <row r="200" spans="1:20" x14ac:dyDescent="0.3">
      <c r="B200" s="23" t="s">
        <v>13</v>
      </c>
      <c r="D200" s="30">
        <f>IF('TOMA DE DATOS'!$A$68='TOMA DE DATOS'!$Q$138,(C195-F199),F199-C195)</f>
        <v>1.1002844937034952E-4</v>
      </c>
    </row>
    <row r="201" spans="1:20" x14ac:dyDescent="0.3">
      <c r="B201" s="25" t="s">
        <v>48</v>
      </c>
      <c r="C201" s="793"/>
      <c r="D201" s="525"/>
      <c r="E201" s="23">
        <v>200</v>
      </c>
      <c r="F201" s="23">
        <v>200</v>
      </c>
      <c r="G201" s="23">
        <v>200</v>
      </c>
      <c r="H201" s="23">
        <f>COUNT('TOMA DE DATOS'!$E$78:$N$87)-1</f>
        <v>11</v>
      </c>
      <c r="I201" s="23">
        <v>200</v>
      </c>
      <c r="J201" s="23">
        <v>200</v>
      </c>
      <c r="K201" s="23">
        <v>200</v>
      </c>
      <c r="O201" t="s">
        <v>35</v>
      </c>
    </row>
    <row r="202" spans="1:20" ht="30" customHeight="1" x14ac:dyDescent="0.3">
      <c r="B202" s="25" t="s">
        <v>46</v>
      </c>
      <c r="C202" s="793"/>
      <c r="D202" s="791"/>
      <c r="E202" s="23">
        <v>-1</v>
      </c>
      <c r="F202" s="23">
        <v>1</v>
      </c>
      <c r="G202" s="23">
        <v>1</v>
      </c>
      <c r="H202" s="23">
        <v>1</v>
      </c>
      <c r="I202" s="23">
        <v>1</v>
      </c>
      <c r="J202" s="23">
        <v>1</v>
      </c>
      <c r="K202" s="23">
        <v>1</v>
      </c>
      <c r="O202" t="s">
        <v>36</v>
      </c>
    </row>
    <row r="203" spans="1:20" ht="43.2" x14ac:dyDescent="0.3">
      <c r="B203" s="25" t="s">
        <v>47</v>
      </c>
      <c r="C203" s="793"/>
      <c r="D203" s="791"/>
      <c r="E203" s="24">
        <f>POWER(E195*E202,2)</f>
        <v>2.4010012130782782E-7</v>
      </c>
      <c r="F203" s="24">
        <f>POWER(F195*F202,2)</f>
        <v>2.0833333333333334E-6</v>
      </c>
      <c r="G203" s="24">
        <f t="shared" ref="G203:H203" si="8">POWER(G195*G202,2)</f>
        <v>4.0333333333333348E-7</v>
      </c>
      <c r="H203" s="24">
        <f t="shared" si="8"/>
        <v>0</v>
      </c>
      <c r="I203" s="24">
        <f>POWER(I195*I202,2)</f>
        <v>0</v>
      </c>
      <c r="J203" s="24">
        <f>POWER(J195*J202,2)</f>
        <v>2.0046004817141226E-29</v>
      </c>
      <c r="K203" s="24">
        <f>POWER(K195*K202,2)</f>
        <v>0</v>
      </c>
      <c r="O203" s="26" t="s">
        <v>37</v>
      </c>
    </row>
    <row r="204" spans="1:20" x14ac:dyDescent="0.3">
      <c r="B204" s="418" t="s">
        <v>52</v>
      </c>
      <c r="C204" s="525"/>
      <c r="D204" s="525"/>
      <c r="E204" s="794">
        <f>SQRT(SUM(E203:K203))</f>
        <v>1.6512924598551567E-3</v>
      </c>
    </row>
    <row r="205" spans="1:20" x14ac:dyDescent="0.3">
      <c r="B205" s="418"/>
      <c r="C205" s="525"/>
      <c r="D205" s="525"/>
      <c r="E205" s="513"/>
    </row>
    <row r="206" spans="1:20" x14ac:dyDescent="0.3">
      <c r="B206" s="418"/>
      <c r="C206" s="525"/>
      <c r="D206" s="525"/>
      <c r="E206" s="513"/>
      <c r="S206" s="795" t="s">
        <v>95</v>
      </c>
      <c r="T206" s="795"/>
    </row>
    <row r="207" spans="1:20" x14ac:dyDescent="0.3">
      <c r="B207" s="418"/>
      <c r="C207" s="525"/>
      <c r="D207" s="525"/>
      <c r="E207" s="513"/>
      <c r="S207" s="432">
        <f>IF('TOMA DE DATOS'!$O$23="A",MAX(ABS(D197-D195),ABS(D198-D196)),IF('TOMA DE DATOS'!$O$23="B",ABS(D197-D195),0))</f>
        <v>0</v>
      </c>
      <c r="T207" s="432"/>
    </row>
    <row r="208" spans="1:20" x14ac:dyDescent="0.3">
      <c r="B208" s="418" t="s">
        <v>49</v>
      </c>
      <c r="C208" s="525"/>
      <c r="D208" s="525"/>
      <c r="E208" s="794">
        <f>POWER(E204,2)/((POWER(E203,2)/E201)+(POWER(F203,2)/F201)+(POWER(G203,2)/G201)+(POWER(H203,2)/H201)+(POWER(I203,2)/I201)+(POWER(J203,2)/J201)+(POWER(K203,2)/K201))</f>
        <v>119579205.42535339</v>
      </c>
    </row>
    <row r="209" spans="1:20" x14ac:dyDescent="0.3">
      <c r="B209" s="418"/>
      <c r="C209" s="525"/>
      <c r="D209" s="525"/>
      <c r="E209" s="513"/>
    </row>
    <row r="210" spans="1:20" x14ac:dyDescent="0.3">
      <c r="B210" s="418"/>
      <c r="C210" s="525"/>
      <c r="D210" s="525"/>
      <c r="E210" s="513"/>
      <c r="G210" s="10"/>
      <c r="H210" s="10"/>
      <c r="I210" s="10"/>
      <c r="O210" t="s">
        <v>38</v>
      </c>
    </row>
    <row r="211" spans="1:20" x14ac:dyDescent="0.3">
      <c r="B211" s="418"/>
      <c r="C211" s="525"/>
      <c r="D211" s="525"/>
      <c r="E211" s="513"/>
    </row>
    <row r="212" spans="1:20" x14ac:dyDescent="0.3">
      <c r="B212" s="2" t="s">
        <v>57</v>
      </c>
      <c r="C212" s="525"/>
      <c r="D212" s="791"/>
      <c r="E212" s="32">
        <f>TINV(0.05,E208)</f>
        <v>1.9599640080326453</v>
      </c>
    </row>
    <row r="213" spans="1:20" x14ac:dyDescent="0.3">
      <c r="B213" s="418" t="s">
        <v>53</v>
      </c>
      <c r="C213" s="525"/>
      <c r="D213" s="525"/>
      <c r="E213" s="792">
        <f>E204*E212</f>
        <v>3.2364737880517989E-3</v>
      </c>
      <c r="O213" t="s">
        <v>39</v>
      </c>
    </row>
    <row r="214" spans="1:20" x14ac:dyDescent="0.3">
      <c r="B214" s="418"/>
      <c r="C214" s="525"/>
      <c r="D214" s="525"/>
      <c r="E214" s="792"/>
    </row>
    <row r="215" spans="1:20" x14ac:dyDescent="0.3">
      <c r="B215" s="418"/>
      <c r="C215" s="525"/>
      <c r="D215" s="525"/>
      <c r="E215" s="792"/>
      <c r="O215" s="14" t="s">
        <v>56</v>
      </c>
      <c r="P215" s="14"/>
      <c r="R215" s="14" t="s">
        <v>55</v>
      </c>
      <c r="S215" s="33">
        <f>IF('TOMA DE DATOS'!$O$23="A",(ABS((D196-D195))+ABS((D198-D197)))/2,D196-D195)</f>
        <v>0</v>
      </c>
    </row>
    <row r="216" spans="1:20" x14ac:dyDescent="0.3">
      <c r="O216" s="3" t="s">
        <v>9</v>
      </c>
      <c r="P216" s="3">
        <v>2</v>
      </c>
    </row>
    <row r="217" spans="1:20" x14ac:dyDescent="0.3">
      <c r="O217" s="3" t="s">
        <v>54</v>
      </c>
      <c r="P217" s="3">
        <v>1</v>
      </c>
    </row>
    <row r="218" spans="1:20" x14ac:dyDescent="0.3">
      <c r="O218" s="3" t="s">
        <v>0</v>
      </c>
      <c r="P218" s="3">
        <v>1</v>
      </c>
    </row>
    <row r="219" spans="1:20" x14ac:dyDescent="0.3">
      <c r="A219" s="34"/>
      <c r="B219" s="34"/>
      <c r="C219" s="34">
        <v>8</v>
      </c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</row>
    <row r="220" spans="1:20" x14ac:dyDescent="0.3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</row>
    <row r="221" spans="1:20" x14ac:dyDescent="0.3">
      <c r="D221" s="1"/>
      <c r="E221" s="1" t="s">
        <v>51</v>
      </c>
      <c r="F221" s="1" t="s">
        <v>51</v>
      </c>
      <c r="G221" s="1" t="s">
        <v>51</v>
      </c>
      <c r="H221" s="1" t="s">
        <v>50</v>
      </c>
      <c r="I221" s="1" t="s">
        <v>51</v>
      </c>
      <c r="J221" s="1" t="s">
        <v>51</v>
      </c>
      <c r="K221" s="1" t="s">
        <v>51</v>
      </c>
    </row>
    <row r="222" spans="1:20" ht="15" thickBot="1" x14ac:dyDescent="0.35">
      <c r="A222" s="4" t="s">
        <v>74</v>
      </c>
      <c r="D222" s="525"/>
      <c r="E222" s="525"/>
      <c r="F222" s="525"/>
      <c r="G222" s="525"/>
      <c r="H222" s="525"/>
      <c r="I222" s="525"/>
      <c r="J222" s="804" t="s">
        <v>45</v>
      </c>
      <c r="K222" s="525"/>
      <c r="O222" t="s">
        <v>34</v>
      </c>
      <c r="P222" s="525"/>
      <c r="Q222" s="525"/>
    </row>
    <row r="223" spans="1:20" x14ac:dyDescent="0.3">
      <c r="A223" s="796">
        <f>'TOMA DE DATOS'!C85</f>
        <v>0</v>
      </c>
      <c r="D223" s="525"/>
      <c r="E223" s="525"/>
      <c r="F223" s="525"/>
      <c r="G223" s="525"/>
      <c r="H223" s="525"/>
      <c r="I223" s="525"/>
      <c r="J223" s="804"/>
      <c r="K223" s="525"/>
      <c r="P223" s="525"/>
      <c r="Q223" s="525"/>
    </row>
    <row r="224" spans="1:20" ht="15" thickBot="1" x14ac:dyDescent="0.35">
      <c r="A224" s="797"/>
      <c r="D224" s="803"/>
      <c r="E224" s="803"/>
      <c r="F224" s="803"/>
      <c r="G224" s="525"/>
      <c r="H224" s="525"/>
      <c r="I224" s="525"/>
      <c r="J224" s="805"/>
      <c r="K224" s="525"/>
      <c r="P224" s="806"/>
      <c r="Q224" s="806"/>
    </row>
    <row r="225" spans="1:20" ht="42" thickBot="1" x14ac:dyDescent="0.35">
      <c r="C225" s="16" t="str">
        <f>'Tabla de resultados'!$A$90</f>
        <v>Valor indicación [InH2O]</v>
      </c>
      <c r="D225" s="16" t="str">
        <f>'Tabla de resultados'!$E$90</f>
        <v>Patrón Estándar  [InH2O]</v>
      </c>
      <c r="E225" s="16" t="s">
        <v>31</v>
      </c>
      <c r="F225" s="16" t="s">
        <v>32</v>
      </c>
      <c r="G225" s="14"/>
      <c r="H225" s="14"/>
      <c r="I225" s="22"/>
      <c r="J225" s="16" t="s">
        <v>44</v>
      </c>
      <c r="K225" s="16" t="s">
        <v>83</v>
      </c>
      <c r="P225" s="27"/>
      <c r="Q225" s="28"/>
    </row>
    <row r="226" spans="1:20" x14ac:dyDescent="0.3">
      <c r="A226">
        <v>24</v>
      </c>
      <c r="C226" s="798">
        <f>IF('TOMA DE DATOS'!$A$68='TOMA DE DATOS'!$Q$138,'TOMA DE DATOS'!$C$85,'TOMA DE DATOS'!C85+'Base Patrones Presion'!Q49)</f>
        <v>0</v>
      </c>
      <c r="D226" s="30">
        <f>'TOMA DE DATOS'!E85</f>
        <v>0</v>
      </c>
      <c r="E226" s="799">
        <f>'Base Patrones Presion'!R49</f>
        <v>4.9000012378348215E-4</v>
      </c>
      <c r="F226" s="513">
        <f>IF('TOMA DE DATOS'!$O$20="Analógica",SQRT((1/3)*(POWER((2*'TOMA DE DATOS'!$I$22)/2,2))),SQRT((1/3)*(POWER((2*'TOMA DE DATOS'!$D$22)/2,2))))</f>
        <v>1.4433756729740645E-3</v>
      </c>
      <c r="G226" s="513">
        <f>$G$9</f>
        <v>6.3508529610858846E-4</v>
      </c>
      <c r="H226" s="513">
        <f>SQRT((1/3)*(POWER(S238/2,2)))</f>
        <v>0</v>
      </c>
      <c r="I226" s="513">
        <f>SQRT(1/3*POWER((S246)/2,2))</f>
        <v>0</v>
      </c>
      <c r="J226" s="802">
        <f>'Base Patrones Presion'!$M$63</f>
        <v>4.477276495498265E-15</v>
      </c>
      <c r="K226" s="802">
        <f>'Base Patrones Presion'!$N$93</f>
        <v>0</v>
      </c>
      <c r="P226" s="17"/>
      <c r="Q226" s="20">
        <f>ABS(D227-D226)</f>
        <v>0</v>
      </c>
    </row>
    <row r="227" spans="1:20" x14ac:dyDescent="0.3">
      <c r="C227" s="798"/>
      <c r="D227" s="30">
        <f>'TOMA DE DATOS'!G85</f>
        <v>0</v>
      </c>
      <c r="E227" s="799"/>
      <c r="F227" s="513"/>
      <c r="G227" s="513"/>
      <c r="H227" s="513"/>
      <c r="I227" s="513"/>
      <c r="J227" s="802"/>
      <c r="K227" s="802"/>
      <c r="P227" s="18"/>
      <c r="Q227" s="20">
        <f>ABS(D229-D228)</f>
        <v>0</v>
      </c>
    </row>
    <row r="228" spans="1:20" ht="15" thickBot="1" x14ac:dyDescent="0.35">
      <c r="C228" s="798"/>
      <c r="D228" s="30">
        <f>'TOMA DE DATOS'!K85</f>
        <v>0</v>
      </c>
      <c r="E228" s="799"/>
      <c r="F228" s="513"/>
      <c r="G228" s="513"/>
      <c r="H228" s="513"/>
      <c r="I228" s="513"/>
      <c r="J228" s="802"/>
      <c r="K228" s="802"/>
      <c r="P228" s="19" t="s">
        <v>33</v>
      </c>
      <c r="Q228" s="21">
        <f>IF(OR('TOMA DE DATOS'!$O$23="C",'TOMA DE DATOS'!$O$23="B"), MAX(Q226),MAX(Q226:Q227))</f>
        <v>0</v>
      </c>
    </row>
    <row r="229" spans="1:20" ht="15" thickBot="1" x14ac:dyDescent="0.35">
      <c r="C229" s="798"/>
      <c r="D229" s="30">
        <f>'TOMA DE DATOS'!M85</f>
        <v>0</v>
      </c>
      <c r="E229" s="800"/>
      <c r="F229" s="801"/>
      <c r="G229" s="513"/>
      <c r="H229" s="513"/>
      <c r="I229" s="513"/>
      <c r="J229" s="802"/>
      <c r="K229" s="802"/>
    </row>
    <row r="230" spans="1:20" ht="15" thickBot="1" x14ac:dyDescent="0.35">
      <c r="B230" s="23" t="s">
        <v>11</v>
      </c>
      <c r="C230" s="1"/>
      <c r="D230" s="116">
        <f>IF('TOMA DE DATOS'!$O$23="C",AVERAGE(D226:D227),IF('TOMA DE DATOS'!O23="B",AVERAGE((D226+D227)/2,D228),AVERAGE(D226:D229)))</f>
        <v>0</v>
      </c>
      <c r="E230" s="117" t="s">
        <v>267</v>
      </c>
      <c r="F230" s="325">
        <f>IF('TOMA DE DATOS'!$A$68='TOMA DE DATOS'!$Q$137,D230,D230+'Base Patrones Presion'!Q49)</f>
        <v>-1.1002844937034952E-4</v>
      </c>
    </row>
    <row r="231" spans="1:20" x14ac:dyDescent="0.3">
      <c r="B231" s="23" t="s">
        <v>13</v>
      </c>
      <c r="D231" s="30">
        <f>IF('TOMA DE DATOS'!$A$68='TOMA DE DATOS'!$Q$138,(C226-F230),F230-C226)</f>
        <v>1.1002844937034952E-4</v>
      </c>
    </row>
    <row r="232" spans="1:20" x14ac:dyDescent="0.3">
      <c r="B232" s="25" t="s">
        <v>48</v>
      </c>
      <c r="C232" s="793"/>
      <c r="D232" s="525"/>
      <c r="E232" s="23">
        <v>200</v>
      </c>
      <c r="F232" s="23">
        <v>200</v>
      </c>
      <c r="G232" s="23">
        <v>200</v>
      </c>
      <c r="H232" s="23">
        <f>COUNT('TOMA DE DATOS'!$E$78:$N$87)-1</f>
        <v>11</v>
      </c>
      <c r="I232" s="23">
        <v>200</v>
      </c>
      <c r="J232" s="23">
        <v>200</v>
      </c>
      <c r="K232" s="23">
        <v>200</v>
      </c>
      <c r="O232" t="s">
        <v>35</v>
      </c>
    </row>
    <row r="233" spans="1:20" ht="30" customHeight="1" x14ac:dyDescent="0.3">
      <c r="B233" s="25" t="s">
        <v>46</v>
      </c>
      <c r="C233" s="793"/>
      <c r="D233" s="791"/>
      <c r="E233" s="23">
        <v>-1</v>
      </c>
      <c r="F233" s="23">
        <v>1</v>
      </c>
      <c r="G233" s="23">
        <v>1</v>
      </c>
      <c r="H233" s="23">
        <v>1</v>
      </c>
      <c r="I233" s="23">
        <v>1</v>
      </c>
      <c r="J233" s="23">
        <v>1</v>
      </c>
      <c r="K233" s="23">
        <v>1</v>
      </c>
      <c r="O233" t="s">
        <v>36</v>
      </c>
    </row>
    <row r="234" spans="1:20" ht="43.2" x14ac:dyDescent="0.3">
      <c r="B234" s="25" t="s">
        <v>47</v>
      </c>
      <c r="C234" s="793"/>
      <c r="D234" s="791"/>
      <c r="E234" s="24">
        <f>POWER(E226*E233,2)</f>
        <v>2.4010012130782782E-7</v>
      </c>
      <c r="F234" s="24">
        <f>POWER(F226*F233,2)</f>
        <v>2.0833333333333334E-6</v>
      </c>
      <c r="G234" s="24">
        <f t="shared" ref="G234:H234" si="9">POWER(G226*G233,2)</f>
        <v>4.0333333333333348E-7</v>
      </c>
      <c r="H234" s="24">
        <f t="shared" si="9"/>
        <v>0</v>
      </c>
      <c r="I234" s="24">
        <f>POWER(I226*I233,2)</f>
        <v>0</v>
      </c>
      <c r="J234" s="24">
        <f>POWER(J226*J233,2)</f>
        <v>2.0046004817141226E-29</v>
      </c>
      <c r="K234" s="24">
        <f>POWER(K226*K233,2)</f>
        <v>0</v>
      </c>
      <c r="O234" s="26" t="s">
        <v>37</v>
      </c>
    </row>
    <row r="235" spans="1:20" x14ac:dyDescent="0.3">
      <c r="B235" s="418" t="s">
        <v>52</v>
      </c>
      <c r="C235" s="525"/>
      <c r="D235" s="525"/>
      <c r="E235" s="794">
        <f>SQRT(SUM(E234:K234))</f>
        <v>1.6512924598551567E-3</v>
      </c>
    </row>
    <row r="236" spans="1:20" x14ac:dyDescent="0.3">
      <c r="B236" s="418"/>
      <c r="C236" s="525"/>
      <c r="D236" s="525"/>
      <c r="E236" s="513"/>
    </row>
    <row r="237" spans="1:20" x14ac:dyDescent="0.3">
      <c r="B237" s="418"/>
      <c r="C237" s="525"/>
      <c r="D237" s="525"/>
      <c r="E237" s="513"/>
      <c r="S237" s="795" t="s">
        <v>95</v>
      </c>
      <c r="T237" s="795"/>
    </row>
    <row r="238" spans="1:20" x14ac:dyDescent="0.3">
      <c r="B238" s="418"/>
      <c r="C238" s="525"/>
      <c r="D238" s="525"/>
      <c r="E238" s="513"/>
      <c r="S238" s="432">
        <f>IF('TOMA DE DATOS'!$O$23="A",MAX(ABS(D228-D226),ABS(D229-D227)),IF('TOMA DE DATOS'!$O$23="B",ABS(D228-D226),0))</f>
        <v>0</v>
      </c>
      <c r="T238" s="432"/>
    </row>
    <row r="239" spans="1:20" x14ac:dyDescent="0.3">
      <c r="B239" s="418" t="s">
        <v>49</v>
      </c>
      <c r="C239" s="525"/>
      <c r="D239" s="525"/>
      <c r="E239" s="794">
        <f>POWER(E235,2)/((POWER(E234,2)/E232)+(POWER(F234,2)/F232)+(POWER(G234,2)/G232)+(POWER(H234,2)/H232)+(POWER(I234,2)/I232)+(POWER(J234,2)/J232)+(POWER(K234,2)/K232))</f>
        <v>119579205.42535339</v>
      </c>
    </row>
    <row r="240" spans="1:20" x14ac:dyDescent="0.3">
      <c r="B240" s="418"/>
      <c r="C240" s="525"/>
      <c r="D240" s="525"/>
      <c r="E240" s="513"/>
    </row>
    <row r="241" spans="1:20" x14ac:dyDescent="0.3">
      <c r="B241" s="418"/>
      <c r="C241" s="525"/>
      <c r="D241" s="525"/>
      <c r="E241" s="513"/>
      <c r="G241" s="10"/>
      <c r="H241" s="10"/>
      <c r="I241" s="10"/>
      <c r="O241" t="s">
        <v>38</v>
      </c>
    </row>
    <row r="242" spans="1:20" x14ac:dyDescent="0.3">
      <c r="B242" s="418"/>
      <c r="C242" s="525"/>
      <c r="D242" s="525"/>
      <c r="E242" s="513"/>
    </row>
    <row r="243" spans="1:20" x14ac:dyDescent="0.3">
      <c r="B243" s="2" t="s">
        <v>57</v>
      </c>
      <c r="C243" s="525"/>
      <c r="D243" s="791"/>
      <c r="E243" s="32">
        <f>TINV(0.05,E239)</f>
        <v>1.9599640080326453</v>
      </c>
    </row>
    <row r="244" spans="1:20" x14ac:dyDescent="0.3">
      <c r="B244" s="418" t="s">
        <v>53</v>
      </c>
      <c r="C244" s="525"/>
      <c r="D244" s="525"/>
      <c r="E244" s="792">
        <f>E235*E243</f>
        <v>3.2364737880517989E-3</v>
      </c>
      <c r="O244" t="s">
        <v>39</v>
      </c>
    </row>
    <row r="245" spans="1:20" x14ac:dyDescent="0.3">
      <c r="B245" s="418"/>
      <c r="C245" s="525"/>
      <c r="D245" s="525"/>
      <c r="E245" s="792"/>
    </row>
    <row r="246" spans="1:20" x14ac:dyDescent="0.3">
      <c r="B246" s="418"/>
      <c r="C246" s="525"/>
      <c r="D246" s="525"/>
      <c r="E246" s="792"/>
      <c r="O246" s="14" t="s">
        <v>56</v>
      </c>
      <c r="P246" s="14"/>
      <c r="R246" s="14" t="s">
        <v>55</v>
      </c>
      <c r="S246" s="33">
        <f>IF('TOMA DE DATOS'!$O$23="A",(ABS((D227-D226))+ABS((D229-D228)))/2,D227-D226)</f>
        <v>0</v>
      </c>
    </row>
    <row r="247" spans="1:20" x14ac:dyDescent="0.3">
      <c r="O247" s="3" t="s">
        <v>9</v>
      </c>
      <c r="P247" s="3">
        <v>2</v>
      </c>
    </row>
    <row r="248" spans="1:20" x14ac:dyDescent="0.3">
      <c r="O248" s="3" t="s">
        <v>54</v>
      </c>
      <c r="P248" s="3">
        <v>1</v>
      </c>
    </row>
    <row r="249" spans="1:20" x14ac:dyDescent="0.3">
      <c r="O249" s="3" t="s">
        <v>0</v>
      </c>
      <c r="P249" s="3">
        <v>1</v>
      </c>
    </row>
    <row r="250" spans="1:20" x14ac:dyDescent="0.3">
      <c r="A250" s="34"/>
      <c r="B250" s="34"/>
      <c r="C250" s="34">
        <v>9</v>
      </c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</row>
    <row r="251" spans="1:20" x14ac:dyDescent="0.3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</row>
    <row r="252" spans="1:20" x14ac:dyDescent="0.3">
      <c r="D252" s="1"/>
      <c r="E252" s="1" t="s">
        <v>51</v>
      </c>
      <c r="F252" s="1" t="s">
        <v>51</v>
      </c>
      <c r="G252" s="1" t="s">
        <v>51</v>
      </c>
      <c r="H252" s="1" t="s">
        <v>50</v>
      </c>
      <c r="I252" s="1" t="s">
        <v>51</v>
      </c>
      <c r="J252" s="1" t="s">
        <v>51</v>
      </c>
      <c r="K252" s="1" t="s">
        <v>51</v>
      </c>
    </row>
    <row r="253" spans="1:20" ht="15" thickBot="1" x14ac:dyDescent="0.35">
      <c r="A253" s="4" t="s">
        <v>75</v>
      </c>
      <c r="D253" s="525"/>
      <c r="E253" s="525"/>
      <c r="F253" s="525"/>
      <c r="G253" s="525"/>
      <c r="H253" s="525"/>
      <c r="I253" s="525"/>
      <c r="J253" s="804" t="s">
        <v>45</v>
      </c>
      <c r="K253" s="525"/>
      <c r="O253" t="s">
        <v>34</v>
      </c>
      <c r="P253" s="525"/>
      <c r="Q253" s="525"/>
    </row>
    <row r="254" spans="1:20" x14ac:dyDescent="0.3">
      <c r="A254" s="796">
        <f>'TOMA DE DATOS'!C86</f>
        <v>0</v>
      </c>
      <c r="D254" s="525"/>
      <c r="E254" s="525"/>
      <c r="F254" s="525"/>
      <c r="G254" s="525"/>
      <c r="H254" s="525"/>
      <c r="I254" s="525"/>
      <c r="J254" s="804"/>
      <c r="K254" s="525"/>
      <c r="P254" s="525"/>
      <c r="Q254" s="525"/>
    </row>
    <row r="255" spans="1:20" ht="15" thickBot="1" x14ac:dyDescent="0.35">
      <c r="A255" s="797"/>
      <c r="D255" s="803"/>
      <c r="E255" s="803"/>
      <c r="F255" s="803"/>
      <c r="G255" s="525"/>
      <c r="H255" s="525"/>
      <c r="I255" s="525"/>
      <c r="J255" s="805"/>
      <c r="K255" s="525"/>
      <c r="P255" s="806"/>
      <c r="Q255" s="806"/>
    </row>
    <row r="256" spans="1:20" ht="42" thickBot="1" x14ac:dyDescent="0.35">
      <c r="C256" s="16" t="str">
        <f>'Tabla de resultados'!$A$90</f>
        <v>Valor indicación [InH2O]</v>
      </c>
      <c r="D256" s="16" t="str">
        <f>'Tabla de resultados'!$E$90</f>
        <v>Patrón Estándar  [InH2O]</v>
      </c>
      <c r="E256" s="16" t="s">
        <v>31</v>
      </c>
      <c r="F256" s="16" t="s">
        <v>32</v>
      </c>
      <c r="G256" s="14"/>
      <c r="H256" s="14"/>
      <c r="I256" s="22"/>
      <c r="J256" s="16" t="s">
        <v>44</v>
      </c>
      <c r="K256" s="16" t="s">
        <v>83</v>
      </c>
      <c r="P256" s="27"/>
      <c r="Q256" s="28"/>
    </row>
    <row r="257" spans="1:20" x14ac:dyDescent="0.3">
      <c r="A257">
        <v>25</v>
      </c>
      <c r="C257" s="798">
        <f>IF('TOMA DE DATOS'!$A$68='TOMA DE DATOS'!$Q$138,'TOMA DE DATOS'!$C$86,'TOMA DE DATOS'!C86+'Base Patrones Presion'!Q50)</f>
        <v>0</v>
      </c>
      <c r="D257" s="30">
        <f>'TOMA DE DATOS'!E86</f>
        <v>0</v>
      </c>
      <c r="E257" s="799">
        <f>'Base Patrones Presion'!R50</f>
        <v>4.9000012378348215E-4</v>
      </c>
      <c r="F257" s="513">
        <f>IF('TOMA DE DATOS'!$O$20="Analógica",SQRT((1/3)*(POWER((2*'TOMA DE DATOS'!$I$22)/2,2))),SQRT((1/3)*(POWER((2*'TOMA DE DATOS'!$D$22)/2,2))))</f>
        <v>1.4433756729740645E-3</v>
      </c>
      <c r="G257" s="513">
        <f>$G$9</f>
        <v>6.3508529610858846E-4</v>
      </c>
      <c r="H257" s="513">
        <f>SQRT((1/3)*(POWER(S269/2,2)))</f>
        <v>0</v>
      </c>
      <c r="I257" s="513">
        <f>SQRT(1/3*POWER((S277)/2,2))</f>
        <v>0</v>
      </c>
      <c r="J257" s="802">
        <f>'Base Patrones Presion'!$M$63</f>
        <v>4.477276495498265E-15</v>
      </c>
      <c r="K257" s="802">
        <f>'Base Patrones Presion'!$N$93</f>
        <v>0</v>
      </c>
      <c r="P257" s="17"/>
      <c r="Q257" s="20">
        <f>ABS(D258-D257)</f>
        <v>0</v>
      </c>
    </row>
    <row r="258" spans="1:20" x14ac:dyDescent="0.3">
      <c r="C258" s="798"/>
      <c r="D258" s="30">
        <f>'TOMA DE DATOS'!G86</f>
        <v>0</v>
      </c>
      <c r="E258" s="799"/>
      <c r="F258" s="513"/>
      <c r="G258" s="513"/>
      <c r="H258" s="513"/>
      <c r="I258" s="513"/>
      <c r="J258" s="802"/>
      <c r="K258" s="802"/>
      <c r="P258" s="18"/>
      <c r="Q258" s="20">
        <f>ABS(D260-D259)</f>
        <v>0</v>
      </c>
    </row>
    <row r="259" spans="1:20" ht="15" thickBot="1" x14ac:dyDescent="0.35">
      <c r="C259" s="798"/>
      <c r="D259" s="30">
        <f>'TOMA DE DATOS'!K86</f>
        <v>0</v>
      </c>
      <c r="E259" s="799"/>
      <c r="F259" s="513"/>
      <c r="G259" s="513"/>
      <c r="H259" s="513"/>
      <c r="I259" s="513"/>
      <c r="J259" s="802"/>
      <c r="K259" s="802"/>
      <c r="P259" s="19" t="s">
        <v>33</v>
      </c>
      <c r="Q259" s="21">
        <f>IF(OR('TOMA DE DATOS'!$O$23="C",'TOMA DE DATOS'!$O$23="B"), MAX(Q257),MAX(Q257:Q258))</f>
        <v>0</v>
      </c>
    </row>
    <row r="260" spans="1:20" ht="15" thickBot="1" x14ac:dyDescent="0.35">
      <c r="C260" s="798"/>
      <c r="D260" s="30">
        <f>'TOMA DE DATOS'!M86</f>
        <v>0</v>
      </c>
      <c r="E260" s="800"/>
      <c r="F260" s="801"/>
      <c r="G260" s="513"/>
      <c r="H260" s="513"/>
      <c r="I260" s="513"/>
      <c r="J260" s="802"/>
      <c r="K260" s="802"/>
    </row>
    <row r="261" spans="1:20" ht="15" thickBot="1" x14ac:dyDescent="0.35">
      <c r="B261" s="23" t="s">
        <v>11</v>
      </c>
      <c r="C261" s="1"/>
      <c r="D261" s="116">
        <f>IF('TOMA DE DATOS'!$O$23="C",AVERAGE(D257:D258),IF('TOMA DE DATOS'!O23="B",AVERAGE((D257+D258)/2,D259),AVERAGE(D257:D260)))</f>
        <v>0</v>
      </c>
      <c r="E261" s="117" t="s">
        <v>267</v>
      </c>
      <c r="F261" s="325">
        <f>IF('TOMA DE DATOS'!$A$68='TOMA DE DATOS'!$Q$137,D261,D261+'Base Patrones Presion'!Q50)</f>
        <v>-1.1002844937034952E-4</v>
      </c>
    </row>
    <row r="262" spans="1:20" x14ac:dyDescent="0.3">
      <c r="B262" s="23" t="s">
        <v>13</v>
      </c>
      <c r="D262" s="30">
        <f>IF('TOMA DE DATOS'!$A$68='TOMA DE DATOS'!$Q$138,(C257-F261),F261-C257)</f>
        <v>1.1002844937034952E-4</v>
      </c>
    </row>
    <row r="263" spans="1:20" x14ac:dyDescent="0.3">
      <c r="B263" s="25" t="s">
        <v>48</v>
      </c>
      <c r="C263" s="793"/>
      <c r="D263" s="525"/>
      <c r="E263" s="23">
        <v>200</v>
      </c>
      <c r="F263" s="23">
        <v>200</v>
      </c>
      <c r="G263" s="23">
        <v>200</v>
      </c>
      <c r="H263" s="23">
        <f>COUNT('TOMA DE DATOS'!$E$78:$N$87)-1</f>
        <v>11</v>
      </c>
      <c r="I263" s="23">
        <v>200</v>
      </c>
      <c r="J263" s="23">
        <v>200</v>
      </c>
      <c r="K263" s="23">
        <v>200</v>
      </c>
      <c r="O263" t="s">
        <v>35</v>
      </c>
    </row>
    <row r="264" spans="1:20" ht="30" customHeight="1" x14ac:dyDescent="0.3">
      <c r="B264" s="25" t="s">
        <v>46</v>
      </c>
      <c r="C264" s="793"/>
      <c r="D264" s="791"/>
      <c r="E264" s="23">
        <v>-1</v>
      </c>
      <c r="F264" s="23">
        <v>1</v>
      </c>
      <c r="G264" s="23">
        <v>1</v>
      </c>
      <c r="H264" s="23">
        <v>1</v>
      </c>
      <c r="I264" s="23">
        <v>1</v>
      </c>
      <c r="J264" s="23">
        <v>1</v>
      </c>
      <c r="K264" s="23">
        <v>1</v>
      </c>
      <c r="O264" t="s">
        <v>36</v>
      </c>
    </row>
    <row r="265" spans="1:20" ht="43.2" x14ac:dyDescent="0.3">
      <c r="B265" s="25" t="s">
        <v>47</v>
      </c>
      <c r="C265" s="793"/>
      <c r="D265" s="791"/>
      <c r="E265" s="24">
        <f>POWER(E257*E264,2)</f>
        <v>2.4010012130782782E-7</v>
      </c>
      <c r="F265" s="24">
        <f>POWER(F257*F264,2)</f>
        <v>2.0833333333333334E-6</v>
      </c>
      <c r="G265" s="24">
        <f t="shared" ref="G265" si="10">POWER(G257*G264,2)</f>
        <v>4.0333333333333348E-7</v>
      </c>
      <c r="H265" s="24">
        <f>POWER(H257*H264,2)</f>
        <v>0</v>
      </c>
      <c r="I265" s="24">
        <f>POWER(I257*I264,2)</f>
        <v>0</v>
      </c>
      <c r="J265" s="24">
        <f>POWER(J257*J264,2)</f>
        <v>2.0046004817141226E-29</v>
      </c>
      <c r="K265" s="24">
        <f>POWER(K257*K264,2)</f>
        <v>0</v>
      </c>
      <c r="O265" s="26" t="s">
        <v>37</v>
      </c>
    </row>
    <row r="266" spans="1:20" x14ac:dyDescent="0.3">
      <c r="B266" s="418" t="s">
        <v>52</v>
      </c>
      <c r="C266" s="525"/>
      <c r="D266" s="525"/>
      <c r="E266" s="794">
        <f>SQRT(SUM(E265:K265))</f>
        <v>1.6512924598551567E-3</v>
      </c>
    </row>
    <row r="267" spans="1:20" x14ac:dyDescent="0.3">
      <c r="B267" s="418"/>
      <c r="C267" s="525"/>
      <c r="D267" s="525"/>
      <c r="E267" s="513"/>
    </row>
    <row r="268" spans="1:20" x14ac:dyDescent="0.3">
      <c r="B268" s="418"/>
      <c r="C268" s="525"/>
      <c r="D268" s="525"/>
      <c r="E268" s="513"/>
      <c r="S268" s="795" t="s">
        <v>95</v>
      </c>
      <c r="T268" s="795"/>
    </row>
    <row r="269" spans="1:20" x14ac:dyDescent="0.3">
      <c r="B269" s="418"/>
      <c r="C269" s="525"/>
      <c r="D269" s="525"/>
      <c r="E269" s="513"/>
      <c r="S269" s="432">
        <f>IF('TOMA DE DATOS'!$O$23="A",MAX(ABS(D259-D257),ABS(D260-D258)),IF('TOMA DE DATOS'!$O$23="B",ABS(D259-D257),0))</f>
        <v>0</v>
      </c>
      <c r="T269" s="432"/>
    </row>
    <row r="270" spans="1:20" x14ac:dyDescent="0.3">
      <c r="B270" s="418" t="s">
        <v>49</v>
      </c>
      <c r="C270" s="525"/>
      <c r="D270" s="525"/>
      <c r="E270" s="794">
        <f>POWER(E266,2)/((POWER(E265,2)/E263)+(POWER(F265,2)/F263)+(POWER(G265,2)/G263)+(POWER(H265,2)/H263)+(POWER(I265,2)/I263)+(POWER(J265,2)/J263)+(POWER(K265,2)/K263))</f>
        <v>119579205.42535339</v>
      </c>
    </row>
    <row r="271" spans="1:20" x14ac:dyDescent="0.3">
      <c r="B271" s="418"/>
      <c r="C271" s="525"/>
      <c r="D271" s="525"/>
      <c r="E271" s="513"/>
    </row>
    <row r="272" spans="1:20" x14ac:dyDescent="0.3">
      <c r="B272" s="418"/>
      <c r="C272" s="525"/>
      <c r="D272" s="525"/>
      <c r="E272" s="513"/>
      <c r="G272" s="10"/>
      <c r="H272" s="10"/>
      <c r="I272" s="10"/>
      <c r="O272" t="s">
        <v>38</v>
      </c>
    </row>
    <row r="273" spans="1:20" x14ac:dyDescent="0.3">
      <c r="B273" s="418"/>
      <c r="C273" s="525"/>
      <c r="D273" s="525"/>
      <c r="E273" s="513"/>
    </row>
    <row r="274" spans="1:20" x14ac:dyDescent="0.3">
      <c r="B274" s="2" t="s">
        <v>57</v>
      </c>
      <c r="C274" s="525"/>
      <c r="D274" s="791"/>
      <c r="E274" s="32">
        <f>TINV(0.05,E270)</f>
        <v>1.9599640080326453</v>
      </c>
    </row>
    <row r="275" spans="1:20" x14ac:dyDescent="0.3">
      <c r="B275" s="418" t="s">
        <v>53</v>
      </c>
      <c r="C275" s="525"/>
      <c r="D275" s="525"/>
      <c r="E275" s="792">
        <f>E266*E274</f>
        <v>3.2364737880517989E-3</v>
      </c>
      <c r="O275" t="s">
        <v>39</v>
      </c>
    </row>
    <row r="276" spans="1:20" x14ac:dyDescent="0.3">
      <c r="B276" s="418"/>
      <c r="C276" s="525"/>
      <c r="D276" s="525"/>
      <c r="E276" s="792"/>
    </row>
    <row r="277" spans="1:20" x14ac:dyDescent="0.3">
      <c r="B277" s="418"/>
      <c r="C277" s="525"/>
      <c r="D277" s="525"/>
      <c r="E277" s="792"/>
      <c r="O277" s="14" t="s">
        <v>56</v>
      </c>
      <c r="P277" s="14"/>
      <c r="R277" s="14" t="s">
        <v>55</v>
      </c>
      <c r="S277" s="33">
        <f>IF('TOMA DE DATOS'!$O$23="A",(ABS((D258-D257))+ABS((D260-D259)))/2,D258-D257)</f>
        <v>0</v>
      </c>
    </row>
    <row r="278" spans="1:20" x14ac:dyDescent="0.3">
      <c r="O278" s="3" t="s">
        <v>9</v>
      </c>
      <c r="P278" s="3">
        <v>2</v>
      </c>
    </row>
    <row r="279" spans="1:20" x14ac:dyDescent="0.3">
      <c r="O279" s="3" t="s">
        <v>54</v>
      </c>
      <c r="P279" s="3">
        <v>1</v>
      </c>
    </row>
    <row r="280" spans="1:20" x14ac:dyDescent="0.3">
      <c r="O280" s="3" t="s">
        <v>0</v>
      </c>
      <c r="P280" s="3">
        <v>1</v>
      </c>
    </row>
    <row r="281" spans="1:20" x14ac:dyDescent="0.3">
      <c r="A281" s="34"/>
      <c r="B281" s="34"/>
      <c r="C281" s="34">
        <v>10</v>
      </c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</row>
    <row r="282" spans="1:20" x14ac:dyDescent="0.3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</row>
    <row r="283" spans="1:20" x14ac:dyDescent="0.3">
      <c r="D283" s="1"/>
      <c r="E283" s="1" t="s">
        <v>51</v>
      </c>
      <c r="F283" s="1" t="s">
        <v>51</v>
      </c>
      <c r="G283" s="1" t="s">
        <v>51</v>
      </c>
      <c r="H283" s="1" t="s">
        <v>50</v>
      </c>
      <c r="I283" s="1" t="s">
        <v>51</v>
      </c>
      <c r="J283" s="1" t="s">
        <v>51</v>
      </c>
      <c r="K283" s="1" t="s">
        <v>51</v>
      </c>
    </row>
    <row r="284" spans="1:20" ht="15" thickBot="1" x14ac:dyDescent="0.35">
      <c r="A284" s="4" t="s">
        <v>84</v>
      </c>
      <c r="D284" s="525"/>
      <c r="E284" s="525"/>
      <c r="F284" s="525"/>
      <c r="G284" s="525"/>
      <c r="H284" s="525"/>
      <c r="I284" s="525"/>
      <c r="J284" s="804" t="s">
        <v>45</v>
      </c>
      <c r="K284" s="525"/>
      <c r="O284" t="s">
        <v>34</v>
      </c>
      <c r="P284" s="525"/>
      <c r="Q284" s="525"/>
    </row>
    <row r="285" spans="1:20" x14ac:dyDescent="0.3">
      <c r="A285" s="796">
        <f>'TOMA DE DATOS'!C87</f>
        <v>0</v>
      </c>
      <c r="D285" s="525"/>
      <c r="E285" s="525"/>
      <c r="F285" s="525"/>
      <c r="G285" s="525"/>
      <c r="H285" s="525"/>
      <c r="I285" s="525"/>
      <c r="J285" s="804"/>
      <c r="K285" s="525"/>
      <c r="P285" s="525"/>
      <c r="Q285" s="525"/>
    </row>
    <row r="286" spans="1:20" ht="15" thickBot="1" x14ac:dyDescent="0.35">
      <c r="A286" s="797"/>
      <c r="D286" s="803"/>
      <c r="E286" s="803"/>
      <c r="F286" s="803"/>
      <c r="G286" s="525"/>
      <c r="H286" s="525"/>
      <c r="I286" s="525"/>
      <c r="J286" s="805"/>
      <c r="K286" s="525"/>
      <c r="P286" s="806"/>
      <c r="Q286" s="806"/>
    </row>
    <row r="287" spans="1:20" ht="42" thickBot="1" x14ac:dyDescent="0.35">
      <c r="C287" s="16" t="str">
        <f>'Tabla de resultados'!$A$90</f>
        <v>Valor indicación [InH2O]</v>
      </c>
      <c r="D287" s="16" t="str">
        <f>'Tabla de resultados'!$E$90</f>
        <v>Patrón Estándar  [InH2O]</v>
      </c>
      <c r="E287" s="16" t="s">
        <v>31</v>
      </c>
      <c r="F287" s="16" t="s">
        <v>32</v>
      </c>
      <c r="G287" s="14"/>
      <c r="H287" s="14"/>
      <c r="I287" s="22"/>
      <c r="J287" s="16" t="s">
        <v>44</v>
      </c>
      <c r="K287" s="16" t="s">
        <v>83</v>
      </c>
      <c r="P287" s="27"/>
      <c r="Q287" s="28"/>
    </row>
    <row r="288" spans="1:20" x14ac:dyDescent="0.3">
      <c r="A288">
        <v>26</v>
      </c>
      <c r="C288" s="798">
        <f>IF('TOMA DE DATOS'!$A$68='TOMA DE DATOS'!$Q$138,'TOMA DE DATOS'!$C$87,'TOMA DE DATOS'!C87+'Base Patrones Presion'!Q51)</f>
        <v>0</v>
      </c>
      <c r="D288" s="30">
        <f>'TOMA DE DATOS'!E87</f>
        <v>0</v>
      </c>
      <c r="E288" s="799">
        <f>'Base Patrones Presion'!R51</f>
        <v>4.9000012378348215E-4</v>
      </c>
      <c r="F288" s="513">
        <f>IF('TOMA DE DATOS'!$O$20="Analógica",SQRT((1/3)*(POWER((2*'TOMA DE DATOS'!$I$22)/2,2))),SQRT((1/3)*(POWER((2*'TOMA DE DATOS'!$D$22)/2,2))))</f>
        <v>1.4433756729740645E-3</v>
      </c>
      <c r="G288" s="513">
        <f>$G$9</f>
        <v>6.3508529610858846E-4</v>
      </c>
      <c r="H288" s="513">
        <f>SQRT((1/3)*(POWER(S300/2,2)))</f>
        <v>0</v>
      </c>
      <c r="I288" s="513">
        <f>SQRT(1/3*POWER((S308)/2,2))</f>
        <v>0</v>
      </c>
      <c r="J288" s="802">
        <f>'Base Patrones Presion'!$M$63</f>
        <v>4.477276495498265E-15</v>
      </c>
      <c r="K288" s="802">
        <f>'Base Patrones Presion'!$N$93</f>
        <v>0</v>
      </c>
      <c r="P288" s="17"/>
      <c r="Q288" s="20">
        <f>ABS(D289-D288)</f>
        <v>0</v>
      </c>
    </row>
    <row r="289" spans="2:20" x14ac:dyDescent="0.3">
      <c r="C289" s="798"/>
      <c r="D289" s="30">
        <f>'TOMA DE DATOS'!G87</f>
        <v>0</v>
      </c>
      <c r="E289" s="799"/>
      <c r="F289" s="513"/>
      <c r="G289" s="513"/>
      <c r="H289" s="513"/>
      <c r="I289" s="513"/>
      <c r="J289" s="802"/>
      <c r="K289" s="802"/>
      <c r="P289" s="18"/>
      <c r="Q289" s="20">
        <f>ABS(D291-D290)</f>
        <v>0</v>
      </c>
    </row>
    <row r="290" spans="2:20" ht="15" thickBot="1" x14ac:dyDescent="0.35">
      <c r="C290" s="798"/>
      <c r="D290" s="30">
        <f>'TOMA DE DATOS'!K87</f>
        <v>0</v>
      </c>
      <c r="E290" s="799"/>
      <c r="F290" s="513"/>
      <c r="G290" s="513"/>
      <c r="H290" s="513"/>
      <c r="I290" s="513"/>
      <c r="J290" s="802"/>
      <c r="K290" s="802"/>
      <c r="P290" s="19" t="s">
        <v>33</v>
      </c>
      <c r="Q290" s="21">
        <f>IF(OR('TOMA DE DATOS'!$O$23="C",'TOMA DE DATOS'!$O$23="B"), MAX(Q288),MAX(Q288:Q289))</f>
        <v>0</v>
      </c>
    </row>
    <row r="291" spans="2:20" ht="15" thickBot="1" x14ac:dyDescent="0.35">
      <c r="C291" s="798"/>
      <c r="D291" s="30">
        <f>'TOMA DE DATOS'!M87</f>
        <v>0</v>
      </c>
      <c r="E291" s="800"/>
      <c r="F291" s="801"/>
      <c r="G291" s="513"/>
      <c r="H291" s="513"/>
      <c r="I291" s="513"/>
      <c r="J291" s="802"/>
      <c r="K291" s="802"/>
    </row>
    <row r="292" spans="2:20" ht="15" thickBot="1" x14ac:dyDescent="0.35">
      <c r="B292" s="23" t="s">
        <v>11</v>
      </c>
      <c r="C292" s="1"/>
      <c r="D292" s="116">
        <f>IF('TOMA DE DATOS'!$O$23="C",AVERAGE(D288:D289),IF('TOMA DE DATOS'!O23="B",AVERAGE((D288+D289)/2,D290),AVERAGE(D288:D291)))</f>
        <v>0</v>
      </c>
      <c r="E292" s="117" t="s">
        <v>267</v>
      </c>
      <c r="F292" s="325">
        <f>IF('TOMA DE DATOS'!$A$68='TOMA DE DATOS'!$Q$137,D292,D292+'Base Patrones Presion'!Q51)</f>
        <v>-1.1002844937034952E-4</v>
      </c>
    </row>
    <row r="293" spans="2:20" x14ac:dyDescent="0.3">
      <c r="B293" s="23" t="s">
        <v>13</v>
      </c>
      <c r="D293" s="30">
        <f>IF('TOMA DE DATOS'!$A$68='TOMA DE DATOS'!$Q$138,(C288-F292),F292-C288)</f>
        <v>1.1002844937034952E-4</v>
      </c>
    </row>
    <row r="294" spans="2:20" x14ac:dyDescent="0.3">
      <c r="B294" s="25" t="s">
        <v>48</v>
      </c>
      <c r="C294" s="793"/>
      <c r="D294" s="525"/>
      <c r="E294" s="23">
        <v>200</v>
      </c>
      <c r="F294" s="23">
        <v>200</v>
      </c>
      <c r="G294" s="23">
        <v>200</v>
      </c>
      <c r="H294" s="23">
        <f>COUNT('TOMA DE DATOS'!$E$78:$N$87)-1</f>
        <v>11</v>
      </c>
      <c r="I294" s="23">
        <v>200</v>
      </c>
      <c r="J294" s="23">
        <v>200</v>
      </c>
      <c r="K294" s="23">
        <v>200</v>
      </c>
      <c r="O294" t="s">
        <v>35</v>
      </c>
    </row>
    <row r="295" spans="2:20" ht="30" customHeight="1" x14ac:dyDescent="0.3">
      <c r="B295" s="25" t="s">
        <v>46</v>
      </c>
      <c r="C295" s="793"/>
      <c r="D295" s="791"/>
      <c r="E295" s="23">
        <v>-1</v>
      </c>
      <c r="F295" s="23">
        <v>1</v>
      </c>
      <c r="G295" s="23">
        <v>1</v>
      </c>
      <c r="H295" s="23">
        <v>1</v>
      </c>
      <c r="I295" s="23">
        <v>1</v>
      </c>
      <c r="J295" s="23">
        <v>1</v>
      </c>
      <c r="K295" s="23">
        <v>1</v>
      </c>
      <c r="O295" t="s">
        <v>36</v>
      </c>
    </row>
    <row r="296" spans="2:20" ht="43.2" x14ac:dyDescent="0.3">
      <c r="B296" s="25" t="s">
        <v>47</v>
      </c>
      <c r="C296" s="793"/>
      <c r="D296" s="791"/>
      <c r="E296" s="24">
        <f>POWER(E288*E295,2)</f>
        <v>2.4010012130782782E-7</v>
      </c>
      <c r="F296" s="24">
        <f>POWER(F288*F295,2)</f>
        <v>2.0833333333333334E-6</v>
      </c>
      <c r="G296" s="24">
        <f t="shared" ref="G296" si="11">POWER(G288*G295,2)</f>
        <v>4.0333333333333348E-7</v>
      </c>
      <c r="H296" s="24">
        <f>POWER(H288*H295,2)</f>
        <v>0</v>
      </c>
      <c r="I296" s="24">
        <f>POWER(I288*I295,2)</f>
        <v>0</v>
      </c>
      <c r="J296" s="24">
        <f>POWER(J288*J295,2)</f>
        <v>2.0046004817141226E-29</v>
      </c>
      <c r="K296" s="24">
        <f>POWER(K288*K295,2)</f>
        <v>0</v>
      </c>
      <c r="O296" s="26" t="s">
        <v>37</v>
      </c>
    </row>
    <row r="297" spans="2:20" x14ac:dyDescent="0.3">
      <c r="B297" s="418" t="s">
        <v>52</v>
      </c>
      <c r="C297" s="525"/>
      <c r="D297" s="525"/>
      <c r="E297" s="794">
        <f>SQRT(SUM(E296:K296))</f>
        <v>1.6512924598551567E-3</v>
      </c>
    </row>
    <row r="298" spans="2:20" x14ac:dyDescent="0.3">
      <c r="B298" s="418"/>
      <c r="C298" s="525"/>
      <c r="D298" s="525"/>
      <c r="E298" s="513"/>
    </row>
    <row r="299" spans="2:20" x14ac:dyDescent="0.3">
      <c r="B299" s="418"/>
      <c r="C299" s="525"/>
      <c r="D299" s="525"/>
      <c r="E299" s="513"/>
      <c r="S299" s="795" t="s">
        <v>95</v>
      </c>
      <c r="T299" s="795"/>
    </row>
    <row r="300" spans="2:20" x14ac:dyDescent="0.3">
      <c r="B300" s="418"/>
      <c r="C300" s="525"/>
      <c r="D300" s="525"/>
      <c r="E300" s="513"/>
      <c r="S300" s="432">
        <f>IF('TOMA DE DATOS'!$O$23="A",MAX(ABS(D290-D288),ABS(D291-D289)),IF('TOMA DE DATOS'!$O$23="B",ABS(D290-D288),0))</f>
        <v>0</v>
      </c>
      <c r="T300" s="432"/>
    </row>
    <row r="301" spans="2:20" x14ac:dyDescent="0.3">
      <c r="B301" s="418" t="s">
        <v>49</v>
      </c>
      <c r="C301" s="525"/>
      <c r="D301" s="525"/>
      <c r="E301" s="794">
        <f>POWER(E297,2)/((POWER(E296,2)/E294)+(POWER(F296,2)/F294)+(POWER(G296,2)/G294)+(POWER(H296,2)/H294)+(POWER(I296,2)/I294)+(POWER(J296,2)/J294)+(POWER(K296,2)/K294))</f>
        <v>119579205.42535339</v>
      </c>
    </row>
    <row r="302" spans="2:20" x14ac:dyDescent="0.3">
      <c r="B302" s="418"/>
      <c r="C302" s="525"/>
      <c r="D302" s="525"/>
      <c r="E302" s="513"/>
    </row>
    <row r="303" spans="2:20" x14ac:dyDescent="0.3">
      <c r="B303" s="418"/>
      <c r="C303" s="525"/>
      <c r="D303" s="525"/>
      <c r="E303" s="513"/>
      <c r="G303" s="10"/>
      <c r="H303" s="10"/>
      <c r="I303" s="10"/>
      <c r="O303" t="s">
        <v>38</v>
      </c>
    </row>
    <row r="304" spans="2:20" x14ac:dyDescent="0.3">
      <c r="B304" s="418"/>
      <c r="C304" s="525"/>
      <c r="D304" s="525"/>
      <c r="E304" s="513"/>
    </row>
    <row r="305" spans="1:20" x14ac:dyDescent="0.3">
      <c r="B305" s="2" t="s">
        <v>57</v>
      </c>
      <c r="C305" s="525"/>
      <c r="D305" s="791"/>
      <c r="E305" s="32">
        <f>TINV(0.05,E301)</f>
        <v>1.9599640080326453</v>
      </c>
    </row>
    <row r="306" spans="1:20" x14ac:dyDescent="0.3">
      <c r="B306" s="418" t="s">
        <v>53</v>
      </c>
      <c r="C306" s="525"/>
      <c r="D306" s="525"/>
      <c r="E306" s="792">
        <f>E297*E305</f>
        <v>3.2364737880517989E-3</v>
      </c>
      <c r="O306" t="s">
        <v>39</v>
      </c>
    </row>
    <row r="307" spans="1:20" x14ac:dyDescent="0.3">
      <c r="B307" s="418"/>
      <c r="C307" s="525"/>
      <c r="D307" s="525"/>
      <c r="E307" s="792"/>
    </row>
    <row r="308" spans="1:20" x14ac:dyDescent="0.3">
      <c r="B308" s="418"/>
      <c r="C308" s="525"/>
      <c r="D308" s="525"/>
      <c r="E308" s="792"/>
      <c r="O308" s="14" t="s">
        <v>56</v>
      </c>
      <c r="P308" s="14"/>
      <c r="R308" s="14" t="s">
        <v>55</v>
      </c>
      <c r="S308" s="33">
        <f>IF('TOMA DE DATOS'!$O$23="A",(ABS((D289-D288))+ABS((D291-D290)))/2,D289-D288)</f>
        <v>0</v>
      </c>
    </row>
    <row r="309" spans="1:20" x14ac:dyDescent="0.3">
      <c r="O309" s="3" t="s">
        <v>9</v>
      </c>
      <c r="P309" s="3">
        <v>2</v>
      </c>
    </row>
    <row r="310" spans="1:20" x14ac:dyDescent="0.3">
      <c r="O310" s="3" t="s">
        <v>54</v>
      </c>
      <c r="P310" s="3">
        <v>1</v>
      </c>
    </row>
    <row r="311" spans="1:20" x14ac:dyDescent="0.3">
      <c r="O311" s="3" t="s">
        <v>0</v>
      </c>
      <c r="P311" s="3">
        <v>1</v>
      </c>
    </row>
    <row r="312" spans="1:20" x14ac:dyDescent="0.3">
      <c r="A312" s="34"/>
      <c r="B312" s="34"/>
      <c r="C312" s="34">
        <v>11</v>
      </c>
      <c r="D312" s="34" t="s">
        <v>393</v>
      </c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</row>
    <row r="313" spans="1:20" x14ac:dyDescent="0.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</row>
    <row r="314" spans="1:20" x14ac:dyDescent="0.3">
      <c r="D314" s="1"/>
      <c r="E314" s="1" t="s">
        <v>51</v>
      </c>
      <c r="F314" s="1" t="s">
        <v>51</v>
      </c>
      <c r="G314" s="1" t="s">
        <v>51</v>
      </c>
      <c r="H314" s="1" t="s">
        <v>50</v>
      </c>
      <c r="I314" s="1" t="s">
        <v>51</v>
      </c>
      <c r="J314" s="1" t="s">
        <v>51</v>
      </c>
      <c r="K314" s="1" t="s">
        <v>51</v>
      </c>
    </row>
    <row r="315" spans="1:20" ht="15" thickBot="1" x14ac:dyDescent="0.35">
      <c r="A315" s="4" t="s">
        <v>84</v>
      </c>
      <c r="D315" s="525"/>
      <c r="E315" s="525"/>
      <c r="F315" s="525"/>
      <c r="G315" s="525"/>
      <c r="H315" s="525"/>
      <c r="I315" s="525"/>
      <c r="J315" s="804" t="s">
        <v>45</v>
      </c>
      <c r="K315" s="525"/>
      <c r="O315" t="s">
        <v>34</v>
      </c>
      <c r="P315" s="525"/>
      <c r="Q315" s="525"/>
    </row>
    <row r="316" spans="1:20" x14ac:dyDescent="0.3">
      <c r="A316" s="796">
        <f>'TOMA DE DATOS'!C118</f>
        <v>0</v>
      </c>
      <c r="D316" s="525"/>
      <c r="E316" s="525"/>
      <c r="F316" s="525"/>
      <c r="G316" s="525"/>
      <c r="H316" s="525"/>
      <c r="I316" s="525"/>
      <c r="J316" s="804"/>
      <c r="K316" s="525"/>
      <c r="P316" s="525"/>
      <c r="Q316" s="525"/>
    </row>
    <row r="317" spans="1:20" ht="15" thickBot="1" x14ac:dyDescent="0.35">
      <c r="A317" s="797"/>
      <c r="D317" s="803"/>
      <c r="E317" s="803"/>
      <c r="F317" s="803"/>
      <c r="G317" s="525"/>
      <c r="H317" s="525"/>
      <c r="I317" s="525"/>
      <c r="J317" s="805"/>
      <c r="K317" s="525"/>
      <c r="P317" s="806"/>
      <c r="Q317" s="806"/>
    </row>
    <row r="318" spans="1:20" ht="42" thickBot="1" x14ac:dyDescent="0.35">
      <c r="C318" s="16" t="str">
        <f>'Tabla de resultados'!$A$90</f>
        <v>Valor indicación [InH2O]</v>
      </c>
      <c r="D318" s="16" t="str">
        <f>'Tabla de resultados'!$E$90</f>
        <v>Patrón Estándar  [InH2O]</v>
      </c>
      <c r="E318" s="16" t="s">
        <v>31</v>
      </c>
      <c r="F318" s="16" t="s">
        <v>32</v>
      </c>
      <c r="G318" s="14"/>
      <c r="H318" s="14"/>
      <c r="I318" s="22"/>
      <c r="J318" s="16" t="s">
        <v>44</v>
      </c>
      <c r="K318" s="16" t="s">
        <v>83</v>
      </c>
      <c r="P318" s="27"/>
      <c r="Q318" s="28"/>
    </row>
    <row r="319" spans="1:20" x14ac:dyDescent="0.3">
      <c r="A319">
        <v>26</v>
      </c>
      <c r="C319" s="798">
        <f>IF('TOMA DE DATOS'!$A$68='TOMA DE DATOS'!$Q$138,'TOMA DE DATOS'!$C$88,'TOMA DE DATOS'!C88+'Base Patrones Presion'!Q52)</f>
        <v>0</v>
      </c>
      <c r="D319" s="30">
        <f>'TOMA DE DATOS'!E118</f>
        <v>0</v>
      </c>
      <c r="E319" s="799">
        <f>'Base Patrones Presion'!R52</f>
        <v>4.9000012378348215E-4</v>
      </c>
      <c r="F319" s="513">
        <f>IF('TOMA DE DATOS'!$O$20="Analógica",SQRT((1/3)*(POWER((2*'TOMA DE DATOS'!$I$22)/2,2))),SQRT((1/3)*(POWER((2*'TOMA DE DATOS'!$D$22)/2,2))))</f>
        <v>1.4433756729740645E-3</v>
      </c>
      <c r="G319" s="513">
        <f>$G$9</f>
        <v>6.3508529610858846E-4</v>
      </c>
      <c r="H319" s="513">
        <f>SQRT((1/3)*(POWER(S331/2,2)))</f>
        <v>0</v>
      </c>
      <c r="I319" s="513">
        <f>SQRT(1/3*POWER((S339)/2,2))</f>
        <v>0</v>
      </c>
      <c r="J319" s="802">
        <f>'Base Patrones Presion'!$M$63</f>
        <v>4.477276495498265E-15</v>
      </c>
      <c r="K319" s="802">
        <f>'Base Patrones Presion'!$N$93</f>
        <v>0</v>
      </c>
      <c r="P319" s="17"/>
      <c r="Q319" s="20">
        <f>ABS(D320-D319)</f>
        <v>0</v>
      </c>
    </row>
    <row r="320" spans="1:20" x14ac:dyDescent="0.3">
      <c r="C320" s="798"/>
      <c r="D320" s="30">
        <f>'TOMA DE DATOS'!G118</f>
        <v>0</v>
      </c>
      <c r="E320" s="799"/>
      <c r="F320" s="513"/>
      <c r="G320" s="513"/>
      <c r="H320" s="513"/>
      <c r="I320" s="513"/>
      <c r="J320" s="802"/>
      <c r="K320" s="802"/>
      <c r="P320" s="18"/>
      <c r="Q320" s="20">
        <f>ABS(D322-D321)</f>
        <v>0</v>
      </c>
    </row>
    <row r="321" spans="2:20" ht="15" thickBot="1" x14ac:dyDescent="0.35">
      <c r="C321" s="798"/>
      <c r="D321" s="30">
        <f>'TOMA DE DATOS'!K118</f>
        <v>0</v>
      </c>
      <c r="E321" s="799"/>
      <c r="F321" s="513"/>
      <c r="G321" s="513"/>
      <c r="H321" s="513"/>
      <c r="I321" s="513"/>
      <c r="J321" s="802"/>
      <c r="K321" s="802"/>
      <c r="P321" s="19" t="s">
        <v>33</v>
      </c>
      <c r="Q321" s="21">
        <f>IF(OR('TOMA DE DATOS'!$O$23="C",'TOMA DE DATOS'!$O$23="B"), MAX(Q319),MAX(Q319:Q320))</f>
        <v>0</v>
      </c>
    </row>
    <row r="322" spans="2:20" ht="15" thickBot="1" x14ac:dyDescent="0.35">
      <c r="C322" s="798"/>
      <c r="D322" s="30">
        <f>'TOMA DE DATOS'!M118</f>
        <v>0</v>
      </c>
      <c r="E322" s="800"/>
      <c r="F322" s="801"/>
      <c r="G322" s="513"/>
      <c r="H322" s="513"/>
      <c r="I322" s="513"/>
      <c r="J322" s="802"/>
      <c r="K322" s="802"/>
    </row>
    <row r="323" spans="2:20" ht="15" thickBot="1" x14ac:dyDescent="0.35">
      <c r="B323" s="23" t="s">
        <v>11</v>
      </c>
      <c r="C323" s="1"/>
      <c r="D323" s="116">
        <f>IF('TOMA DE DATOS'!$O$23="C",AVERAGE(D319:D320),IF('TOMA DE DATOS'!O54="B",AVERAGE((D319+D320)/2,D321),AVERAGE(D319:D322)))</f>
        <v>0</v>
      </c>
      <c r="E323" s="117" t="s">
        <v>267</v>
      </c>
      <c r="F323" s="325">
        <f>IF('TOMA DE DATOS'!$A$68='TOMA DE DATOS'!$Q$137,D323,D323+'Base Patrones Presion'!Q52)</f>
        <v>-1.1002844937034952E-4</v>
      </c>
    </row>
    <row r="324" spans="2:20" x14ac:dyDescent="0.3">
      <c r="B324" s="23" t="s">
        <v>13</v>
      </c>
      <c r="D324" s="30">
        <f>IF('TOMA DE DATOS'!$A$68='TOMA DE DATOS'!$Q$138,(C319-F323),F323-C319)</f>
        <v>1.1002844937034952E-4</v>
      </c>
    </row>
    <row r="325" spans="2:20" x14ac:dyDescent="0.3">
      <c r="B325" s="25" t="s">
        <v>48</v>
      </c>
      <c r="C325" s="793"/>
      <c r="D325" s="525"/>
      <c r="E325" s="23">
        <v>200</v>
      </c>
      <c r="F325" s="23">
        <v>200</v>
      </c>
      <c r="G325" s="23">
        <v>200</v>
      </c>
      <c r="H325" s="23">
        <f>COUNT('TOMA DE DATOS'!$E$78:$N$87)-1</f>
        <v>11</v>
      </c>
      <c r="I325" s="23">
        <v>200</v>
      </c>
      <c r="J325" s="23">
        <v>200</v>
      </c>
      <c r="K325" s="23">
        <v>200</v>
      </c>
      <c r="O325" t="s">
        <v>35</v>
      </c>
    </row>
    <row r="326" spans="2:20" ht="30" customHeight="1" x14ac:dyDescent="0.3">
      <c r="B326" s="25" t="s">
        <v>46</v>
      </c>
      <c r="C326" s="793"/>
      <c r="D326" s="791"/>
      <c r="E326" s="23">
        <v>-1</v>
      </c>
      <c r="F326" s="23">
        <v>1</v>
      </c>
      <c r="G326" s="23">
        <v>1</v>
      </c>
      <c r="H326" s="23">
        <v>1</v>
      </c>
      <c r="I326" s="23">
        <v>1</v>
      </c>
      <c r="J326" s="23">
        <v>1</v>
      </c>
      <c r="K326" s="23">
        <v>1</v>
      </c>
      <c r="O326" t="s">
        <v>36</v>
      </c>
    </row>
    <row r="327" spans="2:20" ht="43.2" x14ac:dyDescent="0.3">
      <c r="B327" s="25" t="s">
        <v>47</v>
      </c>
      <c r="C327" s="793"/>
      <c r="D327" s="791"/>
      <c r="E327" s="24">
        <f>POWER(E319*E326,2)</f>
        <v>2.4010012130782782E-7</v>
      </c>
      <c r="F327" s="24">
        <f>POWER(F319*F326,2)</f>
        <v>2.0833333333333334E-6</v>
      </c>
      <c r="G327" s="24">
        <f t="shared" ref="G327" si="12">POWER(G319*G326,2)</f>
        <v>4.0333333333333348E-7</v>
      </c>
      <c r="H327" s="24">
        <f>POWER(H319*H326,2)</f>
        <v>0</v>
      </c>
      <c r="I327" s="24">
        <f>POWER(I319*I326,2)</f>
        <v>0</v>
      </c>
      <c r="J327" s="24">
        <f>POWER(J319*J326,2)</f>
        <v>2.0046004817141226E-29</v>
      </c>
      <c r="K327" s="24">
        <f>POWER(K319*K326,2)</f>
        <v>0</v>
      </c>
      <c r="O327" s="26" t="s">
        <v>37</v>
      </c>
    </row>
    <row r="328" spans="2:20" x14ac:dyDescent="0.3">
      <c r="B328" s="418" t="s">
        <v>52</v>
      </c>
      <c r="C328" s="525"/>
      <c r="D328" s="525"/>
      <c r="E328" s="794">
        <f>SQRT(SUM(E327:K327))</f>
        <v>1.6512924598551567E-3</v>
      </c>
    </row>
    <row r="329" spans="2:20" x14ac:dyDescent="0.3">
      <c r="B329" s="418"/>
      <c r="C329" s="525"/>
      <c r="D329" s="525"/>
      <c r="E329" s="513"/>
    </row>
    <row r="330" spans="2:20" x14ac:dyDescent="0.3">
      <c r="B330" s="418"/>
      <c r="C330" s="525"/>
      <c r="D330" s="525"/>
      <c r="E330" s="513"/>
      <c r="S330" s="795" t="s">
        <v>95</v>
      </c>
      <c r="T330" s="795"/>
    </row>
    <row r="331" spans="2:20" x14ac:dyDescent="0.3">
      <c r="B331" s="418"/>
      <c r="C331" s="525"/>
      <c r="D331" s="525"/>
      <c r="E331" s="513"/>
      <c r="S331" s="432">
        <f>IF('TOMA DE DATOS'!$O$23="A",MAX(ABS(D321-D319),ABS(D322-D320)),IF('TOMA DE DATOS'!$O$23="B",ABS(D321-D319),0))</f>
        <v>0</v>
      </c>
      <c r="T331" s="432"/>
    </row>
    <row r="332" spans="2:20" x14ac:dyDescent="0.3">
      <c r="B332" s="418" t="s">
        <v>49</v>
      </c>
      <c r="C332" s="525"/>
      <c r="D332" s="525"/>
      <c r="E332" s="794">
        <f>POWER(E328,2)/((POWER(E327,2)/E325)+(POWER(F327,2)/F325)+(POWER(G327,2)/G325)+(POWER(H327,2)/H325)+(POWER(I327,2)/I325)+(POWER(J327,2)/J325)+(POWER(K327,2)/K325))</f>
        <v>119579205.42535339</v>
      </c>
    </row>
    <row r="333" spans="2:20" x14ac:dyDescent="0.3">
      <c r="B333" s="418"/>
      <c r="C333" s="525"/>
      <c r="D333" s="525"/>
      <c r="E333" s="513"/>
    </row>
    <row r="334" spans="2:20" x14ac:dyDescent="0.3">
      <c r="B334" s="418"/>
      <c r="C334" s="525"/>
      <c r="D334" s="525"/>
      <c r="E334" s="513"/>
      <c r="G334" s="10"/>
      <c r="H334" s="10"/>
      <c r="I334" s="10"/>
      <c r="O334" t="s">
        <v>38</v>
      </c>
    </row>
    <row r="335" spans="2:20" x14ac:dyDescent="0.3">
      <c r="B335" s="418"/>
      <c r="C335" s="525"/>
      <c r="D335" s="525"/>
      <c r="E335" s="513"/>
    </row>
    <row r="336" spans="2:20" x14ac:dyDescent="0.3">
      <c r="B336" s="2" t="s">
        <v>57</v>
      </c>
      <c r="C336" s="525"/>
      <c r="D336" s="791"/>
      <c r="E336" s="32">
        <f>TINV(0.05,E332)</f>
        <v>1.9599640080326453</v>
      </c>
    </row>
    <row r="337" spans="2:19" x14ac:dyDescent="0.3">
      <c r="B337" s="418" t="s">
        <v>53</v>
      </c>
      <c r="C337" s="525"/>
      <c r="D337" s="525"/>
      <c r="E337" s="792">
        <f>E328*E336</f>
        <v>3.2364737880517989E-3</v>
      </c>
      <c r="O337" t="s">
        <v>39</v>
      </c>
    </row>
    <row r="338" spans="2:19" x14ac:dyDescent="0.3">
      <c r="B338" s="418"/>
      <c r="C338" s="525"/>
      <c r="D338" s="525"/>
      <c r="E338" s="792"/>
    </row>
    <row r="339" spans="2:19" x14ac:dyDescent="0.3">
      <c r="B339" s="418"/>
      <c r="C339" s="525"/>
      <c r="D339" s="525"/>
      <c r="E339" s="792"/>
      <c r="O339" s="14" t="s">
        <v>56</v>
      </c>
      <c r="P339" s="14"/>
      <c r="R339" s="14" t="s">
        <v>55</v>
      </c>
      <c r="S339" s="33">
        <f>IF('TOMA DE DATOS'!$O$23="A",(ABS((D320-D319))+ABS((D322-D321)))/2,D320-D319)</f>
        <v>0</v>
      </c>
    </row>
    <row r="340" spans="2:19" x14ac:dyDescent="0.3">
      <c r="O340" s="3" t="s">
        <v>9</v>
      </c>
      <c r="P340" s="3">
        <v>2</v>
      </c>
    </row>
    <row r="341" spans="2:19" x14ac:dyDescent="0.3">
      <c r="O341" s="3" t="s">
        <v>54</v>
      </c>
      <c r="P341" s="3">
        <v>1</v>
      </c>
    </row>
    <row r="342" spans="2:19" x14ac:dyDescent="0.3">
      <c r="O342" s="3" t="s">
        <v>0</v>
      </c>
      <c r="P342" s="3">
        <v>1</v>
      </c>
    </row>
  </sheetData>
  <sheetProtection algorithmName="SHA-512" hashValue="EJgz4nuhT0jO2StGpujjNsfLIDu2EO7uDeGXbr8zYHy8QhL6KygMaGBwSfsvq5zPJW/a4jaMeeSboyhOkc4SyA==" saltValue="V2Gbir2psyMi6MiMu+OErw==" spinCount="100000" sheet="1" objects="1" scenarios="1"/>
  <mergeCells count="363">
    <mergeCell ref="C305:D305"/>
    <mergeCell ref="B306:B308"/>
    <mergeCell ref="C306:D308"/>
    <mergeCell ref="E306:E308"/>
    <mergeCell ref="C294:D294"/>
    <mergeCell ref="C295:D295"/>
    <mergeCell ref="C296:D296"/>
    <mergeCell ref="B297:B300"/>
    <mergeCell ref="C297:D300"/>
    <mergeCell ref="E297:E300"/>
    <mergeCell ref="B301:B304"/>
    <mergeCell ref="C301:D304"/>
    <mergeCell ref="E301:E304"/>
    <mergeCell ref="P284:Q286"/>
    <mergeCell ref="A285:A286"/>
    <mergeCell ref="C288:C291"/>
    <mergeCell ref="E288:E291"/>
    <mergeCell ref="F288:F291"/>
    <mergeCell ref="G288:G291"/>
    <mergeCell ref="H288:H291"/>
    <mergeCell ref="I288:I291"/>
    <mergeCell ref="J288:J291"/>
    <mergeCell ref="K288:K291"/>
    <mergeCell ref="K164:K167"/>
    <mergeCell ref="K191:K193"/>
    <mergeCell ref="K195:K198"/>
    <mergeCell ref="K222:K224"/>
    <mergeCell ref="K226:K229"/>
    <mergeCell ref="K253:K255"/>
    <mergeCell ref="K257:K260"/>
    <mergeCell ref="D284:D286"/>
    <mergeCell ref="E284:E286"/>
    <mergeCell ref="F284:F286"/>
    <mergeCell ref="G284:G286"/>
    <mergeCell ref="H284:H286"/>
    <mergeCell ref="I284:I286"/>
    <mergeCell ref="J284:J286"/>
    <mergeCell ref="K284:K286"/>
    <mergeCell ref="C232:D232"/>
    <mergeCell ref="C233:D233"/>
    <mergeCell ref="C234:D234"/>
    <mergeCell ref="C201:D201"/>
    <mergeCell ref="C202:D202"/>
    <mergeCell ref="C203:D203"/>
    <mergeCell ref="C181:D181"/>
    <mergeCell ref="I164:I167"/>
    <mergeCell ref="J164:J167"/>
    <mergeCell ref="K102:K105"/>
    <mergeCell ref="K67:K69"/>
    <mergeCell ref="K71:K74"/>
    <mergeCell ref="K36:K38"/>
    <mergeCell ref="K40:K43"/>
    <mergeCell ref="K5:K7"/>
    <mergeCell ref="K9:K12"/>
    <mergeCell ref="K129:K131"/>
    <mergeCell ref="K133:K136"/>
    <mergeCell ref="B275:B277"/>
    <mergeCell ref="C275:D277"/>
    <mergeCell ref="E275:E277"/>
    <mergeCell ref="E266:E269"/>
    <mergeCell ref="B270:B273"/>
    <mergeCell ref="C270:D273"/>
    <mergeCell ref="E270:E273"/>
    <mergeCell ref="C274:D274"/>
    <mergeCell ref="C263:D263"/>
    <mergeCell ref="C264:D264"/>
    <mergeCell ref="C265:D265"/>
    <mergeCell ref="B266:B269"/>
    <mergeCell ref="C266:D269"/>
    <mergeCell ref="P253:Q255"/>
    <mergeCell ref="A254:A255"/>
    <mergeCell ref="C257:C260"/>
    <mergeCell ref="E257:E260"/>
    <mergeCell ref="F257:F260"/>
    <mergeCell ref="G257:G260"/>
    <mergeCell ref="H257:H260"/>
    <mergeCell ref="I257:I260"/>
    <mergeCell ref="J257:J260"/>
    <mergeCell ref="F253:F255"/>
    <mergeCell ref="G253:G255"/>
    <mergeCell ref="H253:H255"/>
    <mergeCell ref="I253:I255"/>
    <mergeCell ref="J253:J255"/>
    <mergeCell ref="B244:B246"/>
    <mergeCell ref="C244:D246"/>
    <mergeCell ref="E244:E246"/>
    <mergeCell ref="D253:D255"/>
    <mergeCell ref="E253:E255"/>
    <mergeCell ref="E235:E238"/>
    <mergeCell ref="B239:B242"/>
    <mergeCell ref="C239:D242"/>
    <mergeCell ref="E239:E242"/>
    <mergeCell ref="C243:D243"/>
    <mergeCell ref="B235:B238"/>
    <mergeCell ref="C235:D238"/>
    <mergeCell ref="P222:Q224"/>
    <mergeCell ref="A223:A224"/>
    <mergeCell ref="C226:C229"/>
    <mergeCell ref="E226:E229"/>
    <mergeCell ref="F226:F229"/>
    <mergeCell ref="G226:G229"/>
    <mergeCell ref="H226:H229"/>
    <mergeCell ref="I226:I229"/>
    <mergeCell ref="J226:J229"/>
    <mergeCell ref="F222:F224"/>
    <mergeCell ref="G222:G224"/>
    <mergeCell ref="H222:H224"/>
    <mergeCell ref="I222:I224"/>
    <mergeCell ref="J222:J224"/>
    <mergeCell ref="B213:B215"/>
    <mergeCell ref="C213:D215"/>
    <mergeCell ref="E213:E215"/>
    <mergeCell ref="D222:D224"/>
    <mergeCell ref="E222:E224"/>
    <mergeCell ref="E204:E207"/>
    <mergeCell ref="B208:B211"/>
    <mergeCell ref="C208:D211"/>
    <mergeCell ref="E208:E211"/>
    <mergeCell ref="C212:D212"/>
    <mergeCell ref="B204:B207"/>
    <mergeCell ref="C204:D207"/>
    <mergeCell ref="P191:Q193"/>
    <mergeCell ref="A192:A193"/>
    <mergeCell ref="C195:C198"/>
    <mergeCell ref="E195:E198"/>
    <mergeCell ref="F195:F198"/>
    <mergeCell ref="G195:G198"/>
    <mergeCell ref="H195:H198"/>
    <mergeCell ref="I195:I198"/>
    <mergeCell ref="J195:J198"/>
    <mergeCell ref="F191:F193"/>
    <mergeCell ref="G191:G193"/>
    <mergeCell ref="H191:H193"/>
    <mergeCell ref="I191:I193"/>
    <mergeCell ref="J191:J193"/>
    <mergeCell ref="B182:B184"/>
    <mergeCell ref="C182:D184"/>
    <mergeCell ref="E182:E184"/>
    <mergeCell ref="D191:D193"/>
    <mergeCell ref="E191:E193"/>
    <mergeCell ref="B173:B176"/>
    <mergeCell ref="C173:D176"/>
    <mergeCell ref="E173:E176"/>
    <mergeCell ref="B177:B180"/>
    <mergeCell ref="C177:D180"/>
    <mergeCell ref="E177:E180"/>
    <mergeCell ref="C170:D170"/>
    <mergeCell ref="C171:D171"/>
    <mergeCell ref="C172:D172"/>
    <mergeCell ref="C164:C167"/>
    <mergeCell ref="E164:E167"/>
    <mergeCell ref="F164:F167"/>
    <mergeCell ref="G164:G167"/>
    <mergeCell ref="H164:H167"/>
    <mergeCell ref="I160:I162"/>
    <mergeCell ref="J160:J162"/>
    <mergeCell ref="P160:Q162"/>
    <mergeCell ref="A161:A162"/>
    <mergeCell ref="D160:D162"/>
    <mergeCell ref="E160:E162"/>
    <mergeCell ref="F160:F162"/>
    <mergeCell ref="G160:G162"/>
    <mergeCell ref="H160:H162"/>
    <mergeCell ref="K160:K162"/>
    <mergeCell ref="G129:G131"/>
    <mergeCell ref="F129:F131"/>
    <mergeCell ref="E129:E131"/>
    <mergeCell ref="D129:D131"/>
    <mergeCell ref="A130:A131"/>
    <mergeCell ref="P129:Q131"/>
    <mergeCell ref="J129:J131"/>
    <mergeCell ref="I129:I131"/>
    <mergeCell ref="H129:H131"/>
    <mergeCell ref="C139:D139"/>
    <mergeCell ref="J133:J136"/>
    <mergeCell ref="I133:I136"/>
    <mergeCell ref="H133:H136"/>
    <mergeCell ref="G133:G136"/>
    <mergeCell ref="F133:F136"/>
    <mergeCell ref="E133:E136"/>
    <mergeCell ref="C133:C136"/>
    <mergeCell ref="E142:E145"/>
    <mergeCell ref="C142:D145"/>
    <mergeCell ref="B142:B145"/>
    <mergeCell ref="C141:D141"/>
    <mergeCell ref="C140:D140"/>
    <mergeCell ref="E151:E153"/>
    <mergeCell ref="C151:D153"/>
    <mergeCell ref="B151:B153"/>
    <mergeCell ref="C150:D150"/>
    <mergeCell ref="E146:E149"/>
    <mergeCell ref="C146:D149"/>
    <mergeCell ref="B146:B149"/>
    <mergeCell ref="G98:G100"/>
    <mergeCell ref="F98:F100"/>
    <mergeCell ref="E98:E100"/>
    <mergeCell ref="D98:D100"/>
    <mergeCell ref="A99:A100"/>
    <mergeCell ref="P98:Q100"/>
    <mergeCell ref="J98:J100"/>
    <mergeCell ref="I98:I100"/>
    <mergeCell ref="H98:H100"/>
    <mergeCell ref="K98:K100"/>
    <mergeCell ref="C108:D108"/>
    <mergeCell ref="J102:J105"/>
    <mergeCell ref="I102:I105"/>
    <mergeCell ref="H102:H105"/>
    <mergeCell ref="G102:G105"/>
    <mergeCell ref="F102:F105"/>
    <mergeCell ref="E102:E105"/>
    <mergeCell ref="C102:C105"/>
    <mergeCell ref="E111:E114"/>
    <mergeCell ref="C111:D114"/>
    <mergeCell ref="B111:B114"/>
    <mergeCell ref="C110:D110"/>
    <mergeCell ref="C109:D109"/>
    <mergeCell ref="E120:E122"/>
    <mergeCell ref="C120:D122"/>
    <mergeCell ref="B120:B122"/>
    <mergeCell ref="C119:D119"/>
    <mergeCell ref="E115:E118"/>
    <mergeCell ref="C115:D118"/>
    <mergeCell ref="B115:B118"/>
    <mergeCell ref="B58:B60"/>
    <mergeCell ref="C58:D60"/>
    <mergeCell ref="E58:E60"/>
    <mergeCell ref="E49:E52"/>
    <mergeCell ref="B53:B56"/>
    <mergeCell ref="C53:D56"/>
    <mergeCell ref="E53:E56"/>
    <mergeCell ref="C57:D57"/>
    <mergeCell ref="C46:D46"/>
    <mergeCell ref="C47:D47"/>
    <mergeCell ref="C48:D48"/>
    <mergeCell ref="B49:B52"/>
    <mergeCell ref="C49:D52"/>
    <mergeCell ref="P36:Q38"/>
    <mergeCell ref="A37:A38"/>
    <mergeCell ref="C40:C43"/>
    <mergeCell ref="E40:E43"/>
    <mergeCell ref="F40:F43"/>
    <mergeCell ref="G40:G43"/>
    <mergeCell ref="H40:H43"/>
    <mergeCell ref="I40:I43"/>
    <mergeCell ref="J40:J43"/>
    <mergeCell ref="F36:F38"/>
    <mergeCell ref="G36:G38"/>
    <mergeCell ref="H36:H38"/>
    <mergeCell ref="I36:I38"/>
    <mergeCell ref="J36:J38"/>
    <mergeCell ref="P5:Q7"/>
    <mergeCell ref="I5:I7"/>
    <mergeCell ref="I9:I12"/>
    <mergeCell ref="J9:J12"/>
    <mergeCell ref="J5:J7"/>
    <mergeCell ref="G5:G7"/>
    <mergeCell ref="G9:G12"/>
    <mergeCell ref="H5:H7"/>
    <mergeCell ref="H9:H12"/>
    <mergeCell ref="A6:A7"/>
    <mergeCell ref="C9:C12"/>
    <mergeCell ref="E9:E12"/>
    <mergeCell ref="F9:F12"/>
    <mergeCell ref="F5:F7"/>
    <mergeCell ref="E5:E7"/>
    <mergeCell ref="D5:D7"/>
    <mergeCell ref="I67:I69"/>
    <mergeCell ref="J67:J69"/>
    <mergeCell ref="C15:D15"/>
    <mergeCell ref="C16:D16"/>
    <mergeCell ref="C17:D17"/>
    <mergeCell ref="D36:D38"/>
    <mergeCell ref="E36:E38"/>
    <mergeCell ref="E22:E25"/>
    <mergeCell ref="C26:D26"/>
    <mergeCell ref="B27:B29"/>
    <mergeCell ref="C27:D29"/>
    <mergeCell ref="E27:E29"/>
    <mergeCell ref="C18:D21"/>
    <mergeCell ref="B18:B21"/>
    <mergeCell ref="E18:E21"/>
    <mergeCell ref="B22:B25"/>
    <mergeCell ref="C22:D25"/>
    <mergeCell ref="P67:Q69"/>
    <mergeCell ref="A68:A69"/>
    <mergeCell ref="D67:D69"/>
    <mergeCell ref="E67:E69"/>
    <mergeCell ref="F67:F69"/>
    <mergeCell ref="G67:G69"/>
    <mergeCell ref="H67:H69"/>
    <mergeCell ref="I71:I74"/>
    <mergeCell ref="J71:J74"/>
    <mergeCell ref="C77:D77"/>
    <mergeCell ref="C78:D78"/>
    <mergeCell ref="C79:D79"/>
    <mergeCell ref="C71:C74"/>
    <mergeCell ref="E71:E74"/>
    <mergeCell ref="F71:F74"/>
    <mergeCell ref="G71:G74"/>
    <mergeCell ref="H71:H74"/>
    <mergeCell ref="C88:D88"/>
    <mergeCell ref="B89:B91"/>
    <mergeCell ref="C89:D91"/>
    <mergeCell ref="E89:E91"/>
    <mergeCell ref="B80:B83"/>
    <mergeCell ref="C80:D83"/>
    <mergeCell ref="E80:E83"/>
    <mergeCell ref="B84:B87"/>
    <mergeCell ref="C84:D87"/>
    <mergeCell ref="E84:E87"/>
    <mergeCell ref="S299:T299"/>
    <mergeCell ref="S300:T300"/>
    <mergeCell ref="S268:T268"/>
    <mergeCell ref="S269:T269"/>
    <mergeCell ref="S237:T237"/>
    <mergeCell ref="S238:T238"/>
    <mergeCell ref="S206:T206"/>
    <mergeCell ref="S207:T207"/>
    <mergeCell ref="S175:T175"/>
    <mergeCell ref="S176:T176"/>
    <mergeCell ref="S144:T144"/>
    <mergeCell ref="S145:T145"/>
    <mergeCell ref="S113:T113"/>
    <mergeCell ref="S114:T114"/>
    <mergeCell ref="S82:T82"/>
    <mergeCell ref="S83:T83"/>
    <mergeCell ref="S51:T51"/>
    <mergeCell ref="S52:T52"/>
    <mergeCell ref="S20:T20"/>
    <mergeCell ref="S21:T21"/>
    <mergeCell ref="S330:T330"/>
    <mergeCell ref="S331:T331"/>
    <mergeCell ref="B332:B335"/>
    <mergeCell ref="C332:D335"/>
    <mergeCell ref="E332:E335"/>
    <mergeCell ref="A316:A317"/>
    <mergeCell ref="C319:C322"/>
    <mergeCell ref="E319:E322"/>
    <mergeCell ref="F319:F322"/>
    <mergeCell ref="G319:G322"/>
    <mergeCell ref="H319:H322"/>
    <mergeCell ref="I319:I322"/>
    <mergeCell ref="J319:J322"/>
    <mergeCell ref="K319:K322"/>
    <mergeCell ref="D315:D317"/>
    <mergeCell ref="E315:E317"/>
    <mergeCell ref="F315:F317"/>
    <mergeCell ref="G315:G317"/>
    <mergeCell ref="H315:H317"/>
    <mergeCell ref="I315:I317"/>
    <mergeCell ref="J315:J317"/>
    <mergeCell ref="K315:K317"/>
    <mergeCell ref="P315:Q317"/>
    <mergeCell ref="C336:D336"/>
    <mergeCell ref="B337:B339"/>
    <mergeCell ref="C337:D339"/>
    <mergeCell ref="E337:E339"/>
    <mergeCell ref="C325:D325"/>
    <mergeCell ref="C326:D326"/>
    <mergeCell ref="C327:D327"/>
    <mergeCell ref="B328:B331"/>
    <mergeCell ref="C328:D331"/>
    <mergeCell ref="E328:E331"/>
  </mergeCells>
  <conditionalFormatting sqref="D11">
    <cfRule type="containsBlanks" priority="11">
      <formula>LEN(TRIM(D11))=0</formula>
    </cfRule>
  </conditionalFormatting>
  <conditionalFormatting sqref="D42">
    <cfRule type="containsBlanks" priority="10">
      <formula>LEN(TRIM(D42))=0</formula>
    </cfRule>
  </conditionalFormatting>
  <conditionalFormatting sqref="D73">
    <cfRule type="containsBlanks" priority="9">
      <formula>LEN(TRIM(D73))=0</formula>
    </cfRule>
  </conditionalFormatting>
  <conditionalFormatting sqref="D104">
    <cfRule type="containsBlanks" priority="8">
      <formula>LEN(TRIM(D104))=0</formula>
    </cfRule>
  </conditionalFormatting>
  <conditionalFormatting sqref="D135">
    <cfRule type="containsBlanks" priority="7">
      <formula>LEN(TRIM(D135))=0</formula>
    </cfRule>
  </conditionalFormatting>
  <conditionalFormatting sqref="D166">
    <cfRule type="containsBlanks" priority="6">
      <formula>LEN(TRIM(D166))=0</formula>
    </cfRule>
  </conditionalFormatting>
  <conditionalFormatting sqref="D197">
    <cfRule type="containsBlanks" priority="5">
      <formula>LEN(TRIM(D197))=0</formula>
    </cfRule>
  </conditionalFormatting>
  <conditionalFormatting sqref="D228">
    <cfRule type="containsBlanks" priority="4">
      <formula>LEN(TRIM(D228))=0</formula>
    </cfRule>
  </conditionalFormatting>
  <conditionalFormatting sqref="D259">
    <cfRule type="containsBlanks" priority="3">
      <formula>LEN(TRIM(D259))=0</formula>
    </cfRule>
  </conditionalFormatting>
  <conditionalFormatting sqref="D290">
    <cfRule type="containsBlanks" priority="2">
      <formula>LEN(TRIM(D290))=0</formula>
    </cfRule>
  </conditionalFormatting>
  <conditionalFormatting sqref="D321">
    <cfRule type="containsBlanks" priority="1">
      <formula>LEN(TRIM(D321))=0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31"/>
  <sheetViews>
    <sheetView topLeftCell="A16" workbookViewId="0">
      <selection activeCell="L26" sqref="L26"/>
    </sheetView>
  </sheetViews>
  <sheetFormatPr baseColWidth="10" defaultRowHeight="14.4" x14ac:dyDescent="0.3"/>
  <cols>
    <col min="2" max="2" width="14.21875" bestFit="1" customWidth="1"/>
    <col min="3" max="3" width="14" bestFit="1" customWidth="1"/>
    <col min="4" max="4" width="13.44140625" bestFit="1" customWidth="1"/>
    <col min="5" max="8" width="13.21875" bestFit="1" customWidth="1"/>
    <col min="9" max="9" width="13.77734375" bestFit="1" customWidth="1"/>
    <col min="10" max="10" width="12.6640625" bestFit="1" customWidth="1"/>
    <col min="11" max="11" width="13" bestFit="1" customWidth="1"/>
    <col min="12" max="12" width="13.21875" bestFit="1" customWidth="1"/>
    <col min="13" max="13" width="12.6640625" bestFit="1" customWidth="1"/>
    <col min="15" max="15" width="12.88671875" bestFit="1" customWidth="1"/>
  </cols>
  <sheetData>
    <row r="2" spans="1:15" x14ac:dyDescent="0.3">
      <c r="E2" t="s">
        <v>98</v>
      </c>
    </row>
    <row r="4" spans="1:15" x14ac:dyDescent="0.3">
      <c r="A4" s="44" t="s">
        <v>96</v>
      </c>
      <c r="B4" s="414" t="s">
        <v>87</v>
      </c>
      <c r="C4" s="414" t="s">
        <v>104</v>
      </c>
      <c r="D4" s="414" t="s">
        <v>114</v>
      </c>
      <c r="E4" s="414" t="s">
        <v>105</v>
      </c>
      <c r="F4" s="414" t="s">
        <v>106</v>
      </c>
      <c r="G4" s="414" t="s">
        <v>68</v>
      </c>
      <c r="H4" s="414" t="s">
        <v>107</v>
      </c>
      <c r="I4" s="414" t="s">
        <v>108</v>
      </c>
      <c r="J4" s="414" t="s">
        <v>109</v>
      </c>
      <c r="K4" s="414" t="s">
        <v>110</v>
      </c>
      <c r="L4" s="414" t="s">
        <v>272</v>
      </c>
      <c r="M4" s="414" t="s">
        <v>319</v>
      </c>
    </row>
    <row r="5" spans="1:15" x14ac:dyDescent="0.3">
      <c r="A5" s="45" t="s">
        <v>87</v>
      </c>
      <c r="B5" s="393">
        <v>1</v>
      </c>
      <c r="C5" s="394">
        <v>1000</v>
      </c>
      <c r="D5" s="394">
        <v>1000000</v>
      </c>
      <c r="E5" s="395">
        <v>100000</v>
      </c>
      <c r="F5" s="396">
        <v>100</v>
      </c>
      <c r="G5" s="397">
        <f>1/B10</f>
        <v>6894.7448254940082</v>
      </c>
      <c r="H5" s="396">
        <v>249.1</v>
      </c>
      <c r="I5" s="396">
        <v>9.8070000000000004</v>
      </c>
      <c r="J5" s="396">
        <v>3386</v>
      </c>
      <c r="K5" s="398">
        <v>133.30000000000001</v>
      </c>
      <c r="L5" s="399">
        <v>98066.5</v>
      </c>
      <c r="M5" s="400">
        <f>K5*10</f>
        <v>1333</v>
      </c>
    </row>
    <row r="6" spans="1:15" x14ac:dyDescent="0.3">
      <c r="A6" s="45" t="s">
        <v>104</v>
      </c>
      <c r="B6" s="394">
        <v>1E-3</v>
      </c>
      <c r="C6" s="393">
        <v>1</v>
      </c>
      <c r="D6" s="394">
        <v>1000</v>
      </c>
      <c r="E6" s="395">
        <v>100</v>
      </c>
      <c r="F6" s="396">
        <v>0.1</v>
      </c>
      <c r="G6" s="397">
        <f>1/C10</f>
        <v>6.8947448254940085</v>
      </c>
      <c r="H6" s="396">
        <v>0.24909999999999999</v>
      </c>
      <c r="I6" s="396">
        <v>9.8069999999999997E-3</v>
      </c>
      <c r="J6" s="396">
        <v>3.3860000000000001</v>
      </c>
      <c r="K6" s="401">
        <v>0.1333</v>
      </c>
      <c r="L6" s="399">
        <v>98.066500000000005</v>
      </c>
      <c r="M6" s="400">
        <f t="shared" ref="M6:M15" si="0">K6*10</f>
        <v>1.333</v>
      </c>
    </row>
    <row r="7" spans="1:15" x14ac:dyDescent="0.3">
      <c r="A7" s="45" t="s">
        <v>114</v>
      </c>
      <c r="B7" s="394">
        <v>9.9999999999999995E-7</v>
      </c>
      <c r="C7" s="394">
        <v>1E-3</v>
      </c>
      <c r="D7" s="395">
        <v>1</v>
      </c>
      <c r="E7" s="395">
        <v>0.1</v>
      </c>
      <c r="F7" s="396">
        <v>1E-4</v>
      </c>
      <c r="G7" s="397">
        <f>G6/1000</f>
        <v>6.8947448254940086E-3</v>
      </c>
      <c r="H7" s="396">
        <v>2.4909999999999998E-4</v>
      </c>
      <c r="I7" s="396">
        <v>9.8069999999999994E-6</v>
      </c>
      <c r="J7" s="396">
        <v>3.3860000000000001E-3</v>
      </c>
      <c r="K7" s="398">
        <v>1.3329999999999999E-4</v>
      </c>
      <c r="L7" s="399">
        <v>9.8066500000000001E-2</v>
      </c>
      <c r="M7" s="400">
        <f t="shared" si="0"/>
        <v>1.333E-3</v>
      </c>
    </row>
    <row r="8" spans="1:15" x14ac:dyDescent="0.3">
      <c r="A8" s="45" t="s">
        <v>105</v>
      </c>
      <c r="B8" s="394">
        <v>1.0000000000000001E-5</v>
      </c>
      <c r="C8" s="394">
        <v>0.01</v>
      </c>
      <c r="D8" s="395">
        <v>10</v>
      </c>
      <c r="E8" s="395">
        <v>1</v>
      </c>
      <c r="F8" s="396">
        <v>1E-3</v>
      </c>
      <c r="G8" s="397">
        <v>6.8947599999999998E-2</v>
      </c>
      <c r="H8" s="396">
        <v>2.4910000000000002E-3</v>
      </c>
      <c r="I8" s="402">
        <v>9.8070000000000001E-5</v>
      </c>
      <c r="J8" s="396">
        <v>3.3860000000000001E-2</v>
      </c>
      <c r="K8" s="401">
        <v>1.333E-3</v>
      </c>
      <c r="L8" s="399">
        <v>0.98066500000000001</v>
      </c>
      <c r="M8" s="400">
        <f t="shared" si="0"/>
        <v>1.333E-2</v>
      </c>
      <c r="N8">
        <v>6.8947449999999993E-2</v>
      </c>
      <c r="O8" s="47">
        <f>+G8-N8</f>
        <v>1.5000000000431335E-7</v>
      </c>
    </row>
    <row r="9" spans="1:15" x14ac:dyDescent="0.3">
      <c r="A9" s="45" t="s">
        <v>106</v>
      </c>
      <c r="B9" s="394">
        <v>0.01</v>
      </c>
      <c r="C9" s="394">
        <v>10</v>
      </c>
      <c r="D9" s="395">
        <v>10000</v>
      </c>
      <c r="E9" s="395">
        <v>1000</v>
      </c>
      <c r="F9" s="396">
        <v>1</v>
      </c>
      <c r="G9" s="397">
        <v>68.947599999999994</v>
      </c>
      <c r="H9" s="396">
        <v>2.4910000000000001</v>
      </c>
      <c r="I9" s="402">
        <v>9.8070000000000004E-2</v>
      </c>
      <c r="J9" s="396">
        <v>33.86</v>
      </c>
      <c r="K9" s="401">
        <v>1.333</v>
      </c>
      <c r="L9" s="399">
        <v>980.66499999999996</v>
      </c>
      <c r="M9" s="400">
        <f t="shared" si="0"/>
        <v>13.33</v>
      </c>
    </row>
    <row r="10" spans="1:15" x14ac:dyDescent="0.3">
      <c r="A10" s="45" t="s">
        <v>68</v>
      </c>
      <c r="B10" s="394">
        <v>1.45038E-4</v>
      </c>
      <c r="C10" s="394">
        <v>0.145038</v>
      </c>
      <c r="D10" s="395">
        <v>145</v>
      </c>
      <c r="E10" s="395">
        <v>14.5038</v>
      </c>
      <c r="F10" s="396">
        <v>1.4500000000000001E-2</v>
      </c>
      <c r="G10" s="397">
        <v>1</v>
      </c>
      <c r="H10" s="396">
        <v>3.6130000000000002E-2</v>
      </c>
      <c r="I10" s="402">
        <v>1.4220000000000001E-3</v>
      </c>
      <c r="J10" s="396">
        <v>0.49120000000000003</v>
      </c>
      <c r="K10" s="398">
        <v>1.934E-2</v>
      </c>
      <c r="L10" s="399">
        <v>14.2233</v>
      </c>
      <c r="M10" s="400">
        <f t="shared" si="0"/>
        <v>0.19339999999999999</v>
      </c>
    </row>
    <row r="11" spans="1:15" x14ac:dyDescent="0.3">
      <c r="A11" s="45" t="s">
        <v>107</v>
      </c>
      <c r="B11" s="403">
        <v>4.0146299999999999E-3</v>
      </c>
      <c r="C11" s="395">
        <v>4.0146300000000004</v>
      </c>
      <c r="D11" s="395">
        <v>4.0149999999999997</v>
      </c>
      <c r="E11" s="395">
        <v>401.46300000000002</v>
      </c>
      <c r="F11" s="396">
        <v>0.40150000000000002</v>
      </c>
      <c r="G11" s="397">
        <v>27.6799</v>
      </c>
      <c r="H11" s="396">
        <v>1</v>
      </c>
      <c r="I11" s="402">
        <v>3.9370000000000002E-2</v>
      </c>
      <c r="J11" s="402">
        <v>13.6</v>
      </c>
      <c r="K11" s="398">
        <v>0.53520000000000001</v>
      </c>
      <c r="L11" s="404">
        <v>393.70100000000002</v>
      </c>
      <c r="M11" s="400">
        <f t="shared" si="0"/>
        <v>5.3520000000000003</v>
      </c>
    </row>
    <row r="12" spans="1:15" x14ac:dyDescent="0.3">
      <c r="A12" s="45" t="s">
        <v>108</v>
      </c>
      <c r="B12" s="394">
        <v>0.10197199999999999</v>
      </c>
      <c r="C12" s="395">
        <v>101.97199999999999</v>
      </c>
      <c r="D12" s="395">
        <v>101972</v>
      </c>
      <c r="E12" s="405">
        <v>10197.200000000001</v>
      </c>
      <c r="F12" s="402">
        <v>10.199999999999999</v>
      </c>
      <c r="G12" s="406">
        <v>703.07</v>
      </c>
      <c r="H12" s="402">
        <v>25.4</v>
      </c>
      <c r="I12" s="396">
        <v>1</v>
      </c>
      <c r="J12" s="396">
        <v>345.3</v>
      </c>
      <c r="K12" s="401">
        <v>13.6</v>
      </c>
      <c r="L12" s="404">
        <v>10000</v>
      </c>
      <c r="M12" s="400">
        <f t="shared" si="0"/>
        <v>136</v>
      </c>
    </row>
    <row r="13" spans="1:15" x14ac:dyDescent="0.3">
      <c r="A13" s="45" t="s">
        <v>109</v>
      </c>
      <c r="B13" s="394">
        <v>2.9530000000000002E-4</v>
      </c>
      <c r="C13" s="394">
        <v>0.29530000000000001</v>
      </c>
      <c r="D13" s="395">
        <v>295.3</v>
      </c>
      <c r="E13" s="395">
        <v>29.53</v>
      </c>
      <c r="F13" s="396">
        <v>2.9530000000000001E-2</v>
      </c>
      <c r="G13" s="397">
        <v>2.0360200000000002</v>
      </c>
      <c r="H13" s="402">
        <v>7.356E-2</v>
      </c>
      <c r="I13" s="402">
        <v>2.8960000000000001E-3</v>
      </c>
      <c r="J13" s="396">
        <v>1</v>
      </c>
      <c r="K13" s="398">
        <v>3.9370000000000002E-2</v>
      </c>
      <c r="L13" s="399">
        <v>28.959</v>
      </c>
      <c r="M13" s="400">
        <f t="shared" si="0"/>
        <v>0.39370000000000005</v>
      </c>
    </row>
    <row r="14" spans="1:15" x14ac:dyDescent="0.3">
      <c r="A14" s="45" t="s">
        <v>110</v>
      </c>
      <c r="B14" s="394">
        <v>7.5006200000000004E-3</v>
      </c>
      <c r="C14" s="405">
        <v>7.5006199999999996</v>
      </c>
      <c r="D14" s="395">
        <v>7501</v>
      </c>
      <c r="E14" s="405">
        <v>750.06200000000001</v>
      </c>
      <c r="F14" s="402">
        <v>0.75009999999999999</v>
      </c>
      <c r="G14" s="397">
        <v>51.7149</v>
      </c>
      <c r="H14" s="396">
        <v>1.8680000000000001</v>
      </c>
      <c r="I14" s="402">
        <v>7.356E-2</v>
      </c>
      <c r="J14" s="396">
        <v>25.4</v>
      </c>
      <c r="K14" s="398">
        <v>1</v>
      </c>
      <c r="L14" s="404">
        <v>735.55899999999997</v>
      </c>
      <c r="M14" s="400">
        <f t="shared" si="0"/>
        <v>10</v>
      </c>
      <c r="O14" s="217">
        <f>M14</f>
        <v>10</v>
      </c>
    </row>
    <row r="15" spans="1:15" x14ac:dyDescent="0.3">
      <c r="A15" s="45" t="s">
        <v>272</v>
      </c>
      <c r="B15" s="407">
        <v>1.01972E-5</v>
      </c>
      <c r="C15" s="408">
        <v>1.01972E-2</v>
      </c>
      <c r="D15" s="409">
        <v>10.199999999999999</v>
      </c>
      <c r="E15" s="408">
        <v>1.01972</v>
      </c>
      <c r="F15" s="410">
        <v>1.0200000000000001E-3</v>
      </c>
      <c r="G15" s="411">
        <v>7.0306999999999994E-2</v>
      </c>
      <c r="H15" s="410">
        <v>2.5400000000000002E-3</v>
      </c>
      <c r="I15" s="410">
        <v>1E-4</v>
      </c>
      <c r="J15" s="412">
        <v>3.4529999999999998E-2</v>
      </c>
      <c r="K15" s="410">
        <v>1.3600000000000001E-3</v>
      </c>
      <c r="L15" s="413">
        <v>1</v>
      </c>
      <c r="M15" s="400">
        <f t="shared" si="0"/>
        <v>1.3600000000000001E-2</v>
      </c>
    </row>
    <row r="16" spans="1:15" x14ac:dyDescent="0.3">
      <c r="A16" s="218" t="s">
        <v>319</v>
      </c>
      <c r="B16" s="400">
        <f>B14/10</f>
        <v>7.5006200000000002E-4</v>
      </c>
      <c r="C16" s="400">
        <f t="shared" ref="C16:L16" si="1">C14/10</f>
        <v>0.75006200000000001</v>
      </c>
      <c r="D16" s="400">
        <f t="shared" si="1"/>
        <v>750.1</v>
      </c>
      <c r="E16" s="400">
        <f t="shared" si="1"/>
        <v>75.006200000000007</v>
      </c>
      <c r="F16" s="400">
        <f t="shared" si="1"/>
        <v>7.5009999999999993E-2</v>
      </c>
      <c r="G16" s="400">
        <f t="shared" si="1"/>
        <v>5.1714900000000004</v>
      </c>
      <c r="H16" s="400">
        <f t="shared" si="1"/>
        <v>0.18680000000000002</v>
      </c>
      <c r="I16" s="400">
        <f t="shared" si="1"/>
        <v>7.3559999999999997E-3</v>
      </c>
      <c r="J16" s="400">
        <f t="shared" si="1"/>
        <v>2.54</v>
      </c>
      <c r="K16" s="400">
        <f t="shared" si="1"/>
        <v>0.1</v>
      </c>
      <c r="L16" s="400">
        <f t="shared" si="1"/>
        <v>73.555899999999994</v>
      </c>
      <c r="M16" s="400">
        <f>M14/10</f>
        <v>1</v>
      </c>
    </row>
    <row r="17" spans="1:12" x14ac:dyDescent="0.3">
      <c r="A17" t="s">
        <v>97</v>
      </c>
      <c r="I17" s="127"/>
    </row>
    <row r="18" spans="1:12" x14ac:dyDescent="0.3">
      <c r="D18" s="10"/>
    </row>
    <row r="19" spans="1:12" ht="15" thickBot="1" x14ac:dyDescent="0.35">
      <c r="J19" s="48"/>
    </row>
    <row r="20" spans="1:12" x14ac:dyDescent="0.3">
      <c r="A20" s="814"/>
      <c r="B20" s="816" t="s">
        <v>100</v>
      </c>
      <c r="C20" s="817"/>
      <c r="D20" s="817"/>
      <c r="E20" s="817"/>
      <c r="F20" s="817"/>
      <c r="G20" s="817"/>
      <c r="H20" s="817"/>
      <c r="J20" s="51"/>
      <c r="K20" s="49"/>
    </row>
    <row r="21" spans="1:12" ht="15" thickBot="1" x14ac:dyDescent="0.35">
      <c r="A21" s="815"/>
      <c r="B21" s="817"/>
      <c r="C21" s="817"/>
      <c r="D21" s="817"/>
      <c r="E21" s="817"/>
      <c r="F21" s="817"/>
      <c r="G21" s="817"/>
      <c r="H21" s="817"/>
    </row>
    <row r="22" spans="1:12" x14ac:dyDescent="0.3">
      <c r="J22" s="50"/>
    </row>
    <row r="23" spans="1:12" ht="15" thickBot="1" x14ac:dyDescent="0.35">
      <c r="C23" s="525" t="s">
        <v>121</v>
      </c>
      <c r="D23" s="525"/>
      <c r="E23" s="525"/>
      <c r="F23" s="525"/>
      <c r="G23" s="525"/>
      <c r="H23" s="525"/>
    </row>
    <row r="24" spans="1:12" x14ac:dyDescent="0.3">
      <c r="C24" s="426" t="s">
        <v>412</v>
      </c>
      <c r="D24" s="427"/>
      <c r="E24" s="53" t="str">
        <f>'Base Patrones Presion'!$D$24</f>
        <v>InH2O</v>
      </c>
      <c r="F24" s="428" t="s">
        <v>102</v>
      </c>
      <c r="G24" s="428"/>
      <c r="H24" s="3" t="str">
        <f>'TOMA DE DATOS'!F20</f>
        <v>InH2O</v>
      </c>
    </row>
    <row r="25" spans="1:12" ht="15" thickBot="1" x14ac:dyDescent="0.35">
      <c r="C25" s="429" t="s">
        <v>113</v>
      </c>
      <c r="D25" s="430"/>
      <c r="E25" s="431">
        <f>INDEX(B5:M16,E28,E27)</f>
        <v>1</v>
      </c>
      <c r="F25" s="432"/>
      <c r="G25" s="432"/>
      <c r="H25" s="432"/>
      <c r="J25">
        <f>INDEX(B5:M16,E28,E27)</f>
        <v>1</v>
      </c>
      <c r="K25">
        <v>0.01</v>
      </c>
      <c r="L25">
        <f>J25*K25</f>
        <v>0.01</v>
      </c>
    </row>
    <row r="26" spans="1:12" x14ac:dyDescent="0.3">
      <c r="I26" s="47"/>
    </row>
    <row r="27" spans="1:12" x14ac:dyDescent="0.3">
      <c r="C27" s="55"/>
      <c r="D27" s="55" t="s">
        <v>111</v>
      </c>
      <c r="E27" s="55">
        <f>MATCH(E24,A5:A16,0)</f>
        <v>7</v>
      </c>
      <c r="F27" s="55"/>
      <c r="G27" s="55">
        <f>INDEX(B5:M16,E27,E28)</f>
        <v>1</v>
      </c>
      <c r="H27" s="55"/>
    </row>
    <row r="28" spans="1:12" x14ac:dyDescent="0.3">
      <c r="C28" s="55"/>
      <c r="D28" s="55" t="s">
        <v>112</v>
      </c>
      <c r="E28" s="55">
        <f>MATCH(H24,B4:M4,0)</f>
        <v>7</v>
      </c>
      <c r="F28" s="55"/>
      <c r="G28" s="55"/>
      <c r="H28" s="55"/>
    </row>
    <row r="29" spans="1:12" ht="15" thickBot="1" x14ac:dyDescent="0.35">
      <c r="C29" s="55"/>
      <c r="D29" s="55"/>
      <c r="E29" s="55"/>
      <c r="F29" s="55"/>
      <c r="G29" s="55"/>
      <c r="H29" s="55"/>
    </row>
    <row r="30" spans="1:12" x14ac:dyDescent="0.3">
      <c r="C30" s="426" t="s">
        <v>413</v>
      </c>
      <c r="D30" s="427"/>
      <c r="E30" s="338" t="str">
        <f>'TOMA DE DATOS'!F20</f>
        <v>InH2O</v>
      </c>
      <c r="F30" s="428" t="s">
        <v>102</v>
      </c>
      <c r="G30" s="428"/>
      <c r="H30" s="3" t="str">
        <f>'Base Patrones Presion'!F78</f>
        <v>InH2O</v>
      </c>
    </row>
    <row r="31" spans="1:12" ht="15" thickBot="1" x14ac:dyDescent="0.35">
      <c r="C31" s="429" t="s">
        <v>113</v>
      </c>
      <c r="D31" s="430"/>
      <c r="E31" s="431">
        <f>INDEX(B5:M16,E27,E28)</f>
        <v>1</v>
      </c>
      <c r="F31" s="432"/>
      <c r="G31" s="432"/>
      <c r="H31" s="432"/>
    </row>
  </sheetData>
  <mergeCells count="11">
    <mergeCell ref="C30:D30"/>
    <mergeCell ref="F30:G30"/>
    <mergeCell ref="C31:D31"/>
    <mergeCell ref="E31:H31"/>
    <mergeCell ref="B20:H21"/>
    <mergeCell ref="A20:A21"/>
    <mergeCell ref="C24:D24"/>
    <mergeCell ref="F24:G24"/>
    <mergeCell ref="C25:D25"/>
    <mergeCell ref="E25:H25"/>
    <mergeCell ref="C23:H2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4"/>
  <sheetViews>
    <sheetView workbookViewId="0">
      <selection activeCell="D16" sqref="D16"/>
    </sheetView>
  </sheetViews>
  <sheetFormatPr baseColWidth="10" defaultRowHeight="14.4" x14ac:dyDescent="0.3"/>
  <cols>
    <col min="1" max="1" width="13.109375" customWidth="1"/>
    <col min="2" max="2" width="27.88671875" customWidth="1"/>
    <col min="3" max="3" width="16.5546875" customWidth="1"/>
    <col min="4" max="4" width="14.88671875" customWidth="1"/>
    <col min="6" max="6" width="13.5546875" customWidth="1"/>
    <col min="7" max="7" width="21.5546875" customWidth="1"/>
    <col min="8" max="8" width="12.6640625" customWidth="1"/>
    <col min="10" max="10" width="17.33203125" customWidth="1"/>
    <col min="19" max="19" width="11.88671875" bestFit="1" customWidth="1"/>
  </cols>
  <sheetData>
    <row r="1" spans="1:22" ht="15.6" x14ac:dyDescent="0.3">
      <c r="A1" s="818" t="s">
        <v>260</v>
      </c>
      <c r="B1" s="819"/>
      <c r="C1" s="819"/>
      <c r="D1" s="819"/>
      <c r="E1" s="819"/>
    </row>
    <row r="2" spans="1:22" ht="60" customHeight="1" x14ac:dyDescent="0.3">
      <c r="A2" s="106" t="s">
        <v>171</v>
      </c>
      <c r="B2" s="106" t="s">
        <v>172</v>
      </c>
      <c r="C2" s="106" t="s">
        <v>230</v>
      </c>
      <c r="D2" s="106" t="s">
        <v>266</v>
      </c>
      <c r="E2" s="106" t="s">
        <v>283</v>
      </c>
      <c r="F2" s="106" t="s">
        <v>261</v>
      </c>
      <c r="G2" s="106" t="s">
        <v>91</v>
      </c>
      <c r="H2" s="106" t="s">
        <v>289</v>
      </c>
      <c r="I2" s="106" t="s">
        <v>115</v>
      </c>
      <c r="J2" s="820" t="s">
        <v>290</v>
      </c>
      <c r="K2" s="821"/>
      <c r="L2" s="821"/>
      <c r="M2" s="821"/>
      <c r="N2" s="821"/>
      <c r="O2" s="821"/>
      <c r="P2" s="821"/>
      <c r="Q2" s="822"/>
      <c r="R2" s="392" t="s">
        <v>624</v>
      </c>
      <c r="S2" s="392" t="s">
        <v>625</v>
      </c>
      <c r="U2" s="39"/>
      <c r="V2" s="39"/>
    </row>
    <row r="3" spans="1:22" x14ac:dyDescent="0.3">
      <c r="A3" s="107" t="s">
        <v>18</v>
      </c>
      <c r="B3" s="108" t="s">
        <v>262</v>
      </c>
      <c r="C3" s="108" t="s">
        <v>264</v>
      </c>
      <c r="D3" s="109" t="s">
        <v>642</v>
      </c>
      <c r="E3" s="326">
        <v>45890</v>
      </c>
      <c r="F3" s="326">
        <v>46620</v>
      </c>
      <c r="G3" s="108" t="s">
        <v>90</v>
      </c>
      <c r="H3" s="108" t="s">
        <v>92</v>
      </c>
      <c r="I3" s="108">
        <v>0.05</v>
      </c>
      <c r="J3" s="108" t="s">
        <v>68</v>
      </c>
      <c r="K3" s="108" t="s">
        <v>106</v>
      </c>
      <c r="L3" s="108" t="s">
        <v>108</v>
      </c>
      <c r="M3" s="108" t="s">
        <v>116</v>
      </c>
      <c r="N3" s="108" t="s">
        <v>119</v>
      </c>
      <c r="O3" s="108" t="s">
        <v>104</v>
      </c>
      <c r="P3" s="108" t="s">
        <v>103</v>
      </c>
      <c r="Q3" s="108" t="s">
        <v>105</v>
      </c>
      <c r="R3" s="3">
        <f>DAYS360(E3,F3)</f>
        <v>720</v>
      </c>
      <c r="S3" s="391">
        <f>EDATE(E3,-R3/30)</f>
        <v>45159</v>
      </c>
      <c r="U3" s="39"/>
      <c r="V3" s="39"/>
    </row>
    <row r="4" spans="1:22" x14ac:dyDescent="0.3">
      <c r="A4" s="110" t="s">
        <v>305</v>
      </c>
      <c r="B4" s="108" t="s">
        <v>262</v>
      </c>
      <c r="C4" s="108" t="s">
        <v>264</v>
      </c>
      <c r="D4" s="114">
        <v>12629</v>
      </c>
      <c r="E4" s="327">
        <v>45771</v>
      </c>
      <c r="F4" s="327">
        <v>46501</v>
      </c>
      <c r="G4" s="108" t="s">
        <v>306</v>
      </c>
      <c r="H4" s="108" t="s">
        <v>307</v>
      </c>
      <c r="I4" s="108">
        <v>0.05</v>
      </c>
      <c r="J4" s="108" t="s">
        <v>68</v>
      </c>
      <c r="K4" s="108" t="s">
        <v>106</v>
      </c>
      <c r="L4" s="108" t="s">
        <v>108</v>
      </c>
      <c r="M4" s="108" t="s">
        <v>116</v>
      </c>
      <c r="N4" s="108" t="s">
        <v>119</v>
      </c>
      <c r="O4" s="108" t="s">
        <v>104</v>
      </c>
      <c r="P4" s="108" t="s">
        <v>103</v>
      </c>
      <c r="Q4" s="108" t="s">
        <v>105</v>
      </c>
      <c r="R4" s="3">
        <f t="shared" ref="R4:R9" si="0">DAYS360(E4,F4)</f>
        <v>720</v>
      </c>
      <c r="S4" s="391">
        <f t="shared" ref="S4:S8" si="1">EDATE(E4,-R4/30)</f>
        <v>45040</v>
      </c>
      <c r="U4" s="39"/>
      <c r="V4" s="39"/>
    </row>
    <row r="5" spans="1:22" x14ac:dyDescent="0.3">
      <c r="A5" s="113" t="s">
        <v>403</v>
      </c>
      <c r="B5" s="111" t="s">
        <v>208</v>
      </c>
      <c r="C5" s="111" t="s">
        <v>265</v>
      </c>
      <c r="D5" s="112" t="s">
        <v>619</v>
      </c>
      <c r="E5" s="328">
        <v>45700</v>
      </c>
      <c r="F5" s="328">
        <v>46430</v>
      </c>
      <c r="G5" s="111" t="s">
        <v>405</v>
      </c>
      <c r="H5" s="111" t="s">
        <v>307</v>
      </c>
      <c r="I5" s="111">
        <v>0.3</v>
      </c>
      <c r="J5" s="111" t="s">
        <v>105</v>
      </c>
      <c r="K5" s="111" t="s">
        <v>110</v>
      </c>
      <c r="L5" s="111" t="s">
        <v>117</v>
      </c>
      <c r="M5" s="111" t="s">
        <v>118</v>
      </c>
      <c r="N5" s="111" t="s">
        <v>106</v>
      </c>
      <c r="O5" s="111" t="s">
        <v>68</v>
      </c>
      <c r="P5" s="111" t="s">
        <v>99</v>
      </c>
      <c r="Q5" s="111" t="s">
        <v>99</v>
      </c>
      <c r="R5" s="3">
        <f t="shared" si="0"/>
        <v>720</v>
      </c>
      <c r="S5" s="391">
        <f t="shared" si="1"/>
        <v>44969</v>
      </c>
      <c r="U5" s="39"/>
      <c r="V5" s="39"/>
    </row>
    <row r="6" spans="1:22" x14ac:dyDescent="0.3">
      <c r="A6" s="113" t="s">
        <v>404</v>
      </c>
      <c r="B6" s="111" t="s">
        <v>208</v>
      </c>
      <c r="C6" s="111" t="s">
        <v>265</v>
      </c>
      <c r="D6" s="112" t="s">
        <v>620</v>
      </c>
      <c r="E6" s="328">
        <v>45700</v>
      </c>
      <c r="F6" s="328">
        <v>46430</v>
      </c>
      <c r="G6" s="111" t="s">
        <v>94</v>
      </c>
      <c r="H6" s="111" t="s">
        <v>307</v>
      </c>
      <c r="I6" s="111">
        <v>0.3</v>
      </c>
      <c r="J6" s="111" t="s">
        <v>105</v>
      </c>
      <c r="K6" s="111" t="s">
        <v>110</v>
      </c>
      <c r="L6" s="111" t="s">
        <v>117</v>
      </c>
      <c r="M6" s="111" t="s">
        <v>118</v>
      </c>
      <c r="N6" s="111" t="s">
        <v>106</v>
      </c>
      <c r="O6" s="111" t="s">
        <v>68</v>
      </c>
      <c r="P6" s="111" t="s">
        <v>99</v>
      </c>
      <c r="Q6" s="111" t="s">
        <v>99</v>
      </c>
      <c r="R6" s="3">
        <f t="shared" si="0"/>
        <v>720</v>
      </c>
      <c r="S6" s="391">
        <f t="shared" si="1"/>
        <v>44969</v>
      </c>
      <c r="U6" s="39"/>
      <c r="V6" s="39"/>
    </row>
    <row r="7" spans="1:22" x14ac:dyDescent="0.3">
      <c r="A7" s="113" t="s">
        <v>324</v>
      </c>
      <c r="B7" s="114" t="s">
        <v>263</v>
      </c>
      <c r="C7" s="111" t="s">
        <v>264</v>
      </c>
      <c r="D7" s="112" t="s">
        <v>626</v>
      </c>
      <c r="E7" s="328">
        <v>45733</v>
      </c>
      <c r="F7" s="328">
        <v>46098</v>
      </c>
      <c r="G7" s="114" t="s">
        <v>407</v>
      </c>
      <c r="H7" s="114" t="s">
        <v>92</v>
      </c>
      <c r="I7" s="114">
        <v>0.05</v>
      </c>
      <c r="J7" s="114" t="s">
        <v>68</v>
      </c>
      <c r="K7" s="114" t="s">
        <v>106</v>
      </c>
      <c r="L7" s="114" t="s">
        <v>108</v>
      </c>
      <c r="M7" s="114" t="s">
        <v>116</v>
      </c>
      <c r="N7" s="114" t="s">
        <v>119</v>
      </c>
      <c r="O7" s="114" t="s">
        <v>104</v>
      </c>
      <c r="P7" s="114" t="s">
        <v>103</v>
      </c>
      <c r="Q7" s="114" t="s">
        <v>105</v>
      </c>
      <c r="R7" s="3">
        <f t="shared" si="0"/>
        <v>360</v>
      </c>
      <c r="S7" s="391">
        <f t="shared" si="1"/>
        <v>45368</v>
      </c>
      <c r="U7" s="39"/>
      <c r="V7" s="39"/>
    </row>
    <row r="8" spans="1:22" x14ac:dyDescent="0.3">
      <c r="A8" s="113" t="s">
        <v>343</v>
      </c>
      <c r="B8" s="111" t="s">
        <v>263</v>
      </c>
      <c r="C8" s="111" t="s">
        <v>344</v>
      </c>
      <c r="D8" s="112" t="s">
        <v>633</v>
      </c>
      <c r="E8" s="328">
        <v>45762</v>
      </c>
      <c r="F8" s="328">
        <v>46127</v>
      </c>
      <c r="G8" s="111" t="s">
        <v>406</v>
      </c>
      <c r="H8" s="111" t="s">
        <v>345</v>
      </c>
      <c r="I8" s="111">
        <v>0.05</v>
      </c>
      <c r="J8" s="111"/>
      <c r="K8" s="111"/>
      <c r="L8" s="111"/>
      <c r="M8" s="111" t="s">
        <v>116</v>
      </c>
      <c r="N8" s="111"/>
      <c r="O8" s="111"/>
      <c r="P8" s="111"/>
      <c r="Q8" s="111"/>
      <c r="R8" s="3">
        <f t="shared" si="0"/>
        <v>360</v>
      </c>
      <c r="S8" s="391">
        <f t="shared" si="1"/>
        <v>45397</v>
      </c>
      <c r="U8" s="39"/>
      <c r="V8" s="39"/>
    </row>
    <row r="9" spans="1:22" x14ac:dyDescent="0.3">
      <c r="A9" s="113" t="s">
        <v>285</v>
      </c>
      <c r="B9" s="114" t="s">
        <v>263</v>
      </c>
      <c r="C9" s="111" t="s">
        <v>264</v>
      </c>
      <c r="D9" s="112" t="s">
        <v>659</v>
      </c>
      <c r="E9" s="328">
        <v>46008</v>
      </c>
      <c r="F9" s="328">
        <v>46373</v>
      </c>
      <c r="G9" s="114" t="s">
        <v>407</v>
      </c>
      <c r="H9" s="114" t="s">
        <v>92</v>
      </c>
      <c r="I9" s="114">
        <v>0.05</v>
      </c>
      <c r="J9" s="114" t="s">
        <v>68</v>
      </c>
      <c r="K9" s="114" t="s">
        <v>106</v>
      </c>
      <c r="L9" s="114" t="s">
        <v>108</v>
      </c>
      <c r="M9" s="114" t="s">
        <v>116</v>
      </c>
      <c r="N9" s="114" t="s">
        <v>119</v>
      </c>
      <c r="O9" s="114" t="s">
        <v>104</v>
      </c>
      <c r="P9" s="114" t="s">
        <v>103</v>
      </c>
      <c r="Q9" s="114" t="s">
        <v>105</v>
      </c>
      <c r="R9" s="3">
        <f t="shared" ref="R9" si="2">DAYS360(E9,F9)</f>
        <v>360</v>
      </c>
      <c r="S9" s="391">
        <f>EDATE(E9,-R9/30)</f>
        <v>45643</v>
      </c>
      <c r="U9" s="39"/>
      <c r="V9" s="39"/>
    </row>
    <row r="10" spans="1:22" x14ac:dyDescent="0.3">
      <c r="A10" s="104"/>
    </row>
    <row r="11" spans="1:22" x14ac:dyDescent="0.3">
      <c r="A11" s="104"/>
    </row>
    <row r="14" spans="1:22" x14ac:dyDescent="0.3">
      <c r="R14">
        <f>730/12</f>
        <v>60.833333333333336</v>
      </c>
    </row>
  </sheetData>
  <sheetProtection algorithmName="SHA-512" hashValue="5qc0lHLvU1J6n4wttxiEq1tV6MYu+UFAcHErq/nKa+MKU5E9DR2ziB3kQFvfS1DSE9gL97FkRA//s8+MdcfjuQ==" saltValue="rW3uUS1YEeMtZQXymcxL7w==" spinCount="100000" sheet="1" objects="1" scenarios="1"/>
  <mergeCells count="2">
    <mergeCell ref="A1:E1"/>
    <mergeCell ref="J2:Q2"/>
  </mergeCells>
  <pageMargins left="0.7" right="0.7" top="0.75" bottom="0.75" header="0.3" footer="0.3"/>
  <pageSetup paperSize="13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E076-9523-48D5-93C5-325A6A3F793A}">
  <dimension ref="A19:J78"/>
  <sheetViews>
    <sheetView showGridLines="0" topLeftCell="A64" workbookViewId="0">
      <selection activeCell="N64" sqref="N64"/>
    </sheetView>
  </sheetViews>
  <sheetFormatPr baseColWidth="10" defaultRowHeight="14.4" x14ac:dyDescent="0.3"/>
  <cols>
    <col min="1" max="1" width="8.109375" bestFit="1" customWidth="1"/>
    <col min="2" max="2" width="14.5546875" bestFit="1" customWidth="1"/>
    <col min="3" max="3" width="15" customWidth="1"/>
    <col min="10" max="10" width="19" customWidth="1"/>
  </cols>
  <sheetData>
    <row r="19" spans="1:10" ht="28.8" x14ac:dyDescent="0.3">
      <c r="F19" s="1" t="s">
        <v>40</v>
      </c>
      <c r="G19" s="6" t="s">
        <v>19</v>
      </c>
      <c r="H19" s="6" t="s">
        <v>67</v>
      </c>
      <c r="I19" s="5" t="s">
        <v>13</v>
      </c>
      <c r="J19" s="5" t="s">
        <v>12</v>
      </c>
    </row>
    <row r="20" spans="1:10" x14ac:dyDescent="0.3">
      <c r="A20" s="220" t="s">
        <v>15</v>
      </c>
      <c r="B20" s="221" t="s">
        <v>305</v>
      </c>
      <c r="C20" s="2">
        <v>9749</v>
      </c>
      <c r="F20" s="1">
        <v>1</v>
      </c>
      <c r="G20" s="128">
        <v>0</v>
      </c>
      <c r="H20" s="37">
        <v>0</v>
      </c>
      <c r="I20" s="30">
        <v>0</v>
      </c>
      <c r="J20" s="129">
        <v>1.9E-2</v>
      </c>
    </row>
    <row r="21" spans="1:10" x14ac:dyDescent="0.3">
      <c r="B21" s="1"/>
      <c r="F21" s="1">
        <v>2</v>
      </c>
      <c r="G21" s="128">
        <v>37.508000000000003</v>
      </c>
      <c r="H21" s="37">
        <v>37.5</v>
      </c>
      <c r="I21" s="30">
        <v>8.0000000000000002E-3</v>
      </c>
      <c r="J21" s="129">
        <v>2.5000000000000001E-2</v>
      </c>
    </row>
    <row r="22" spans="1:10" x14ac:dyDescent="0.3">
      <c r="A22" s="11"/>
      <c r="F22" s="1">
        <v>3</v>
      </c>
      <c r="G22" s="128">
        <v>75.004999999999995</v>
      </c>
      <c r="H22" s="37">
        <v>75</v>
      </c>
      <c r="I22" s="30">
        <v>5.0000000000000001E-3</v>
      </c>
      <c r="J22" s="129">
        <v>2.4E-2</v>
      </c>
    </row>
    <row r="23" spans="1:10" x14ac:dyDescent="0.3">
      <c r="A23" s="11"/>
      <c r="B23" s="12"/>
      <c r="F23" s="1">
        <v>4</v>
      </c>
      <c r="G23" s="128">
        <v>112.5</v>
      </c>
      <c r="H23" s="37">
        <v>112.5</v>
      </c>
      <c r="I23" s="30">
        <v>0</v>
      </c>
      <c r="J23" s="129">
        <v>2.4E-2</v>
      </c>
    </row>
    <row r="24" spans="1:10" x14ac:dyDescent="0.3">
      <c r="F24" s="1">
        <v>5</v>
      </c>
      <c r="G24" s="128">
        <v>149.99</v>
      </c>
      <c r="H24" s="37">
        <v>150</v>
      </c>
      <c r="I24" s="30">
        <v>-0.01</v>
      </c>
      <c r="J24" s="129">
        <v>2.5999999999999999E-2</v>
      </c>
    </row>
    <row r="25" spans="1:10" x14ac:dyDescent="0.3">
      <c r="F25" s="1">
        <v>6</v>
      </c>
      <c r="G25" s="128">
        <v>187.488</v>
      </c>
      <c r="H25" s="37">
        <v>187.5</v>
      </c>
      <c r="I25" s="30">
        <v>-1.2E-2</v>
      </c>
      <c r="J25" s="129">
        <v>2.7E-2</v>
      </c>
    </row>
    <row r="26" spans="1:10" x14ac:dyDescent="0.3">
      <c r="F26" s="1">
        <v>7</v>
      </c>
      <c r="G26" s="128">
        <v>224.98500000000001</v>
      </c>
      <c r="H26" s="37">
        <v>225</v>
      </c>
      <c r="I26" s="30">
        <v>-1.4999999999999999E-2</v>
      </c>
      <c r="J26" s="129">
        <v>2.9000000000000001E-2</v>
      </c>
    </row>
    <row r="27" spans="1:10" x14ac:dyDescent="0.3">
      <c r="F27" s="1">
        <v>8</v>
      </c>
      <c r="G27" s="128">
        <v>262.48</v>
      </c>
      <c r="H27" s="37">
        <v>262.5</v>
      </c>
      <c r="I27" s="30">
        <v>-0.02</v>
      </c>
      <c r="J27" s="129">
        <v>0.03</v>
      </c>
    </row>
    <row r="28" spans="1:10" x14ac:dyDescent="0.3">
      <c r="F28" s="1">
        <v>9</v>
      </c>
      <c r="G28" s="128">
        <v>299.96300000000002</v>
      </c>
      <c r="H28" s="37">
        <v>300</v>
      </c>
      <c r="I28" s="30">
        <v>-3.6999999999999998E-2</v>
      </c>
      <c r="J28" s="129">
        <v>3.3000000000000002E-2</v>
      </c>
    </row>
    <row r="30" spans="1:10" ht="28.8" x14ac:dyDescent="0.3">
      <c r="F30" s="1" t="s">
        <v>40</v>
      </c>
      <c r="G30" s="6" t="s">
        <v>19</v>
      </c>
      <c r="H30" s="6" t="s">
        <v>67</v>
      </c>
      <c r="I30" s="5" t="s">
        <v>13</v>
      </c>
      <c r="J30" s="5" t="s">
        <v>12</v>
      </c>
    </row>
    <row r="31" spans="1:10" x14ac:dyDescent="0.3">
      <c r="A31" s="222" t="s">
        <v>15</v>
      </c>
      <c r="B31" s="221" t="s">
        <v>285</v>
      </c>
      <c r="C31" s="221" t="s">
        <v>318</v>
      </c>
      <c r="F31" s="1">
        <v>1</v>
      </c>
      <c r="G31" s="128">
        <v>-1.9992000000000001</v>
      </c>
      <c r="H31" s="2">
        <v>-1.99915</v>
      </c>
      <c r="I31" s="128">
        <v>-1E-4</v>
      </c>
      <c r="J31" s="129">
        <v>3.8999999999999999E-4</v>
      </c>
    </row>
    <row r="32" spans="1:10" x14ac:dyDescent="0.3">
      <c r="B32" s="1"/>
      <c r="F32" s="1">
        <v>2</v>
      </c>
      <c r="G32" s="128">
        <v>-1.4994000000000001</v>
      </c>
      <c r="H32" s="2">
        <v>-1.49935</v>
      </c>
      <c r="I32" s="128">
        <v>0</v>
      </c>
      <c r="J32" s="129">
        <v>3.8999999999999999E-4</v>
      </c>
    </row>
    <row r="33" spans="1:10" x14ac:dyDescent="0.3">
      <c r="F33" s="1">
        <v>3</v>
      </c>
      <c r="G33" s="128">
        <v>-0.99950000000000006</v>
      </c>
      <c r="H33" s="2">
        <v>-0.99944</v>
      </c>
      <c r="I33" s="128">
        <v>0</v>
      </c>
      <c r="J33" s="129">
        <v>3.8999999999999999E-4</v>
      </c>
    </row>
    <row r="34" spans="1:10" x14ac:dyDescent="0.3">
      <c r="A34" s="11"/>
      <c r="B34" s="12"/>
      <c r="F34" s="1">
        <v>4</v>
      </c>
      <c r="G34" s="128">
        <v>-0.49959999999999999</v>
      </c>
      <c r="H34" s="2">
        <v>-0.49962000000000001</v>
      </c>
      <c r="I34" s="128">
        <v>0</v>
      </c>
      <c r="J34" s="129">
        <v>3.8999999999999999E-4</v>
      </c>
    </row>
    <row r="35" spans="1:10" x14ac:dyDescent="0.3">
      <c r="F35" s="1">
        <v>5</v>
      </c>
      <c r="G35" s="128">
        <v>1E-4</v>
      </c>
      <c r="H35" s="2">
        <v>1.1E-4</v>
      </c>
      <c r="I35" s="128">
        <v>0</v>
      </c>
      <c r="J35" s="129">
        <v>3.8999999999999999E-4</v>
      </c>
    </row>
    <row r="36" spans="1:10" x14ac:dyDescent="0.3">
      <c r="F36" s="1">
        <v>6</v>
      </c>
      <c r="G36" s="128">
        <v>0.5</v>
      </c>
      <c r="H36" s="2">
        <v>0.50012000000000001</v>
      </c>
      <c r="I36" s="128">
        <v>-1E-4</v>
      </c>
      <c r="J36" s="129">
        <v>3.8999999999999999E-4</v>
      </c>
    </row>
    <row r="37" spans="1:10" x14ac:dyDescent="0.3">
      <c r="F37" s="1">
        <v>7</v>
      </c>
      <c r="G37" s="128">
        <v>0.99990000000000001</v>
      </c>
      <c r="H37" s="2">
        <v>0.99997999999999998</v>
      </c>
      <c r="I37" s="128">
        <v>-1E-4</v>
      </c>
      <c r="J37" s="129">
        <v>3.8999999999999999E-4</v>
      </c>
    </row>
    <row r="38" spans="1:10" x14ac:dyDescent="0.3">
      <c r="F38" s="1">
        <v>8</v>
      </c>
      <c r="G38" s="128">
        <v>1.4998</v>
      </c>
      <c r="H38" s="2">
        <v>1.4998499999999999</v>
      </c>
      <c r="I38" s="128">
        <v>-1E-4</v>
      </c>
      <c r="J38" s="129">
        <v>3.8999999999999999E-4</v>
      </c>
    </row>
    <row r="39" spans="1:10" x14ac:dyDescent="0.3">
      <c r="F39" s="1">
        <v>9</v>
      </c>
      <c r="G39" s="128">
        <v>1.9997</v>
      </c>
      <c r="H39" s="2">
        <v>1.99976</v>
      </c>
      <c r="I39" s="128">
        <v>-1E-4</v>
      </c>
      <c r="J39" s="129">
        <v>3.8999999999999999E-4</v>
      </c>
    </row>
    <row r="41" spans="1:10" ht="28.8" x14ac:dyDescent="0.3">
      <c r="F41" s="1" t="s">
        <v>40</v>
      </c>
      <c r="G41" s="6" t="s">
        <v>19</v>
      </c>
      <c r="H41" s="6" t="s">
        <v>67</v>
      </c>
      <c r="I41" s="5" t="s">
        <v>13</v>
      </c>
      <c r="J41" s="5" t="s">
        <v>12</v>
      </c>
    </row>
    <row r="42" spans="1:10" x14ac:dyDescent="0.3">
      <c r="A42" s="220" t="s">
        <v>15</v>
      </c>
      <c r="B42" s="221" t="s">
        <v>18</v>
      </c>
      <c r="C42" s="221">
        <v>10142</v>
      </c>
      <c r="F42" s="1">
        <v>1</v>
      </c>
      <c r="G42" s="32">
        <v>0</v>
      </c>
      <c r="H42" s="32">
        <v>0</v>
      </c>
      <c r="I42" s="37">
        <f>G42-H42</f>
        <v>0</v>
      </c>
      <c r="J42" s="30">
        <v>5.8000000000000003E-2</v>
      </c>
    </row>
    <row r="43" spans="1:10" x14ac:dyDescent="0.3">
      <c r="B43" s="1"/>
      <c r="F43" s="1">
        <v>2</v>
      </c>
      <c r="G43" s="32">
        <v>399.92200000000003</v>
      </c>
      <c r="H43" s="32">
        <v>400</v>
      </c>
      <c r="I43" s="37">
        <f t="shared" ref="I43:I52" si="0">G43-H43</f>
        <v>-7.7999999999974534E-2</v>
      </c>
      <c r="J43" s="37">
        <v>6.6600000000000006E-2</v>
      </c>
    </row>
    <row r="44" spans="1:10" x14ac:dyDescent="0.3">
      <c r="A44" s="11"/>
      <c r="F44" s="1">
        <v>3</v>
      </c>
      <c r="G44" s="32">
        <v>699.97</v>
      </c>
      <c r="H44" s="32">
        <v>700</v>
      </c>
      <c r="I44" s="37">
        <f t="shared" si="0"/>
        <v>-2.9999999999972715E-2</v>
      </c>
      <c r="J44" s="37">
        <v>0.1</v>
      </c>
    </row>
    <row r="45" spans="1:10" x14ac:dyDescent="0.3">
      <c r="A45" s="11"/>
      <c r="B45" s="12"/>
      <c r="F45" s="1">
        <v>4</v>
      </c>
      <c r="G45" s="32">
        <v>999.95</v>
      </c>
      <c r="H45" s="32">
        <v>1000</v>
      </c>
      <c r="I45" s="37">
        <f t="shared" si="0"/>
        <v>-4.9999999999954525E-2</v>
      </c>
      <c r="J45" s="37">
        <v>0.15</v>
      </c>
    </row>
    <row r="46" spans="1:10" x14ac:dyDescent="0.3">
      <c r="F46" s="1">
        <v>5</v>
      </c>
      <c r="G46" s="32">
        <v>1499.95</v>
      </c>
      <c r="H46" s="32">
        <v>1500</v>
      </c>
      <c r="I46" s="37">
        <f t="shared" si="0"/>
        <v>-4.9999999999954525E-2</v>
      </c>
      <c r="J46" s="37">
        <v>0.17</v>
      </c>
    </row>
    <row r="47" spans="1:10" x14ac:dyDescent="0.3">
      <c r="F47" s="1">
        <v>6</v>
      </c>
      <c r="G47" s="32">
        <v>1999.9</v>
      </c>
      <c r="H47" s="32">
        <v>2000</v>
      </c>
      <c r="I47" s="37">
        <f t="shared" si="0"/>
        <v>-9.9999999999909051E-2</v>
      </c>
      <c r="J47" s="37">
        <v>0.18</v>
      </c>
    </row>
    <row r="48" spans="1:10" x14ac:dyDescent="0.3">
      <c r="F48" s="1">
        <v>7</v>
      </c>
      <c r="G48" s="32">
        <v>2499.85</v>
      </c>
      <c r="H48" s="32">
        <v>2500</v>
      </c>
      <c r="I48" s="37">
        <f t="shared" si="0"/>
        <v>-0.15000000000009095</v>
      </c>
      <c r="J48" s="37">
        <v>0.24</v>
      </c>
    </row>
    <row r="49" spans="1:10" x14ac:dyDescent="0.3">
      <c r="F49" s="1">
        <v>8</v>
      </c>
      <c r="G49" s="32">
        <v>2999.75</v>
      </c>
      <c r="H49" s="32">
        <v>3000</v>
      </c>
      <c r="I49" s="37">
        <f t="shared" si="0"/>
        <v>-0.25</v>
      </c>
      <c r="J49" s="37">
        <v>0.27</v>
      </c>
    </row>
    <row r="50" spans="1:10" x14ac:dyDescent="0.3">
      <c r="F50" s="1">
        <v>9</v>
      </c>
      <c r="G50" s="32">
        <v>3499.7</v>
      </c>
      <c r="H50" s="32">
        <v>3500</v>
      </c>
      <c r="I50" s="37">
        <f t="shared" si="0"/>
        <v>-0.3000000000001819</v>
      </c>
      <c r="J50" s="37">
        <v>0.28999999999999998</v>
      </c>
    </row>
    <row r="51" spans="1:10" x14ac:dyDescent="0.3">
      <c r="F51" s="1">
        <v>10</v>
      </c>
      <c r="G51" s="32">
        <v>3999.7</v>
      </c>
      <c r="H51" s="32">
        <v>4000</v>
      </c>
      <c r="I51" s="37">
        <f t="shared" si="0"/>
        <v>-0.3000000000001819</v>
      </c>
      <c r="J51" s="37">
        <v>0.33</v>
      </c>
    </row>
    <row r="52" spans="1:10" x14ac:dyDescent="0.3">
      <c r="F52" s="1">
        <v>11</v>
      </c>
      <c r="G52" s="32">
        <v>4999.62</v>
      </c>
      <c r="H52" s="32">
        <v>5000</v>
      </c>
      <c r="I52" s="37">
        <f t="shared" si="0"/>
        <v>-0.38000000000010914</v>
      </c>
      <c r="J52" s="37">
        <v>0.41</v>
      </c>
    </row>
    <row r="54" spans="1:10" ht="28.8" x14ac:dyDescent="0.3">
      <c r="F54" s="1" t="s">
        <v>40</v>
      </c>
      <c r="G54" s="6" t="s">
        <v>14</v>
      </c>
      <c r="H54" s="6" t="s">
        <v>86</v>
      </c>
      <c r="I54" s="5" t="s">
        <v>13</v>
      </c>
      <c r="J54" s="5" t="s">
        <v>12</v>
      </c>
    </row>
    <row r="55" spans="1:10" x14ac:dyDescent="0.3">
      <c r="A55" s="220" t="s">
        <v>15</v>
      </c>
      <c r="B55" s="221" t="s">
        <v>89</v>
      </c>
      <c r="C55" s="221" t="s">
        <v>317</v>
      </c>
      <c r="F55" s="1">
        <v>1</v>
      </c>
      <c r="G55" s="30">
        <v>0</v>
      </c>
      <c r="H55" s="37">
        <v>0.01</v>
      </c>
      <c r="I55" s="30">
        <v>5.0000000000000001E-3</v>
      </c>
      <c r="J55" s="2">
        <v>2.7E-2</v>
      </c>
    </row>
    <row r="56" spans="1:10" x14ac:dyDescent="0.3">
      <c r="B56" s="1"/>
      <c r="F56" s="1">
        <v>2</v>
      </c>
      <c r="G56" s="30">
        <v>3.0009999999999999</v>
      </c>
      <c r="H56" s="37">
        <v>2.99</v>
      </c>
      <c r="I56" s="30">
        <v>-1.0999999999999999E-2</v>
      </c>
      <c r="J56" s="2">
        <v>2.7E-2</v>
      </c>
    </row>
    <row r="57" spans="1:10" x14ac:dyDescent="0.3">
      <c r="A57" s="11"/>
      <c r="F57" s="1">
        <v>3</v>
      </c>
      <c r="G57" s="30">
        <v>5.0019999999999998</v>
      </c>
      <c r="H57" s="37">
        <v>4.9800000000000004</v>
      </c>
      <c r="I57" s="30">
        <v>-2.1999999999999999E-2</v>
      </c>
      <c r="J57" s="2">
        <v>2.7E-2</v>
      </c>
    </row>
    <row r="58" spans="1:10" x14ac:dyDescent="0.3">
      <c r="A58" s="11"/>
      <c r="B58" s="12"/>
      <c r="F58" s="1">
        <v>4</v>
      </c>
      <c r="G58" s="30">
        <v>10.002000000000001</v>
      </c>
      <c r="H58" s="37">
        <v>9.94</v>
      </c>
      <c r="I58" s="30">
        <v>-6.2E-2</v>
      </c>
      <c r="J58" s="2">
        <v>2.7E-2</v>
      </c>
    </row>
    <row r="59" spans="1:10" x14ac:dyDescent="0.3">
      <c r="F59" s="1">
        <v>5</v>
      </c>
      <c r="G59" s="30">
        <v>15.003</v>
      </c>
      <c r="H59" s="37">
        <v>14.95</v>
      </c>
      <c r="I59" s="30">
        <v>-5.2999999999999999E-2</v>
      </c>
      <c r="J59" s="2">
        <v>2.7E-2</v>
      </c>
    </row>
    <row r="60" spans="1:10" x14ac:dyDescent="0.3">
      <c r="F60" s="1">
        <v>6</v>
      </c>
      <c r="G60" s="30">
        <v>20.003</v>
      </c>
      <c r="H60" s="37">
        <v>19.96</v>
      </c>
      <c r="I60" s="30">
        <v>-0.43</v>
      </c>
      <c r="J60" s="2">
        <v>2.7E-2</v>
      </c>
    </row>
    <row r="61" spans="1:10" x14ac:dyDescent="0.3">
      <c r="F61" s="1">
        <v>7</v>
      </c>
      <c r="G61" s="30">
        <v>25.003</v>
      </c>
      <c r="H61" s="37">
        <v>25</v>
      </c>
      <c r="I61" s="30">
        <v>-8.0000000000000002E-3</v>
      </c>
      <c r="J61" s="2">
        <v>2.7E-2</v>
      </c>
    </row>
    <row r="62" spans="1:10" x14ac:dyDescent="0.3">
      <c r="F62" s="1">
        <v>8</v>
      </c>
      <c r="G62" s="30">
        <v>30.004000000000001</v>
      </c>
      <c r="H62" s="37">
        <v>30.04</v>
      </c>
      <c r="I62" s="30">
        <v>-3.5999999999999997E-2</v>
      </c>
      <c r="J62" s="2">
        <v>2.7E-2</v>
      </c>
    </row>
    <row r="63" spans="1:10" x14ac:dyDescent="0.3">
      <c r="F63" s="1">
        <v>9</v>
      </c>
      <c r="G63" s="30"/>
      <c r="H63" s="37"/>
      <c r="I63" s="30"/>
      <c r="J63" s="2"/>
    </row>
    <row r="64" spans="1:10" x14ac:dyDescent="0.3">
      <c r="F64" s="1">
        <v>10</v>
      </c>
      <c r="G64" s="30"/>
      <c r="H64" s="37"/>
      <c r="I64" s="30"/>
      <c r="J64" s="2"/>
    </row>
    <row r="65" spans="1:10" x14ac:dyDescent="0.3">
      <c r="F65" s="1">
        <v>11</v>
      </c>
      <c r="G65" s="30"/>
      <c r="H65" s="37"/>
      <c r="I65" s="30"/>
      <c r="J65" s="2"/>
    </row>
    <row r="67" spans="1:10" ht="28.8" x14ac:dyDescent="0.3">
      <c r="F67" s="1" t="s">
        <v>40</v>
      </c>
      <c r="G67" s="6" t="s">
        <v>14</v>
      </c>
      <c r="H67" s="6" t="s">
        <v>86</v>
      </c>
      <c r="I67" s="5" t="s">
        <v>13</v>
      </c>
      <c r="J67" s="5" t="s">
        <v>12</v>
      </c>
    </row>
    <row r="68" spans="1:10" x14ac:dyDescent="0.3">
      <c r="F68" s="1">
        <v>1</v>
      </c>
      <c r="G68" s="30">
        <v>0</v>
      </c>
      <c r="H68" s="37">
        <v>0.01</v>
      </c>
      <c r="I68" s="30">
        <v>5.0000000000000001E-3</v>
      </c>
      <c r="J68" s="2">
        <v>2.7E-2</v>
      </c>
    </row>
    <row r="69" spans="1:10" x14ac:dyDescent="0.3">
      <c r="A69" s="220" t="s">
        <v>15</v>
      </c>
      <c r="B69" s="221" t="s">
        <v>89</v>
      </c>
      <c r="C69" s="221" t="s">
        <v>317</v>
      </c>
      <c r="F69" s="1">
        <v>2</v>
      </c>
      <c r="G69" s="30">
        <v>3.0009999999999999</v>
      </c>
      <c r="H69" s="37">
        <v>2.99</v>
      </c>
      <c r="I69" s="30">
        <v>-1.0999999999999999E-2</v>
      </c>
      <c r="J69" s="2">
        <v>2.7E-2</v>
      </c>
    </row>
    <row r="70" spans="1:10" x14ac:dyDescent="0.3">
      <c r="B70" s="1"/>
      <c r="F70" s="1">
        <v>3</v>
      </c>
      <c r="G70" s="30">
        <v>5.0019999999999998</v>
      </c>
      <c r="H70" s="37">
        <v>4.9800000000000004</v>
      </c>
      <c r="I70" s="30">
        <v>-2.1999999999999999E-2</v>
      </c>
      <c r="J70" s="2">
        <v>2.7E-2</v>
      </c>
    </row>
    <row r="71" spans="1:10" x14ac:dyDescent="0.3">
      <c r="A71" s="11"/>
      <c r="F71" s="1">
        <v>4</v>
      </c>
      <c r="G71" s="30">
        <v>10.002000000000001</v>
      </c>
      <c r="H71" s="37">
        <v>9.94</v>
      </c>
      <c r="I71" s="30">
        <v>-6.2E-2</v>
      </c>
      <c r="J71" s="2">
        <v>2.7E-2</v>
      </c>
    </row>
    <row r="72" spans="1:10" x14ac:dyDescent="0.3">
      <c r="A72" s="11"/>
      <c r="B72" s="12"/>
      <c r="F72" s="1">
        <v>5</v>
      </c>
      <c r="G72" s="30">
        <v>15.003</v>
      </c>
      <c r="H72" s="37">
        <v>14.95</v>
      </c>
      <c r="I72" s="30">
        <v>-5.2999999999999999E-2</v>
      </c>
      <c r="J72" s="2">
        <v>2.7E-2</v>
      </c>
    </row>
    <row r="73" spans="1:10" x14ac:dyDescent="0.3">
      <c r="F73" s="1">
        <v>6</v>
      </c>
      <c r="G73" s="30">
        <v>20.003</v>
      </c>
      <c r="H73" s="37">
        <v>19.96</v>
      </c>
      <c r="I73" s="30">
        <v>-0.43</v>
      </c>
      <c r="J73" s="2">
        <v>2.7E-2</v>
      </c>
    </row>
    <row r="74" spans="1:10" x14ac:dyDescent="0.3">
      <c r="F74" s="1">
        <v>7</v>
      </c>
      <c r="G74" s="30">
        <v>25.003</v>
      </c>
      <c r="H74" s="37">
        <v>25</v>
      </c>
      <c r="I74" s="30">
        <v>-8.0000000000000002E-3</v>
      </c>
      <c r="J74" s="2">
        <v>2.7E-2</v>
      </c>
    </row>
    <row r="75" spans="1:10" x14ac:dyDescent="0.3">
      <c r="F75" s="1">
        <v>8</v>
      </c>
      <c r="G75" s="30">
        <v>30.004000000000001</v>
      </c>
      <c r="H75" s="37">
        <v>30.04</v>
      </c>
      <c r="I75" s="30">
        <v>-3.5999999999999997E-2</v>
      </c>
      <c r="J75" s="2">
        <v>2.7E-2</v>
      </c>
    </row>
    <row r="76" spans="1:10" x14ac:dyDescent="0.3">
      <c r="F76" s="1">
        <v>9</v>
      </c>
      <c r="G76" s="30"/>
      <c r="H76" s="37"/>
      <c r="I76" s="30"/>
      <c r="J76" s="2"/>
    </row>
    <row r="77" spans="1:10" x14ac:dyDescent="0.3">
      <c r="F77" s="1">
        <v>10</v>
      </c>
      <c r="G77" s="30"/>
      <c r="H77" s="37"/>
      <c r="I77" s="30"/>
      <c r="J77" s="2"/>
    </row>
    <row r="78" spans="1:10" x14ac:dyDescent="0.3">
      <c r="F78" s="1">
        <v>11</v>
      </c>
      <c r="G78" s="30"/>
      <c r="H78" s="37"/>
      <c r="I78" s="30"/>
      <c r="J7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Base Patrones Presion</vt:lpstr>
      <vt:lpstr>TOMA DE DATOS</vt:lpstr>
      <vt:lpstr>Tabla de resultados</vt:lpstr>
      <vt:lpstr>CALCULO DE INCERTIDUMBRES</vt:lpstr>
      <vt:lpstr>CONVERSION</vt:lpstr>
      <vt:lpstr>TRAZABILIDAD</vt:lpstr>
      <vt:lpstr>Hoja1</vt:lpstr>
      <vt:lpstr>'Tabla de resultados'!Área_de_impresión</vt:lpstr>
      <vt:lpstr>'TOMA DE DATOS'!Área_de_impresión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Calibrador numero 3</dc:creator>
  <cp:lastModifiedBy>a3518</cp:lastModifiedBy>
  <cp:lastPrinted>2025-11-10T20:27:28Z</cp:lastPrinted>
  <dcterms:created xsi:type="dcterms:W3CDTF">2020-02-25T16:04:20Z</dcterms:created>
  <dcterms:modified xsi:type="dcterms:W3CDTF">2026-04-24T16:29:16Z</dcterms:modified>
</cp:coreProperties>
</file>