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drawings/drawing2.xml" ContentType="application/vnd.openxmlformats-officedocument.drawing+xml"/>
  <Override PartName="/xl/embeddings/oleObject2.bin" ContentType="application/vnd.openxmlformats-officedocument.oleObject"/>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omments4.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M:\1- LABORATORIO DE CALIBRACION\1-CALIBRACIONES\2026\Certificados\Acreditados\VOLUMEN\"/>
    </mc:Choice>
  </mc:AlternateContent>
  <xr:revisionPtr revIDLastSave="0" documentId="13_ncr:1_{A9F14D53-D2E1-435E-98D8-A888263B1F86}" xr6:coauthVersionLast="47" xr6:coauthVersionMax="47" xr10:uidLastSave="{00000000-0000-0000-0000-000000000000}"/>
  <workbookProtection workbookPassword="CB3C" lockStructure="1"/>
  <bookViews>
    <workbookView xWindow="-120" yWindow="-120" windowWidth="20730" windowHeight="11160" tabRatio="781" xr2:uid="{00000000-000D-0000-FFFF-FFFF00000000}"/>
  </bookViews>
  <sheets>
    <sheet name="DATOS GENERALES" sheetId="11" r:id="rId1"/>
    <sheet name="Certificado de calibración" sheetId="16" r:id="rId2"/>
    <sheet name="Trazabilidad" sheetId="28" state="hidden" r:id="rId3"/>
    <sheet name="Calculo P Conformidad" sheetId="29" state="hidden" r:id="rId4"/>
    <sheet name="INCERTIDUMBRE DE LA MEDIDA" sheetId="26" state="hidden" r:id="rId5"/>
    <sheet name="DATOS CORRECCIONES EQUIPOS EMPL" sheetId="21" state="hidden" r:id="rId6"/>
    <sheet name="DENSIDAD DEL AIRE " sheetId="20" state="hidden" r:id="rId7"/>
    <sheet name="Densidad del Agua" sheetId="22" state="hidden" r:id="rId8"/>
    <sheet name="Chequeo Balanza " sheetId="23" r:id="rId9"/>
    <sheet name="medicion conductividad del agua" sheetId="24" r:id="rId10"/>
    <sheet name="Hoja2" sheetId="30" state="hidden" r:id="rId11"/>
    <sheet name="Alcance" sheetId="27" state="hidden" r:id="rId12"/>
  </sheets>
  <externalReferences>
    <externalReference r:id="rId13"/>
    <externalReference r:id="rId14"/>
    <externalReference r:id="rId15"/>
  </externalReferences>
  <definedNames>
    <definedName name="_xlnm.Print_Area" localSheetId="1">'Certificado de calibración'!$A$5:$AA$126</definedName>
    <definedName name="_xlnm.Print_Area" localSheetId="0">'DATOS GENERALES'!$A$1:$AA$161</definedName>
    <definedName name="_xlnm.Print_Area" localSheetId="4">'INCERTIDUMBRE DE LA MEDIDA'!$A$1:$AB$308</definedName>
    <definedName name="Cargo" localSheetId="4">#REF!</definedName>
    <definedName name="Cargo" localSheetId="2">#REF!</definedName>
    <definedName name="Cargo">#REF!</definedName>
    <definedName name="CARRO" localSheetId="2">#REF!</definedName>
    <definedName name="CARRO">#REF!</definedName>
    <definedName name="CESAR">#REF!</definedName>
    <definedName name="Clase" localSheetId="4">#REF!</definedName>
    <definedName name="Clase">#REF!</definedName>
    <definedName name="Codigo" localSheetId="4">#REF!</definedName>
    <definedName name="Codigo">#REF!</definedName>
    <definedName name="División_de_verificación" localSheetId="4">#REF!</definedName>
    <definedName name="División_de_verificación">#REF!</definedName>
    <definedName name="Excentricidad" localSheetId="4">#REF!</definedName>
    <definedName name="Excentricidad">#REF!</definedName>
    <definedName name="Max" localSheetId="4">#REF!</definedName>
    <definedName name="Max">#REF!</definedName>
    <definedName name="Min" localSheetId="4">#REF!</definedName>
    <definedName name="Min">#REF!</definedName>
    <definedName name="MOTO">#REF!</definedName>
    <definedName name="Nombres" localSheetId="4">#REF!</definedName>
    <definedName name="Nombres">#REF!</definedName>
    <definedName name="Patrón" localSheetId="4">#REF!</definedName>
    <definedName name="Patrón">#REF!</definedName>
    <definedName name="Repetibilidad" localSheetId="4">#REF!</definedName>
    <definedName name="Repetibilidad">#REF!</definedName>
    <definedName name="Resolucion" localSheetId="4">#REF!</definedName>
    <definedName name="Resolucion">#REF!</definedName>
    <definedName name="Resolución" localSheetId="4">#REF!</definedName>
    <definedName name="Resolución">#REF!</definedName>
    <definedName name="Temperatura" localSheetId="4">#REF!</definedName>
    <definedName name="Temperatura">#REF!</definedName>
    <definedName name="U0" localSheetId="4">#REF!</definedName>
    <definedName name="U0">#REF!</definedName>
    <definedName name="Umax" localSheetId="4">#REF!</definedName>
    <definedName name="Umax">#REF!</definedName>
    <definedName name="Unidades" localSheetId="4">#REF!</definedName>
    <definedName name="Unidades">#REF!</definedName>
  </definedNames>
  <calcPr calcId="191029"/>
</workbook>
</file>

<file path=xl/calcChain.xml><?xml version="1.0" encoding="utf-8"?>
<calcChain xmlns="http://schemas.openxmlformats.org/spreadsheetml/2006/main">
  <c r="T24" i="16" l="1"/>
  <c r="A122" i="16"/>
  <c r="W5" i="28"/>
  <c r="Y5" i="28" s="1"/>
  <c r="J5" i="23"/>
  <c r="L5" i="23"/>
  <c r="N5" i="23" s="1"/>
  <c r="P5" i="23"/>
  <c r="R5" i="23" s="1"/>
  <c r="S5" i="23"/>
  <c r="L6" i="23"/>
  <c r="P6" i="23"/>
  <c r="S6" i="23"/>
  <c r="L7" i="23"/>
  <c r="P7" i="23"/>
  <c r="S7" i="23"/>
  <c r="M9" i="23"/>
  <c r="M8" i="23" s="1"/>
  <c r="L10" i="23"/>
  <c r="L9" i="23" s="1"/>
  <c r="L8" i="23" s="1"/>
  <c r="M10" i="23"/>
  <c r="Z10" i="23"/>
  <c r="AA10" i="23"/>
  <c r="AB10" i="23"/>
  <c r="X11" i="23"/>
  <c r="Z11" i="23"/>
  <c r="AA11" i="23"/>
  <c r="AB11" i="23"/>
  <c r="Z12" i="23"/>
  <c r="AA12" i="23"/>
  <c r="AB12" i="23"/>
  <c r="R13" i="23"/>
  <c r="Z13" i="23"/>
  <c r="AA13" i="23"/>
  <c r="AB13" i="23"/>
  <c r="R14" i="23"/>
  <c r="Z14" i="23"/>
  <c r="AA14" i="23"/>
  <c r="AB14" i="23"/>
  <c r="R15" i="23"/>
  <c r="Z15" i="23"/>
  <c r="AA15" i="23"/>
  <c r="AB15" i="23"/>
  <c r="R16" i="23"/>
  <c r="Z16" i="23"/>
  <c r="AA16" i="23"/>
  <c r="AB16" i="23"/>
  <c r="E17" i="23"/>
  <c r="F17" i="23" s="1"/>
  <c r="R17" i="23"/>
  <c r="Z17" i="23"/>
  <c r="AA17" i="23"/>
  <c r="AB17" i="23"/>
  <c r="D18" i="23"/>
  <c r="E18" i="23"/>
  <c r="F18" i="23" s="1"/>
  <c r="J18" i="23"/>
  <c r="R18" i="23"/>
  <c r="Z18" i="23"/>
  <c r="AA18" i="23"/>
  <c r="AB18" i="23"/>
  <c r="D19" i="23"/>
  <c r="J19" i="23"/>
  <c r="R19" i="23"/>
  <c r="Z19" i="23"/>
  <c r="AA19" i="23"/>
  <c r="AB19" i="23"/>
  <c r="D20" i="23"/>
  <c r="J20" i="23"/>
  <c r="R20" i="23"/>
  <c r="Z20" i="23"/>
  <c r="AA20" i="23"/>
  <c r="AB20" i="23"/>
  <c r="D21" i="23"/>
  <c r="J21" i="23"/>
  <c r="R21" i="23"/>
  <c r="Z21" i="23"/>
  <c r="AA21" i="23"/>
  <c r="AB21" i="23"/>
  <c r="D22" i="23"/>
  <c r="J22" i="23"/>
  <c r="R22" i="23"/>
  <c r="D23" i="23"/>
  <c r="J23" i="23"/>
  <c r="R23" i="23"/>
  <c r="X23" i="23"/>
  <c r="Z23" i="23"/>
  <c r="AA23" i="23"/>
  <c r="AB23" i="23"/>
  <c r="D24" i="23"/>
  <c r="J24" i="23"/>
  <c r="R24" i="23"/>
  <c r="Z24" i="23"/>
  <c r="AA24" i="23"/>
  <c r="AB24" i="23"/>
  <c r="R25" i="23"/>
  <c r="Z25" i="23"/>
  <c r="AA25" i="23"/>
  <c r="AB25" i="23"/>
  <c r="Z26" i="23"/>
  <c r="AA26" i="23"/>
  <c r="AB26" i="23"/>
  <c r="Z27" i="23"/>
  <c r="AA27" i="23"/>
  <c r="AB27" i="23"/>
  <c r="Z28" i="23"/>
  <c r="AA28" i="23"/>
  <c r="AB28" i="23"/>
  <c r="D29" i="23"/>
  <c r="J29" i="23"/>
  <c r="L29" i="23"/>
  <c r="N29" i="23"/>
  <c r="Z29" i="23"/>
  <c r="AA29" i="23"/>
  <c r="AB29" i="23"/>
  <c r="D30" i="23"/>
  <c r="J30" i="23"/>
  <c r="Z30" i="23"/>
  <c r="AA30" i="23"/>
  <c r="AB30" i="23"/>
  <c r="D31" i="23"/>
  <c r="J31" i="23"/>
  <c r="Z31" i="23"/>
  <c r="AA31" i="23"/>
  <c r="AB31" i="23"/>
  <c r="D32" i="23"/>
  <c r="J32" i="23"/>
  <c r="Z32" i="23"/>
  <c r="AA32" i="23"/>
  <c r="AB32" i="23"/>
  <c r="D33" i="23"/>
  <c r="J33" i="23"/>
  <c r="L33" i="23"/>
  <c r="N33" i="23"/>
  <c r="Z33" i="23"/>
  <c r="AA33" i="23"/>
  <c r="AB33" i="23"/>
  <c r="D34" i="23"/>
  <c r="J34" i="23"/>
  <c r="D35" i="23"/>
  <c r="J35" i="23"/>
  <c r="X35" i="23"/>
  <c r="Z35" i="23"/>
  <c r="AA35" i="23"/>
  <c r="AB35" i="23"/>
  <c r="Z36" i="23"/>
  <c r="AA36" i="23"/>
  <c r="AB36" i="23"/>
  <c r="Z37" i="23"/>
  <c r="AA37" i="23"/>
  <c r="AB37" i="23"/>
  <c r="Z38" i="23"/>
  <c r="AA38" i="23"/>
  <c r="AB38" i="23"/>
  <c r="Z39" i="23"/>
  <c r="AA39" i="23"/>
  <c r="AB39" i="23"/>
  <c r="L40" i="23"/>
  <c r="N40" i="23"/>
  <c r="Z40" i="23"/>
  <c r="AA40" i="23"/>
  <c r="AB40" i="23"/>
  <c r="Z41" i="23"/>
  <c r="AA41" i="23"/>
  <c r="AB41" i="23"/>
  <c r="Z42" i="23"/>
  <c r="AA42" i="23"/>
  <c r="AB42" i="23"/>
  <c r="Z43" i="23"/>
  <c r="AA43" i="23"/>
  <c r="AB43" i="23"/>
  <c r="L44" i="23"/>
  <c r="N44" i="23"/>
  <c r="Z44" i="23"/>
  <c r="AA44" i="23"/>
  <c r="AB44" i="23"/>
  <c r="Z45" i="23"/>
  <c r="AA45" i="23"/>
  <c r="AB45" i="23"/>
  <c r="B71" i="28"/>
  <c r="B70" i="28"/>
  <c r="B69" i="28"/>
  <c r="B56" i="28"/>
  <c r="B55" i="28"/>
  <c r="B54" i="28"/>
  <c r="B41" i="28"/>
  <c r="B40" i="28"/>
  <c r="B39" i="28"/>
  <c r="AC17" i="28"/>
  <c r="AC16" i="28"/>
  <c r="AC15" i="28"/>
  <c r="AC14" i="28"/>
  <c r="AC13" i="28"/>
  <c r="AC12" i="28"/>
  <c r="AC11" i="28"/>
  <c r="AC10" i="28"/>
  <c r="AC9" i="28"/>
  <c r="Z9" i="28"/>
  <c r="Y9" i="28"/>
  <c r="X9" i="28"/>
  <c r="W9" i="28"/>
  <c r="V9" i="28"/>
  <c r="U9" i="28"/>
  <c r="AC8" i="28"/>
  <c r="AC7" i="28"/>
  <c r="B7" i="28"/>
  <c r="AC6" i="28"/>
  <c r="B6" i="28"/>
  <c r="AC5" i="28"/>
  <c r="C24" i="23" l="1"/>
  <c r="M40" i="23" s="1"/>
  <c r="M41" i="23" s="1"/>
  <c r="C34" i="23"/>
  <c r="M33" i="23" s="1"/>
  <c r="M34" i="23" s="1"/>
  <c r="I35" i="23"/>
  <c r="O44" i="23" s="1"/>
  <c r="O45" i="23" s="1"/>
  <c r="C23" i="23"/>
  <c r="M29" i="23" s="1"/>
  <c r="M30" i="23" s="1"/>
  <c r="I23" i="23"/>
  <c r="O29" i="23" s="1"/>
  <c r="O30" i="23" s="1"/>
  <c r="I24" i="23"/>
  <c r="O40" i="23" s="1"/>
  <c r="O41" i="23" s="1"/>
  <c r="I34" i="23"/>
  <c r="O33" i="23" s="1"/>
  <c r="O34" i="23" s="1"/>
  <c r="C35" i="23"/>
  <c r="M44" i="23" s="1"/>
  <c r="M45" i="23" s="1"/>
  <c r="X5" i="28"/>
  <c r="P41" i="11"/>
  <c r="P40" i="11"/>
  <c r="P39" i="11"/>
  <c r="P38" i="11"/>
  <c r="P37" i="11"/>
  <c r="Y74" i="16"/>
  <c r="A6" i="26"/>
  <c r="A57" i="16" l="1"/>
  <c r="S83" i="11"/>
  <c r="S115" i="11"/>
  <c r="S99" i="11"/>
  <c r="F50" i="11"/>
  <c r="A50" i="11"/>
  <c r="D58" i="24" l="1"/>
  <c r="D57" i="24"/>
  <c r="E53" i="24"/>
  <c r="E52" i="24"/>
  <c r="E18" i="24"/>
  <c r="E17" i="24"/>
  <c r="L25" i="11" l="1"/>
  <c r="L26" i="11"/>
  <c r="E12" i="16"/>
  <c r="A118" i="16" l="1"/>
  <c r="O137" i="30"/>
  <c r="N129" i="30"/>
  <c r="O129" i="30"/>
  <c r="N131" i="30"/>
  <c r="O131" i="30"/>
  <c r="N137" i="30"/>
  <c r="N138" i="30"/>
  <c r="O138" i="30"/>
  <c r="N139" i="30"/>
  <c r="O139" i="30"/>
  <c r="N141" i="30"/>
  <c r="O141" i="30"/>
  <c r="N145" i="30"/>
  <c r="O145" i="30"/>
  <c r="N149" i="30"/>
  <c r="O149" i="30"/>
  <c r="N153" i="30"/>
  <c r="O153" i="30"/>
  <c r="N155" i="30"/>
  <c r="O155" i="30"/>
  <c r="N160" i="30"/>
  <c r="O160" i="30"/>
  <c r="N172" i="30"/>
  <c r="O172" i="30"/>
  <c r="N176" i="30"/>
  <c r="O176" i="30"/>
  <c r="O177" i="30"/>
  <c r="O178" i="30"/>
  <c r="O179" i="30"/>
  <c r="N180" i="30"/>
  <c r="O180" i="30"/>
  <c r="N68" i="30"/>
  <c r="O68" i="30"/>
  <c r="N70" i="30"/>
  <c r="O70" i="30"/>
  <c r="N76" i="30"/>
  <c r="O76" i="30"/>
  <c r="N77" i="30"/>
  <c r="O77" i="30"/>
  <c r="N78" i="30"/>
  <c r="O78" i="30"/>
  <c r="N80" i="30"/>
  <c r="O80" i="30"/>
  <c r="N84" i="30"/>
  <c r="O84" i="30"/>
  <c r="N88" i="30"/>
  <c r="O88" i="30"/>
  <c r="N92" i="30"/>
  <c r="O92" i="30"/>
  <c r="N94" i="30"/>
  <c r="O94" i="30"/>
  <c r="N99" i="30"/>
  <c r="O99" i="30"/>
  <c r="N111" i="30"/>
  <c r="O111" i="30"/>
  <c r="N115" i="30"/>
  <c r="O115" i="30"/>
  <c r="O116" i="30"/>
  <c r="O117" i="30"/>
  <c r="O118" i="30"/>
  <c r="N119" i="30"/>
  <c r="O119" i="30"/>
  <c r="N120" i="30"/>
  <c r="O120" i="30"/>
  <c r="O7" i="30"/>
  <c r="O9" i="30"/>
  <c r="O15" i="30"/>
  <c r="O16" i="30"/>
  <c r="O17" i="30"/>
  <c r="O19" i="30"/>
  <c r="O23" i="30"/>
  <c r="O27" i="30"/>
  <c r="O31" i="30"/>
  <c r="O33" i="30"/>
  <c r="O38" i="30"/>
  <c r="O50" i="30"/>
  <c r="O54" i="30"/>
  <c r="O55" i="30"/>
  <c r="O56" i="30"/>
  <c r="O57" i="30"/>
  <c r="O58" i="30"/>
  <c r="O59" i="30"/>
  <c r="N7" i="30"/>
  <c r="N9" i="30"/>
  <c r="N15" i="30"/>
  <c r="N16" i="30"/>
  <c r="N17" i="30"/>
  <c r="N19" i="30"/>
  <c r="N23" i="30"/>
  <c r="N27" i="30"/>
  <c r="N31" i="30"/>
  <c r="N33" i="30"/>
  <c r="N38" i="30"/>
  <c r="N50" i="30"/>
  <c r="N54" i="30"/>
  <c r="N58" i="30"/>
  <c r="T149" i="30"/>
  <c r="T148" i="30"/>
  <c r="T147" i="30"/>
  <c r="T146" i="30"/>
  <c r="T145" i="30"/>
  <c r="T144" i="30"/>
  <c r="T143" i="30"/>
  <c r="T140" i="30"/>
  <c r="S140" i="30"/>
  <c r="T138" i="30"/>
  <c r="S138" i="30"/>
  <c r="T137" i="30"/>
  <c r="S137" i="30"/>
  <c r="T136" i="30"/>
  <c r="S136" i="30"/>
  <c r="T135" i="30"/>
  <c r="S135" i="30"/>
  <c r="T134" i="30"/>
  <c r="S134" i="30"/>
  <c r="T133" i="30"/>
  <c r="S133" i="30"/>
  <c r="T132" i="30"/>
  <c r="S132" i="30"/>
  <c r="T131" i="30"/>
  <c r="S131" i="30"/>
  <c r="T130" i="30"/>
  <c r="S130" i="30"/>
  <c r="T129" i="30"/>
  <c r="S129" i="30"/>
  <c r="T128" i="30"/>
  <c r="S128" i="30"/>
  <c r="T127" i="30"/>
  <c r="S127" i="30"/>
  <c r="T126" i="30"/>
  <c r="T142" i="30" s="1"/>
  <c r="S126" i="30"/>
  <c r="S124" i="30"/>
  <c r="T88" i="30"/>
  <c r="T87" i="30"/>
  <c r="T86" i="30"/>
  <c r="T85" i="30"/>
  <c r="T84" i="30"/>
  <c r="T83" i="30"/>
  <c r="T82" i="30"/>
  <c r="T79" i="30"/>
  <c r="S79" i="30"/>
  <c r="T77" i="30"/>
  <c r="S77" i="30"/>
  <c r="T76" i="30"/>
  <c r="S76" i="30"/>
  <c r="T75" i="30"/>
  <c r="S75" i="30"/>
  <c r="T74" i="30"/>
  <c r="S74" i="30"/>
  <c r="T73" i="30"/>
  <c r="S73" i="30"/>
  <c r="T72" i="30"/>
  <c r="S72" i="30"/>
  <c r="T71" i="30"/>
  <c r="S71" i="30"/>
  <c r="T70" i="30"/>
  <c r="S70" i="30"/>
  <c r="T69" i="30"/>
  <c r="S69" i="30"/>
  <c r="T68" i="30"/>
  <c r="S68" i="30"/>
  <c r="T67" i="30"/>
  <c r="S67" i="30"/>
  <c r="T66" i="30"/>
  <c r="S66" i="30"/>
  <c r="T65" i="30"/>
  <c r="T81" i="30" s="1"/>
  <c r="S65" i="30"/>
  <c r="S63" i="30"/>
  <c r="T27" i="30"/>
  <c r="T26" i="30"/>
  <c r="T25" i="30"/>
  <c r="T24" i="30"/>
  <c r="T23" i="30"/>
  <c r="T22" i="30"/>
  <c r="T21" i="30"/>
  <c r="T18" i="30"/>
  <c r="S18" i="30"/>
  <c r="T16" i="30"/>
  <c r="S16" i="30"/>
  <c r="T15" i="30"/>
  <c r="S15" i="30"/>
  <c r="T14" i="30"/>
  <c r="S14" i="30"/>
  <c r="T13" i="30"/>
  <c r="S13" i="30"/>
  <c r="T12" i="30"/>
  <c r="S12" i="30"/>
  <c r="T11" i="30"/>
  <c r="S11" i="30"/>
  <c r="T10" i="30"/>
  <c r="S10" i="30"/>
  <c r="T9" i="30"/>
  <c r="S9" i="30"/>
  <c r="T8" i="30"/>
  <c r="S8" i="30"/>
  <c r="T7" i="30"/>
  <c r="S7" i="30"/>
  <c r="T6" i="30"/>
  <c r="S6" i="30"/>
  <c r="T5" i="30"/>
  <c r="S5" i="30"/>
  <c r="T4" i="30"/>
  <c r="T20" i="30" s="1"/>
  <c r="S4" i="30"/>
  <c r="S2" i="30"/>
  <c r="Q41" i="11" l="1"/>
  <c r="S41" i="11" s="1"/>
  <c r="Q38" i="11"/>
  <c r="S38" i="11" s="1"/>
  <c r="Q39" i="11"/>
  <c r="S39" i="11" s="1"/>
  <c r="Q40" i="11"/>
  <c r="S40" i="11" s="1"/>
  <c r="Q37" i="11"/>
  <c r="J41" i="11"/>
  <c r="N67" i="16" l="1"/>
  <c r="S37" i="11"/>
  <c r="P70" i="16"/>
  <c r="N69" i="16"/>
  <c r="AD68" i="16"/>
  <c r="O73" i="16"/>
  <c r="V26" i="16"/>
  <c r="V25" i="16"/>
  <c r="E72" i="29" l="1"/>
  <c r="B72" i="29"/>
  <c r="V96" i="29"/>
  <c r="T96" i="29"/>
  <c r="V88" i="29"/>
  <c r="T88" i="29"/>
  <c r="V80" i="29"/>
  <c r="T80" i="29"/>
  <c r="Q86" i="29"/>
  <c r="Q94" i="29" s="1"/>
  <c r="P86" i="29"/>
  <c r="P94" i="29" s="1"/>
  <c r="O86" i="29"/>
  <c r="O94" i="29" s="1"/>
  <c r="Q91" i="29"/>
  <c r="S91" i="29" s="1"/>
  <c r="Q90" i="29"/>
  <c r="S90" i="29" s="1"/>
  <c r="Q89" i="29"/>
  <c r="S89" i="29" s="1"/>
  <c r="N91" i="29"/>
  <c r="N99" i="29" s="1"/>
  <c r="N90" i="29"/>
  <c r="N89" i="29"/>
  <c r="N88" i="29"/>
  <c r="N96" i="29" s="1"/>
  <c r="Q70" i="29"/>
  <c r="Q78" i="29" s="1"/>
  <c r="P70" i="29"/>
  <c r="P78" i="29" s="1"/>
  <c r="O70" i="29"/>
  <c r="O78" i="29" s="1"/>
  <c r="Q75" i="29"/>
  <c r="Q83" i="29" s="1"/>
  <c r="Q74" i="29"/>
  <c r="Q82" i="29" s="1"/>
  <c r="Q73" i="29"/>
  <c r="Q81" i="29" s="1"/>
  <c r="N72" i="29"/>
  <c r="N80" i="29" s="1"/>
  <c r="N75" i="29"/>
  <c r="N83" i="29" s="1"/>
  <c r="N74" i="29"/>
  <c r="N82" i="29" s="1"/>
  <c r="N73" i="29"/>
  <c r="N81" i="29" s="1"/>
  <c r="V85" i="29" l="1"/>
  <c r="X85" i="29"/>
  <c r="W90" i="29"/>
  <c r="O72" i="29"/>
  <c r="W89" i="29"/>
  <c r="Q97" i="29"/>
  <c r="S97" i="29" s="1"/>
  <c r="U90" i="29"/>
  <c r="W91" i="29"/>
  <c r="U91" i="29"/>
  <c r="N97" i="29"/>
  <c r="Q98" i="29"/>
  <c r="S98" i="29" s="1"/>
  <c r="O88" i="29"/>
  <c r="U89" i="29"/>
  <c r="N98" i="29"/>
  <c r="Q99" i="29"/>
  <c r="S99" i="29" s="1"/>
  <c r="Q147" i="29"/>
  <c r="S147" i="29" s="1"/>
  <c r="P147" i="29"/>
  <c r="Y147" i="29" s="1"/>
  <c r="Z147" i="29" s="1"/>
  <c r="O147" i="29"/>
  <c r="N147" i="29"/>
  <c r="M147" i="29"/>
  <c r="K147" i="29"/>
  <c r="J147" i="29"/>
  <c r="Q146" i="29"/>
  <c r="S146" i="29" s="1"/>
  <c r="P146" i="29"/>
  <c r="Y146" i="29" s="1"/>
  <c r="Z146" i="29" s="1"/>
  <c r="O146" i="29"/>
  <c r="N146" i="29"/>
  <c r="M146" i="29"/>
  <c r="K146" i="29"/>
  <c r="J146" i="29"/>
  <c r="Q145" i="29"/>
  <c r="S145" i="29" s="1"/>
  <c r="P145" i="29"/>
  <c r="Y145" i="29" s="1"/>
  <c r="Z145" i="29" s="1"/>
  <c r="O145" i="29"/>
  <c r="N145" i="29"/>
  <c r="M145" i="29"/>
  <c r="K145" i="29"/>
  <c r="J145" i="29"/>
  <c r="Q144" i="29"/>
  <c r="P144" i="29"/>
  <c r="O144" i="29"/>
  <c r="N144" i="29"/>
  <c r="Y139" i="29"/>
  <c r="Z139" i="29" s="1"/>
  <c r="S139" i="29"/>
  <c r="R139" i="29"/>
  <c r="X139" i="29" s="1"/>
  <c r="Y138" i="29"/>
  <c r="Z138" i="29" s="1"/>
  <c r="S138" i="29"/>
  <c r="R138" i="29"/>
  <c r="X138" i="29" s="1"/>
  <c r="Y137" i="29"/>
  <c r="Z137" i="29" s="1"/>
  <c r="S137" i="29"/>
  <c r="W137" i="29" s="1"/>
  <c r="R137" i="29"/>
  <c r="X137" i="29" s="1"/>
  <c r="Y131" i="29"/>
  <c r="Z131" i="29" s="1"/>
  <c r="S131" i="29"/>
  <c r="W131" i="29" s="1"/>
  <c r="R131" i="29"/>
  <c r="X131" i="29" s="1"/>
  <c r="Y130" i="29"/>
  <c r="Z130" i="29" s="1"/>
  <c r="S130" i="29"/>
  <c r="U130" i="29" s="1"/>
  <c r="R130" i="29"/>
  <c r="X130" i="29" s="1"/>
  <c r="Y129" i="29"/>
  <c r="Z129" i="29" s="1"/>
  <c r="S129" i="29"/>
  <c r="W129" i="29" s="1"/>
  <c r="R129" i="29"/>
  <c r="X129" i="29" s="1"/>
  <c r="Y123" i="29"/>
  <c r="Z123" i="29" s="1"/>
  <c r="S123" i="29"/>
  <c r="R123" i="29"/>
  <c r="X123" i="29" s="1"/>
  <c r="Y122" i="29"/>
  <c r="Z122" i="29" s="1"/>
  <c r="S122" i="29"/>
  <c r="R122" i="29"/>
  <c r="X122" i="29" s="1"/>
  <c r="Y121" i="29"/>
  <c r="Z121" i="29" s="1"/>
  <c r="S121" i="29"/>
  <c r="W121" i="29" s="1"/>
  <c r="R121" i="29"/>
  <c r="X121" i="29" s="1"/>
  <c r="Y115" i="29"/>
  <c r="Z115" i="29" s="1"/>
  <c r="S115" i="29"/>
  <c r="W115" i="29" s="1"/>
  <c r="R115" i="29"/>
  <c r="X115" i="29" s="1"/>
  <c r="Y114" i="29"/>
  <c r="Z114" i="29" s="1"/>
  <c r="S114" i="29"/>
  <c r="U114" i="29" s="1"/>
  <c r="R114" i="29"/>
  <c r="X114" i="29" s="1"/>
  <c r="Y113" i="29"/>
  <c r="Z113" i="29" s="1"/>
  <c r="S113" i="29"/>
  <c r="W113" i="29" s="1"/>
  <c r="R113" i="29"/>
  <c r="X113" i="29" s="1"/>
  <c r="Y107" i="29"/>
  <c r="Z107" i="29" s="1"/>
  <c r="S107" i="29"/>
  <c r="R107" i="29"/>
  <c r="X107" i="29" s="1"/>
  <c r="Y106" i="29"/>
  <c r="Z106" i="29" s="1"/>
  <c r="S106" i="29"/>
  <c r="R106" i="29"/>
  <c r="X106" i="29" s="1"/>
  <c r="Y105" i="29"/>
  <c r="Z105" i="29" s="1"/>
  <c r="S105" i="29"/>
  <c r="W105" i="29" s="1"/>
  <c r="R105" i="29"/>
  <c r="X105" i="29" s="1"/>
  <c r="S83" i="29"/>
  <c r="S82" i="29"/>
  <c r="S81" i="29"/>
  <c r="S75" i="29"/>
  <c r="S74" i="29"/>
  <c r="S73" i="29"/>
  <c r="Y67" i="29"/>
  <c r="Z67" i="29" s="1"/>
  <c r="S67" i="29"/>
  <c r="R67" i="29"/>
  <c r="Y66" i="29"/>
  <c r="Z66" i="29" s="1"/>
  <c r="S66" i="29"/>
  <c r="R66" i="29"/>
  <c r="X66" i="29" s="1"/>
  <c r="Y65" i="29"/>
  <c r="Z65" i="29" s="1"/>
  <c r="S65" i="29"/>
  <c r="R65" i="29"/>
  <c r="X65" i="29" s="1"/>
  <c r="Y64" i="29"/>
  <c r="Z64" i="29" s="1"/>
  <c r="S64" i="29"/>
  <c r="R64" i="29"/>
  <c r="X64" i="29" s="1"/>
  <c r="Y63" i="29"/>
  <c r="Z63" i="29" s="1"/>
  <c r="S63" i="29"/>
  <c r="R63" i="29"/>
  <c r="X63" i="29" s="1"/>
  <c r="Y62" i="29"/>
  <c r="Z62" i="29" s="1"/>
  <c r="S62" i="29"/>
  <c r="R62" i="29"/>
  <c r="X62" i="29" s="1"/>
  <c r="Y61" i="29"/>
  <c r="Z61" i="29" s="1"/>
  <c r="S61" i="29"/>
  <c r="R61" i="29"/>
  <c r="X61" i="29" s="1"/>
  <c r="Y60" i="29"/>
  <c r="Z60" i="29" s="1"/>
  <c r="S60" i="29"/>
  <c r="R60" i="29"/>
  <c r="X60" i="29" s="1"/>
  <c r="Y59" i="29"/>
  <c r="Z59" i="29" s="1"/>
  <c r="S59" i="29"/>
  <c r="R59" i="29"/>
  <c r="Y58" i="29"/>
  <c r="Z58" i="29" s="1"/>
  <c r="S58" i="29"/>
  <c r="R58" i="29"/>
  <c r="X58" i="29" s="1"/>
  <c r="Y57" i="29"/>
  <c r="Z57" i="29" s="1"/>
  <c r="S57" i="29"/>
  <c r="R57" i="29"/>
  <c r="X57" i="29" s="1"/>
  <c r="U47" i="29"/>
  <c r="S47" i="29"/>
  <c r="AD44" i="29"/>
  <c r="AE44" i="29" s="1"/>
  <c r="AB44" i="29"/>
  <c r="AC44" i="29" s="1"/>
  <c r="U44" i="29"/>
  <c r="S44" i="29"/>
  <c r="Q44" i="29"/>
  <c r="D48" i="26"/>
  <c r="AC43" i="29" l="1"/>
  <c r="B73" i="29"/>
  <c r="E73" i="29"/>
  <c r="E75" i="29"/>
  <c r="B75" i="29"/>
  <c r="E74" i="29"/>
  <c r="B74" i="29"/>
  <c r="U73" i="29"/>
  <c r="T73" i="29"/>
  <c r="V73" i="29"/>
  <c r="T75" i="29"/>
  <c r="V75" i="29"/>
  <c r="U74" i="29"/>
  <c r="V74" i="29"/>
  <c r="T74" i="29"/>
  <c r="W61" i="29"/>
  <c r="AK61" i="29" s="1"/>
  <c r="AL61" i="29" s="1"/>
  <c r="U64" i="29"/>
  <c r="AI64" i="29" s="1"/>
  <c r="AJ64" i="29" s="1"/>
  <c r="W44" i="29"/>
  <c r="X44" i="29" s="1"/>
  <c r="W47" i="29"/>
  <c r="Y47" i="29" s="1"/>
  <c r="Z47" i="29" s="1"/>
  <c r="U59" i="29"/>
  <c r="W64" i="29"/>
  <c r="AC64" i="29" s="1"/>
  <c r="U67" i="29"/>
  <c r="U63" i="29"/>
  <c r="AI63" i="29" s="1"/>
  <c r="AJ63" i="29" s="1"/>
  <c r="O80" i="29"/>
  <c r="P72" i="29"/>
  <c r="U60" i="29"/>
  <c r="W65" i="29"/>
  <c r="AK65" i="29" s="1"/>
  <c r="AL65" i="29" s="1"/>
  <c r="W57" i="29"/>
  <c r="AK57" i="29" s="1"/>
  <c r="X59" i="29"/>
  <c r="X67" i="29"/>
  <c r="W60" i="29"/>
  <c r="AC129" i="29"/>
  <c r="AI114" i="29"/>
  <c r="AJ114" i="29" s="1"/>
  <c r="O96" i="29"/>
  <c r="P88" i="29"/>
  <c r="U129" i="29"/>
  <c r="AB129" i="29" s="1"/>
  <c r="AB130" i="29"/>
  <c r="AC113" i="29"/>
  <c r="U121" i="29"/>
  <c r="AI121" i="29" s="1"/>
  <c r="U131" i="29"/>
  <c r="AI131" i="29" s="1"/>
  <c r="AJ131" i="29" s="1"/>
  <c r="W74" i="29"/>
  <c r="W73" i="29"/>
  <c r="W130" i="29"/>
  <c r="U113" i="29"/>
  <c r="AB113" i="29" s="1"/>
  <c r="AB114" i="29"/>
  <c r="U115" i="29"/>
  <c r="AI115" i="29" s="1"/>
  <c r="AJ115" i="29" s="1"/>
  <c r="AI130" i="29"/>
  <c r="AJ130" i="29" s="1"/>
  <c r="U137" i="29"/>
  <c r="AI137" i="29" s="1"/>
  <c r="W114" i="29"/>
  <c r="R145" i="29"/>
  <c r="X145" i="29" s="1"/>
  <c r="R147" i="29"/>
  <c r="X147" i="29" s="1"/>
  <c r="U75" i="29"/>
  <c r="W75" i="29"/>
  <c r="U61" i="29"/>
  <c r="AI61" i="29" s="1"/>
  <c r="AF44" i="29"/>
  <c r="U57" i="29"/>
  <c r="AI57" i="29" s="1"/>
  <c r="U65" i="29"/>
  <c r="AI65" i="29" s="1"/>
  <c r="AE43" i="29"/>
  <c r="W62" i="29"/>
  <c r="AK62" i="29" s="1"/>
  <c r="U62" i="29"/>
  <c r="AI62" i="29" s="1"/>
  <c r="W58" i="29"/>
  <c r="AK58" i="29" s="1"/>
  <c r="U58" i="29"/>
  <c r="AI58" i="29" s="1"/>
  <c r="W66" i="29"/>
  <c r="AK66" i="29" s="1"/>
  <c r="U66" i="29"/>
  <c r="AI66" i="29" s="1"/>
  <c r="W106" i="29"/>
  <c r="U106" i="29"/>
  <c r="W107" i="29"/>
  <c r="U107" i="29"/>
  <c r="W122" i="29"/>
  <c r="U122" i="29"/>
  <c r="W123" i="29"/>
  <c r="U123" i="29"/>
  <c r="W138" i="29"/>
  <c r="U138" i="29"/>
  <c r="W139" i="29"/>
  <c r="U139" i="29"/>
  <c r="W59" i="29"/>
  <c r="W63" i="29"/>
  <c r="AK63" i="29" s="1"/>
  <c r="W67" i="29"/>
  <c r="AC105" i="29"/>
  <c r="AK105" i="29"/>
  <c r="U105" i="29"/>
  <c r="AK115" i="29"/>
  <c r="AL115" i="29" s="1"/>
  <c r="AC115" i="29"/>
  <c r="AK131" i="29"/>
  <c r="AL131" i="29" s="1"/>
  <c r="AC131" i="29"/>
  <c r="AF43" i="29"/>
  <c r="AK121" i="29"/>
  <c r="AC121" i="29"/>
  <c r="AK137" i="29"/>
  <c r="AC137" i="29"/>
  <c r="AK113" i="29"/>
  <c r="AK129" i="29"/>
  <c r="R146" i="29"/>
  <c r="D109" i="26"/>
  <c r="G109" i="26" s="1"/>
  <c r="I109" i="26" s="1"/>
  <c r="D170" i="26"/>
  <c r="D146" i="26"/>
  <c r="I146" i="26" s="1"/>
  <c r="G169" i="26"/>
  <c r="G165" i="26"/>
  <c r="G104" i="26"/>
  <c r="I104" i="26" s="1"/>
  <c r="G164" i="26"/>
  <c r="G158" i="26"/>
  <c r="G154" i="26"/>
  <c r="G150" i="26"/>
  <c r="D85" i="26"/>
  <c r="I85" i="26" s="1"/>
  <c r="G108" i="26"/>
  <c r="I108" i="26" s="1"/>
  <c r="G103" i="26"/>
  <c r="I103" i="26" s="1"/>
  <c r="G97" i="26"/>
  <c r="I97" i="26" s="1"/>
  <c r="G93" i="26"/>
  <c r="I93" i="26" s="1"/>
  <c r="G89" i="26"/>
  <c r="I89" i="26" s="1"/>
  <c r="D70" i="26"/>
  <c r="D113" i="26" s="1"/>
  <c r="G113" i="26" s="1"/>
  <c r="I113" i="26" s="1"/>
  <c r="M113" i="26" s="1"/>
  <c r="G73" i="26"/>
  <c r="I73" i="26" s="1"/>
  <c r="G75" i="26"/>
  <c r="I75" i="26" s="1"/>
  <c r="G79" i="26"/>
  <c r="I79" i="26" s="1"/>
  <c r="G80" i="26"/>
  <c r="I80" i="26" s="1"/>
  <c r="K87" i="26"/>
  <c r="K88" i="26"/>
  <c r="K89" i="26"/>
  <c r="E99" i="26"/>
  <c r="G99" i="26" s="1"/>
  <c r="I99" i="26" s="1"/>
  <c r="D104" i="26"/>
  <c r="K112" i="26"/>
  <c r="K113" i="26" s="1"/>
  <c r="K114" i="26" s="1"/>
  <c r="D114" i="26"/>
  <c r="G114" i="26" s="1"/>
  <c r="I114" i="26" s="1"/>
  <c r="M114" i="26" s="1"/>
  <c r="D115" i="26"/>
  <c r="G115" i="26" s="1"/>
  <c r="I115" i="26" s="1"/>
  <c r="M115" i="26" s="1"/>
  <c r="I120" i="26"/>
  <c r="B125" i="26"/>
  <c r="G47" i="26"/>
  <c r="G42" i="26"/>
  <c r="G36" i="26"/>
  <c r="G32" i="26"/>
  <c r="G28" i="26"/>
  <c r="G43" i="26"/>
  <c r="I43" i="26" s="1"/>
  <c r="D24" i="26"/>
  <c r="I24" i="26" s="1"/>
  <c r="N115" i="26" l="1"/>
  <c r="N109" i="30"/>
  <c r="N113" i="26"/>
  <c r="N107" i="30"/>
  <c r="N114" i="26"/>
  <c r="N108" i="30"/>
  <c r="AC61" i="29"/>
  <c r="AB63" i="29"/>
  <c r="AI59" i="29"/>
  <c r="AJ59" i="29" s="1"/>
  <c r="AB64" i="29"/>
  <c r="AD64" i="29" s="1"/>
  <c r="AE64" i="29" s="1"/>
  <c r="AK67" i="29"/>
  <c r="AL67" i="29" s="1"/>
  <c r="Y44" i="29"/>
  <c r="Z44" i="29" s="1"/>
  <c r="AB131" i="29"/>
  <c r="AD131" i="29" s="1"/>
  <c r="AK64" i="29"/>
  <c r="AL64" i="29" s="1"/>
  <c r="AM64" i="29" s="1"/>
  <c r="AB67" i="29"/>
  <c r="AB115" i="29"/>
  <c r="AD115" i="29" s="1"/>
  <c r="AE115" i="29" s="1"/>
  <c r="AB121" i="29"/>
  <c r="AD121" i="29" s="1"/>
  <c r="AC65" i="29"/>
  <c r="W147" i="29"/>
  <c r="AC147" i="29" s="1"/>
  <c r="U147" i="29"/>
  <c r="AB147" i="29" s="1"/>
  <c r="AI129" i="29"/>
  <c r="AJ128" i="29" s="1"/>
  <c r="AI67" i="29"/>
  <c r="AJ67" i="29" s="1"/>
  <c r="Q72" i="29"/>
  <c r="Q80" i="29" s="1"/>
  <c r="P80" i="29"/>
  <c r="AC57" i="29"/>
  <c r="U145" i="29"/>
  <c r="AI145" i="29" s="1"/>
  <c r="X47" i="29"/>
  <c r="AD113" i="29"/>
  <c r="AF113" i="29" s="1"/>
  <c r="AG113" i="29" s="1"/>
  <c r="AC60" i="29"/>
  <c r="AK60" i="29"/>
  <c r="AL60" i="29" s="1"/>
  <c r="AI60" i="29"/>
  <c r="AJ60" i="29" s="1"/>
  <c r="AK59" i="29"/>
  <c r="AL59" i="29" s="1"/>
  <c r="AB59" i="29"/>
  <c r="AB60" i="29"/>
  <c r="AD129" i="29"/>
  <c r="AF129" i="29" s="1"/>
  <c r="AG129" i="29" s="1"/>
  <c r="AB137" i="29"/>
  <c r="AD137" i="29" s="1"/>
  <c r="AI113" i="29"/>
  <c r="AJ112" i="29" s="1"/>
  <c r="AM131" i="29"/>
  <c r="AO131" i="29" s="1"/>
  <c r="AP131" i="29" s="1"/>
  <c r="W145" i="29"/>
  <c r="AK145" i="29" s="1"/>
  <c r="Q88" i="29"/>
  <c r="Q96" i="29" s="1"/>
  <c r="P96" i="29"/>
  <c r="AK114" i="29"/>
  <c r="AL114" i="29" s="1"/>
  <c r="AM114" i="29" s="1"/>
  <c r="AN114" i="29" s="1"/>
  <c r="AC114" i="29"/>
  <c r="AD114" i="29" s="1"/>
  <c r="AM115" i="29"/>
  <c r="AN115" i="29" s="1"/>
  <c r="AK130" i="29"/>
  <c r="AL130" i="29" s="1"/>
  <c r="AM130" i="29" s="1"/>
  <c r="AC130" i="29"/>
  <c r="AD130" i="29" s="1"/>
  <c r="AL113" i="29"/>
  <c r="AL112" i="29"/>
  <c r="X146" i="29"/>
  <c r="W146" i="29"/>
  <c r="U146" i="29"/>
  <c r="AL120" i="29"/>
  <c r="AL121" i="29"/>
  <c r="AL105" i="29"/>
  <c r="AL104" i="29"/>
  <c r="AC67" i="29"/>
  <c r="AK139" i="29"/>
  <c r="AL139" i="29" s="1"/>
  <c r="AC139" i="29"/>
  <c r="AK123" i="29"/>
  <c r="AL123" i="29" s="1"/>
  <c r="AC123" i="29"/>
  <c r="AK107" i="29"/>
  <c r="AL107" i="29" s="1"/>
  <c r="AC107" i="29"/>
  <c r="AB66" i="29"/>
  <c r="AJ66" i="29"/>
  <c r="AL58" i="29"/>
  <c r="AC58" i="29"/>
  <c r="AB61" i="29"/>
  <c r="AJ61" i="29"/>
  <c r="AM61" i="29" s="1"/>
  <c r="AL129" i="29"/>
  <c r="AL128" i="29"/>
  <c r="AL137" i="29"/>
  <c r="AL136" i="29"/>
  <c r="AC63" i="29"/>
  <c r="AL63" i="29"/>
  <c r="AM63" i="29" s="1"/>
  <c r="AI138" i="29"/>
  <c r="AJ138" i="29" s="1"/>
  <c r="AB138" i="29"/>
  <c r="AI122" i="29"/>
  <c r="AJ122" i="29" s="1"/>
  <c r="AB122" i="29"/>
  <c r="AI106" i="29"/>
  <c r="AJ106" i="29" s="1"/>
  <c r="AB106" i="29"/>
  <c r="AL66" i="29"/>
  <c r="AC66" i="29"/>
  <c r="AB62" i="29"/>
  <c r="AJ62" i="29"/>
  <c r="AB65" i="29"/>
  <c r="AJ65" i="29"/>
  <c r="AM65" i="29" s="1"/>
  <c r="AG44" i="29"/>
  <c r="AH44" i="29"/>
  <c r="AI44" i="29" s="1"/>
  <c r="AB57" i="29"/>
  <c r="AB105" i="29"/>
  <c r="AD105" i="29" s="1"/>
  <c r="AI105" i="29"/>
  <c r="AC59" i="29"/>
  <c r="AC138" i="29"/>
  <c r="AK138" i="29"/>
  <c r="AL138" i="29" s="1"/>
  <c r="AC122" i="29"/>
  <c r="AK122" i="29"/>
  <c r="AL122" i="29" s="1"/>
  <c r="AC106" i="29"/>
  <c r="AK106" i="29"/>
  <c r="AL106" i="29" s="1"/>
  <c r="AL62" i="29"/>
  <c r="AC62" i="29"/>
  <c r="AJ136" i="29"/>
  <c r="AJ137" i="29"/>
  <c r="AM136" i="29"/>
  <c r="AJ120" i="29"/>
  <c r="AJ121" i="29"/>
  <c r="AM120" i="29"/>
  <c r="AB139" i="29"/>
  <c r="AI139" i="29"/>
  <c r="AJ139" i="29" s="1"/>
  <c r="AB123" i="29"/>
  <c r="AI123" i="29"/>
  <c r="AJ123" i="29" s="1"/>
  <c r="AB107" i="29"/>
  <c r="AI107" i="29"/>
  <c r="AJ107" i="29" s="1"/>
  <c r="AB58" i="29"/>
  <c r="AJ58" i="29"/>
  <c r="AL57" i="29"/>
  <c r="AL56" i="29"/>
  <c r="K116" i="26"/>
  <c r="K115" i="26"/>
  <c r="E160" i="26"/>
  <c r="D266" i="26"/>
  <c r="D205" i="26"/>
  <c r="G38" i="26"/>
  <c r="I38" i="26" s="1"/>
  <c r="C3" i="21"/>
  <c r="C4" i="21" s="1"/>
  <c r="Y3" i="21"/>
  <c r="Z3" i="21"/>
  <c r="AA3" i="21"/>
  <c r="AB3" i="21"/>
  <c r="AC3" i="21"/>
  <c r="Y4" i="21"/>
  <c r="Z4" i="21"/>
  <c r="AA4" i="21"/>
  <c r="AB4" i="21"/>
  <c r="AC4" i="21"/>
  <c r="C5" i="21"/>
  <c r="Y5" i="21"/>
  <c r="Z5" i="21"/>
  <c r="AA5" i="21"/>
  <c r="AB5" i="21"/>
  <c r="AC5" i="21"/>
  <c r="C6" i="21"/>
  <c r="C7" i="21" s="1"/>
  <c r="C8" i="21" s="1"/>
  <c r="Y6" i="21"/>
  <c r="Z6" i="21"/>
  <c r="AA6" i="21"/>
  <c r="AB6" i="21"/>
  <c r="AC6" i="21"/>
  <c r="Y7" i="21"/>
  <c r="Z7" i="21"/>
  <c r="AA7" i="21"/>
  <c r="AB7" i="21"/>
  <c r="AC7" i="21"/>
  <c r="Y8" i="21"/>
  <c r="Z8" i="21"/>
  <c r="AA8" i="21"/>
  <c r="AB8" i="21"/>
  <c r="AC8" i="21"/>
  <c r="E9" i="21"/>
  <c r="G9" i="21"/>
  <c r="J9" i="21"/>
  <c r="Y9" i="21"/>
  <c r="Z9" i="21"/>
  <c r="AA9" i="21"/>
  <c r="AB9" i="21"/>
  <c r="AC9" i="21"/>
  <c r="AY87" i="21"/>
  <c r="AY88" i="21"/>
  <c r="BC88" i="21" s="1"/>
  <c r="C88" i="21" s="1"/>
  <c r="AY89" i="21"/>
  <c r="AY90" i="21"/>
  <c r="AY91" i="21"/>
  <c r="BC91" i="21" s="1"/>
  <c r="C91" i="21" s="1"/>
  <c r="AY92" i="21"/>
  <c r="BD92" i="21" s="1"/>
  <c r="AY93" i="21"/>
  <c r="BD93" i="21" s="1"/>
  <c r="AY94" i="21"/>
  <c r="BD94" i="21" s="1"/>
  <c r="AY95" i="21"/>
  <c r="BD95" i="21" s="1"/>
  <c r="AY86" i="21"/>
  <c r="AY69" i="21"/>
  <c r="BC69" i="21" s="1"/>
  <c r="C69" i="21" s="1"/>
  <c r="AY70" i="21"/>
  <c r="BC70" i="21" s="1"/>
  <c r="C70" i="21" s="1"/>
  <c r="AY71" i="21"/>
  <c r="BD71" i="21" s="1"/>
  <c r="AY72" i="21"/>
  <c r="BB72" i="21" s="1"/>
  <c r="AY73" i="21"/>
  <c r="AY74" i="21"/>
  <c r="BD74" i="21" s="1"/>
  <c r="AY75" i="21"/>
  <c r="AY76" i="21"/>
  <c r="BD76" i="21" s="1"/>
  <c r="AY77" i="21"/>
  <c r="AY68" i="21"/>
  <c r="AY51" i="21"/>
  <c r="AY52" i="21"/>
  <c r="AY53" i="21"/>
  <c r="AY54" i="21"/>
  <c r="AY55" i="21"/>
  <c r="AY56" i="21"/>
  <c r="AY57" i="21"/>
  <c r="AY58" i="21"/>
  <c r="AY59" i="21"/>
  <c r="AY50" i="21"/>
  <c r="AY33" i="21"/>
  <c r="AY34" i="21"/>
  <c r="AY35" i="21"/>
  <c r="AY36" i="21"/>
  <c r="AY37" i="21"/>
  <c r="AY38" i="21"/>
  <c r="AY39" i="21"/>
  <c r="AY40" i="21"/>
  <c r="AY41" i="21"/>
  <c r="AY32" i="21"/>
  <c r="AR87" i="21"/>
  <c r="AV87" i="21" s="1"/>
  <c r="A87" i="21" s="1"/>
  <c r="AR88" i="21"/>
  <c r="AU88" i="21" s="1"/>
  <c r="AR89" i="21"/>
  <c r="AW89" i="21" s="1"/>
  <c r="AR90" i="21"/>
  <c r="AU90" i="21" s="1"/>
  <c r="AR91" i="21"/>
  <c r="AV91" i="21" s="1"/>
  <c r="A91" i="21" s="1"/>
  <c r="AR92" i="21"/>
  <c r="AW92" i="21" s="1"/>
  <c r="AR93" i="21"/>
  <c r="AW93" i="21" s="1"/>
  <c r="AR94" i="21"/>
  <c r="AW94" i="21" s="1"/>
  <c r="AR95" i="21"/>
  <c r="AW95" i="21" s="1"/>
  <c r="AR86" i="21"/>
  <c r="AV86" i="21" s="1"/>
  <c r="A86" i="21" s="1"/>
  <c r="AR69" i="21"/>
  <c r="AV69" i="21" s="1"/>
  <c r="A69" i="21" s="1"/>
  <c r="AR70" i="21"/>
  <c r="AU70" i="21" s="1"/>
  <c r="AR71" i="21"/>
  <c r="AW71" i="21" s="1"/>
  <c r="AR72" i="21"/>
  <c r="AV72" i="21" s="1"/>
  <c r="A72" i="21" s="1"/>
  <c r="AR73" i="21"/>
  <c r="AR74" i="21"/>
  <c r="AW74" i="21" s="1"/>
  <c r="AR75" i="21"/>
  <c r="AR76" i="21"/>
  <c r="AW76" i="21" s="1"/>
  <c r="AR77" i="21"/>
  <c r="AR68" i="21"/>
  <c r="AW68" i="21" s="1"/>
  <c r="AR51" i="21"/>
  <c r="AR52" i="21"/>
  <c r="AR53" i="21"/>
  <c r="AR54" i="21"/>
  <c r="AR55" i="21"/>
  <c r="AR56" i="21"/>
  <c r="AR57" i="21"/>
  <c r="AR58" i="21"/>
  <c r="AR59" i="21"/>
  <c r="AR50" i="21"/>
  <c r="AR33" i="21"/>
  <c r="AR34" i="21"/>
  <c r="AR35" i="21"/>
  <c r="AR36" i="21"/>
  <c r="AR37" i="21"/>
  <c r="AR38" i="21"/>
  <c r="AR39" i="21"/>
  <c r="AR40" i="21"/>
  <c r="AR41" i="21"/>
  <c r="AR32" i="21"/>
  <c r="AK87" i="21"/>
  <c r="AK88" i="21"/>
  <c r="AK89" i="21"/>
  <c r="AK90" i="21"/>
  <c r="AK91" i="21"/>
  <c r="AK92" i="21"/>
  <c r="AP92" i="21" s="1"/>
  <c r="AK93" i="21"/>
  <c r="AP93" i="21" s="1"/>
  <c r="AK94" i="21"/>
  <c r="AP94" i="21" s="1"/>
  <c r="AK95" i="21"/>
  <c r="AP95" i="21" s="1"/>
  <c r="AK86" i="21"/>
  <c r="AK69" i="21"/>
  <c r="AP69" i="21" s="1"/>
  <c r="AK70" i="21"/>
  <c r="AO70" i="21" s="1"/>
  <c r="K70" i="21" s="1"/>
  <c r="AK71" i="21"/>
  <c r="AO71" i="21" s="1"/>
  <c r="K71" i="21" s="1"/>
  <c r="AK72" i="21"/>
  <c r="AO72" i="21" s="1"/>
  <c r="K72" i="21" s="1"/>
  <c r="AK73" i="21"/>
  <c r="AO73" i="21" s="1"/>
  <c r="K73" i="21" s="1"/>
  <c r="AK74" i="21"/>
  <c r="AK75" i="21"/>
  <c r="AP75" i="21" s="1"/>
  <c r="AK76" i="21"/>
  <c r="AK77" i="21"/>
  <c r="AP77" i="21" s="1"/>
  <c r="AK68" i="21"/>
  <c r="AP68" i="21" s="1"/>
  <c r="AK51" i="21"/>
  <c r="AK52" i="21"/>
  <c r="AK53" i="21"/>
  <c r="AK54" i="21"/>
  <c r="AK55" i="21"/>
  <c r="AK56" i="21"/>
  <c r="AK57" i="21"/>
  <c r="AK58" i="21"/>
  <c r="AK59" i="21"/>
  <c r="AK50" i="21"/>
  <c r="AK33" i="21"/>
  <c r="AK34" i="21"/>
  <c r="AK35" i="21"/>
  <c r="AK36" i="21"/>
  <c r="AK37" i="21"/>
  <c r="AK38" i="21"/>
  <c r="AK39" i="21"/>
  <c r="AK40" i="21"/>
  <c r="AK41" i="21"/>
  <c r="AK32" i="21"/>
  <c r="AD87" i="21"/>
  <c r="AH87" i="21" s="1"/>
  <c r="I87" i="21" s="1"/>
  <c r="AD88" i="21"/>
  <c r="AG88" i="21" s="1"/>
  <c r="AD89" i="21"/>
  <c r="AI89" i="21" s="1"/>
  <c r="AD90" i="21"/>
  <c r="AG90" i="21" s="1"/>
  <c r="AD91" i="21"/>
  <c r="AI91" i="21" s="1"/>
  <c r="AD92" i="21"/>
  <c r="AI92" i="21" s="1"/>
  <c r="AD93" i="21"/>
  <c r="AI93" i="21" s="1"/>
  <c r="AD94" i="21"/>
  <c r="AI94" i="21" s="1"/>
  <c r="AD95" i="21"/>
  <c r="AI95" i="21" s="1"/>
  <c r="AD86" i="21"/>
  <c r="AH86" i="21" s="1"/>
  <c r="I86" i="21" s="1"/>
  <c r="AD69" i="21"/>
  <c r="AI69" i="21" s="1"/>
  <c r="AD70" i="21"/>
  <c r="AI70" i="21" s="1"/>
  <c r="AD71" i="21"/>
  <c r="AG71" i="21" s="1"/>
  <c r="AD72" i="21"/>
  <c r="AI72" i="21" s="1"/>
  <c r="AD73" i="21"/>
  <c r="AH73" i="21" s="1"/>
  <c r="I73" i="21" s="1"/>
  <c r="AD74" i="21"/>
  <c r="AD75" i="21"/>
  <c r="AG75" i="21" s="1"/>
  <c r="AD76" i="21"/>
  <c r="AD77" i="21"/>
  <c r="AH77" i="21" s="1"/>
  <c r="I77" i="21" s="1"/>
  <c r="AD68" i="21"/>
  <c r="AI68" i="21" s="1"/>
  <c r="AD51" i="21"/>
  <c r="AD52" i="21"/>
  <c r="AI52" i="21" s="1"/>
  <c r="AD53" i="21"/>
  <c r="AD54" i="21"/>
  <c r="AG54" i="21" s="1"/>
  <c r="AD55" i="21"/>
  <c r="AD56" i="21"/>
  <c r="AG56" i="21" s="1"/>
  <c r="AD57" i="21"/>
  <c r="AD58" i="21"/>
  <c r="AI58" i="21" s="1"/>
  <c r="AD59" i="21"/>
  <c r="AI59" i="21" s="1"/>
  <c r="AD50" i="21"/>
  <c r="AI50" i="21" s="1"/>
  <c r="AD33" i="21"/>
  <c r="AI33" i="21" s="1"/>
  <c r="AD34" i="21"/>
  <c r="AI34" i="21" s="1"/>
  <c r="AD35" i="21"/>
  <c r="AG35" i="21" s="1"/>
  <c r="AH35" i="21" s="1"/>
  <c r="I35" i="21" s="1"/>
  <c r="AD36" i="21"/>
  <c r="AG36" i="21" s="1"/>
  <c r="AH36" i="21" s="1"/>
  <c r="I36" i="21" s="1"/>
  <c r="AD37" i="21"/>
  <c r="AI37" i="21" s="1"/>
  <c r="AD38" i="21"/>
  <c r="AG38" i="21" s="1"/>
  <c r="AH38" i="21" s="1"/>
  <c r="I38" i="21" s="1"/>
  <c r="AD39" i="21"/>
  <c r="AI39" i="21" s="1"/>
  <c r="AD40" i="21"/>
  <c r="AI40" i="21" s="1"/>
  <c r="AD41" i="21"/>
  <c r="AI41" i="21" s="1"/>
  <c r="AD32" i="21"/>
  <c r="AI32" i="21" s="1"/>
  <c r="W87" i="21"/>
  <c r="W88" i="21"/>
  <c r="W89" i="21"/>
  <c r="W90" i="21"/>
  <c r="W91" i="21"/>
  <c r="W92" i="21"/>
  <c r="AB92" i="21" s="1"/>
  <c r="W93" i="21"/>
  <c r="AB93" i="21" s="1"/>
  <c r="W94" i="21"/>
  <c r="AB94" i="21" s="1"/>
  <c r="W95" i="21"/>
  <c r="AB95" i="21" s="1"/>
  <c r="W86" i="21"/>
  <c r="W69" i="21"/>
  <c r="AA69" i="21" s="1"/>
  <c r="G69" i="21" s="1"/>
  <c r="W70" i="21"/>
  <c r="AB70" i="21" s="1"/>
  <c r="W71" i="21"/>
  <c r="AB71" i="21" s="1"/>
  <c r="W72" i="21"/>
  <c r="Z72" i="21" s="1"/>
  <c r="AA72" i="21" s="1"/>
  <c r="G72" i="21" s="1"/>
  <c r="W73" i="21"/>
  <c r="Z73" i="21" s="1"/>
  <c r="AA73" i="21" s="1"/>
  <c r="G73" i="21" s="1"/>
  <c r="W74" i="21"/>
  <c r="AA74" i="21" s="1"/>
  <c r="G74" i="21" s="1"/>
  <c r="W75" i="21"/>
  <c r="W76" i="21"/>
  <c r="AA76" i="21" s="1"/>
  <c r="G76" i="21" s="1"/>
  <c r="W77" i="21"/>
  <c r="W68" i="21"/>
  <c r="AB68" i="21" s="1"/>
  <c r="W51" i="21"/>
  <c r="W52" i="21"/>
  <c r="Z52" i="21" s="1"/>
  <c r="AA52" i="21" s="1"/>
  <c r="G52" i="21" s="1"/>
  <c r="W53" i="21"/>
  <c r="AB53" i="21" s="1"/>
  <c r="W54" i="21"/>
  <c r="W55" i="21"/>
  <c r="AB55" i="21" s="1"/>
  <c r="W56" i="21"/>
  <c r="Z56" i="21" s="1"/>
  <c r="W57" i="21"/>
  <c r="AB57" i="21" s="1"/>
  <c r="W58" i="21"/>
  <c r="Z58" i="21" s="1"/>
  <c r="W59" i="21"/>
  <c r="W50" i="21"/>
  <c r="Z50" i="21" s="1"/>
  <c r="AA50" i="21" s="1"/>
  <c r="G50" i="21" s="1"/>
  <c r="W33" i="21"/>
  <c r="AB33" i="21" s="1"/>
  <c r="W34" i="21"/>
  <c r="AB34" i="21" s="1"/>
  <c r="W35" i="21"/>
  <c r="AB35" i="21" s="1"/>
  <c r="W36" i="21"/>
  <c r="AB36" i="21" s="1"/>
  <c r="W37" i="21"/>
  <c r="AB37" i="21" s="1"/>
  <c r="W38" i="21"/>
  <c r="Z38" i="21" s="1"/>
  <c r="AA38" i="21" s="1"/>
  <c r="G38" i="21" s="1"/>
  <c r="W39" i="21"/>
  <c r="Z39" i="21" s="1"/>
  <c r="AA39" i="21" s="1"/>
  <c r="G39" i="21" s="1"/>
  <c r="W40" i="21"/>
  <c r="Z40" i="21" s="1"/>
  <c r="AA40" i="21" s="1"/>
  <c r="G40" i="21" s="1"/>
  <c r="W41" i="21"/>
  <c r="AB41" i="21" s="1"/>
  <c r="W32" i="21"/>
  <c r="Z32" i="21" s="1"/>
  <c r="AA32" i="21" s="1"/>
  <c r="G32" i="21" s="1"/>
  <c r="P87" i="21"/>
  <c r="T87" i="21" s="1"/>
  <c r="E87" i="21" s="1"/>
  <c r="O135" i="11" s="1"/>
  <c r="P88" i="21"/>
  <c r="U88" i="21" s="1"/>
  <c r="P89" i="21"/>
  <c r="S89" i="21" s="1"/>
  <c r="P90" i="21"/>
  <c r="T90" i="21" s="1"/>
  <c r="E90" i="21" s="1"/>
  <c r="O138" i="11" s="1"/>
  <c r="P91" i="21"/>
  <c r="S91" i="21" s="1"/>
  <c r="P92" i="21"/>
  <c r="P93" i="21"/>
  <c r="U93" i="21" s="1"/>
  <c r="P94" i="21"/>
  <c r="U94" i="21" s="1"/>
  <c r="P95" i="21"/>
  <c r="U95" i="21" s="1"/>
  <c r="P86" i="21"/>
  <c r="T86" i="21" s="1"/>
  <c r="E86" i="21" s="1"/>
  <c r="O134" i="11" s="1"/>
  <c r="P69" i="21"/>
  <c r="S69" i="21" s="1"/>
  <c r="P70" i="21"/>
  <c r="U70" i="21" s="1"/>
  <c r="P71" i="21"/>
  <c r="S71" i="21" s="1"/>
  <c r="P72" i="21"/>
  <c r="U72" i="21" s="1"/>
  <c r="P73" i="21"/>
  <c r="U73" i="21" s="1"/>
  <c r="P74" i="21"/>
  <c r="T74" i="21" s="1"/>
  <c r="E74" i="21" s="1"/>
  <c r="O124" i="11" s="1"/>
  <c r="P75" i="21"/>
  <c r="P76" i="21"/>
  <c r="S76" i="21" s="1"/>
  <c r="T76" i="21" s="1"/>
  <c r="E76" i="21" s="1"/>
  <c r="O126" i="11" s="1"/>
  <c r="P77" i="21"/>
  <c r="P68" i="21"/>
  <c r="U68" i="21" s="1"/>
  <c r="P51" i="21"/>
  <c r="U51" i="21" s="1"/>
  <c r="P52" i="21"/>
  <c r="P53" i="21"/>
  <c r="U53" i="21" s="1"/>
  <c r="P54" i="21"/>
  <c r="P55" i="21"/>
  <c r="U55" i="21" s="1"/>
  <c r="P56" i="21"/>
  <c r="P57" i="21"/>
  <c r="S57" i="21" s="1"/>
  <c r="P58" i="21"/>
  <c r="P59" i="21"/>
  <c r="U59" i="21" s="1"/>
  <c r="P50" i="21"/>
  <c r="P33" i="21"/>
  <c r="U33" i="21" s="1"/>
  <c r="P34" i="21"/>
  <c r="U34" i="21" s="1"/>
  <c r="P35" i="21"/>
  <c r="S35" i="21" s="1"/>
  <c r="T35" i="21" s="1"/>
  <c r="E35" i="21" s="1"/>
  <c r="O89" i="11" s="1"/>
  <c r="P36" i="21"/>
  <c r="U36" i="21" s="1"/>
  <c r="P37" i="21"/>
  <c r="U37" i="21" s="1"/>
  <c r="P38" i="21"/>
  <c r="U38" i="21" s="1"/>
  <c r="P39" i="21"/>
  <c r="U39" i="21" s="1"/>
  <c r="P40" i="21"/>
  <c r="U40" i="21" s="1"/>
  <c r="P41" i="21"/>
  <c r="U41" i="21" s="1"/>
  <c r="P32" i="21"/>
  <c r="U32" i="21" s="1"/>
  <c r="AM12" i="21"/>
  <c r="AF12" i="21"/>
  <c r="Y12" i="21"/>
  <c r="R12" i="21"/>
  <c r="BF12" i="21"/>
  <c r="BH15" i="21" s="1"/>
  <c r="BA12" i="21"/>
  <c r="AT12" i="21"/>
  <c r="AY15" i="21"/>
  <c r="AY16" i="21"/>
  <c r="AY17" i="21"/>
  <c r="AY18" i="21"/>
  <c r="AY19" i="21"/>
  <c r="AY20" i="21"/>
  <c r="AY21" i="21"/>
  <c r="AY22" i="21"/>
  <c r="AY23" i="21"/>
  <c r="AY14" i="21"/>
  <c r="AR15" i="21"/>
  <c r="AR16" i="21"/>
  <c r="AR17" i="21"/>
  <c r="AR18" i="21"/>
  <c r="AR19" i="21"/>
  <c r="AR20" i="21"/>
  <c r="AR21" i="21"/>
  <c r="AR22" i="21"/>
  <c r="AR23" i="21"/>
  <c r="AR14" i="21"/>
  <c r="AK14" i="21"/>
  <c r="AD15" i="21"/>
  <c r="AI15" i="21" s="1"/>
  <c r="AD16" i="21"/>
  <c r="AI16" i="21" s="1"/>
  <c r="AD17" i="21"/>
  <c r="AG17" i="21" s="1"/>
  <c r="AH17" i="21" s="1"/>
  <c r="I17" i="21" s="1"/>
  <c r="AD18" i="21"/>
  <c r="AI18" i="21" s="1"/>
  <c r="AD19" i="21"/>
  <c r="AG19" i="21" s="1"/>
  <c r="AH19" i="21" s="1"/>
  <c r="I19" i="21" s="1"/>
  <c r="AD20" i="21"/>
  <c r="AI20" i="21" s="1"/>
  <c r="AD21" i="21"/>
  <c r="AI21" i="21" s="1"/>
  <c r="AD22" i="21"/>
  <c r="AI22" i="21" s="1"/>
  <c r="AD23" i="21"/>
  <c r="AG23" i="21" s="1"/>
  <c r="AH23" i="21" s="1"/>
  <c r="I23" i="21" s="1"/>
  <c r="AD14" i="21"/>
  <c r="AI14" i="21" s="1"/>
  <c r="W15" i="21"/>
  <c r="Z15" i="21" s="1"/>
  <c r="AA15" i="21" s="1"/>
  <c r="G15" i="21" s="1"/>
  <c r="W16" i="21"/>
  <c r="AB16" i="21" s="1"/>
  <c r="W17" i="21"/>
  <c r="Z17" i="21" s="1"/>
  <c r="AA17" i="21" s="1"/>
  <c r="G17" i="21" s="1"/>
  <c r="W18" i="21"/>
  <c r="AB18" i="21" s="1"/>
  <c r="W19" i="21"/>
  <c r="AB19" i="21" s="1"/>
  <c r="W20" i="21"/>
  <c r="AB20" i="21" s="1"/>
  <c r="W21" i="21"/>
  <c r="AB21" i="21" s="1"/>
  <c r="W22" i="21"/>
  <c r="AB22" i="21" s="1"/>
  <c r="W23" i="21"/>
  <c r="Z23" i="21" s="1"/>
  <c r="AA23" i="21" s="1"/>
  <c r="G23" i="21" s="1"/>
  <c r="W14" i="21"/>
  <c r="AB14" i="21" s="1"/>
  <c r="P15" i="21"/>
  <c r="U15" i="21" s="1"/>
  <c r="P16" i="21"/>
  <c r="U16" i="21" s="1"/>
  <c r="P17" i="21"/>
  <c r="U17" i="21" s="1"/>
  <c r="P18" i="21"/>
  <c r="U18" i="21" s="1"/>
  <c r="P19" i="21"/>
  <c r="S19" i="21" s="1"/>
  <c r="T19" i="21" s="1"/>
  <c r="E19" i="21" s="1"/>
  <c r="O75" i="11" s="1"/>
  <c r="P20" i="21"/>
  <c r="U20" i="21" s="1"/>
  <c r="P21" i="21"/>
  <c r="U21" i="21" s="1"/>
  <c r="P22" i="21"/>
  <c r="U22" i="21" s="1"/>
  <c r="P23" i="21"/>
  <c r="S23" i="21" s="1"/>
  <c r="T23" i="21" s="1"/>
  <c r="E23" i="21" s="1"/>
  <c r="O79" i="11" s="1"/>
  <c r="P14" i="21"/>
  <c r="U14" i="21" s="1"/>
  <c r="AK15" i="21"/>
  <c r="AK16" i="21"/>
  <c r="AK17" i="21"/>
  <c r="AK18" i="21"/>
  <c r="AK19" i="21"/>
  <c r="AK20" i="21"/>
  <c r="AK21" i="21"/>
  <c r="AK22" i="21"/>
  <c r="AK23" i="21"/>
  <c r="AY209" i="21"/>
  <c r="AR209" i="21"/>
  <c r="AK209" i="21"/>
  <c r="AD209" i="21"/>
  <c r="W209" i="21"/>
  <c r="P209" i="21"/>
  <c r="AY194" i="21"/>
  <c r="AR194" i="21"/>
  <c r="AK194" i="21"/>
  <c r="AD194" i="21"/>
  <c r="W194" i="21"/>
  <c r="P194" i="21"/>
  <c r="AY179" i="21"/>
  <c r="AR179" i="21"/>
  <c r="AK179" i="21"/>
  <c r="AD179" i="21"/>
  <c r="W179" i="21"/>
  <c r="P179" i="21"/>
  <c r="AY164" i="21"/>
  <c r="AR164" i="21"/>
  <c r="AK164" i="21"/>
  <c r="AD164" i="21"/>
  <c r="W164" i="21"/>
  <c r="P164" i="21"/>
  <c r="AY149" i="21"/>
  <c r="AR149" i="21"/>
  <c r="AK149" i="21"/>
  <c r="AD149" i="21"/>
  <c r="W149" i="21"/>
  <c r="P149" i="21"/>
  <c r="AY134" i="21"/>
  <c r="AR134" i="21"/>
  <c r="AK134" i="21"/>
  <c r="AD134" i="21"/>
  <c r="W134" i="21"/>
  <c r="P134" i="21"/>
  <c r="AY119" i="21"/>
  <c r="AK119" i="21"/>
  <c r="AD119" i="21"/>
  <c r="W119" i="21"/>
  <c r="P119" i="21"/>
  <c r="AY103" i="21"/>
  <c r="AR103" i="21"/>
  <c r="AK103" i="21"/>
  <c r="AD103" i="21"/>
  <c r="W103" i="21"/>
  <c r="P103" i="21"/>
  <c r="BD97" i="21"/>
  <c r="BC97" i="21"/>
  <c r="BB97" i="21"/>
  <c r="AW97" i="21"/>
  <c r="AV97" i="21"/>
  <c r="AU97" i="21"/>
  <c r="AP97" i="21"/>
  <c r="AO97" i="21"/>
  <c r="AN97" i="21"/>
  <c r="AI97" i="21"/>
  <c r="AH97" i="21"/>
  <c r="AG97" i="21"/>
  <c r="AB97" i="21"/>
  <c r="AA97" i="21"/>
  <c r="Z97" i="21"/>
  <c r="U97" i="21"/>
  <c r="T97" i="21"/>
  <c r="S97" i="21"/>
  <c r="BD96" i="21"/>
  <c r="BC96" i="21"/>
  <c r="BB96" i="21"/>
  <c r="AW96" i="21"/>
  <c r="AV96" i="21"/>
  <c r="AU96" i="21"/>
  <c r="AP96" i="21"/>
  <c r="AO96" i="21"/>
  <c r="AN96" i="21"/>
  <c r="AI96" i="21"/>
  <c r="AH96" i="21"/>
  <c r="AG96" i="21"/>
  <c r="AB96" i="21"/>
  <c r="AA96" i="21"/>
  <c r="Z96" i="21"/>
  <c r="U96" i="21"/>
  <c r="T96" i="21"/>
  <c r="S96" i="21"/>
  <c r="AV88" i="21"/>
  <c r="A88" i="21" s="1"/>
  <c r="AI83" i="21"/>
  <c r="AH83" i="21"/>
  <c r="AG83" i="21"/>
  <c r="BD79" i="21"/>
  <c r="BC79" i="21"/>
  <c r="BB79" i="21"/>
  <c r="AW79" i="21"/>
  <c r="AV79" i="21"/>
  <c r="AU79" i="21"/>
  <c r="AP79" i="21"/>
  <c r="AO79" i="21"/>
  <c r="AN79" i="21"/>
  <c r="AI79" i="21"/>
  <c r="AH79" i="21"/>
  <c r="AG79" i="21"/>
  <c r="AB79" i="21"/>
  <c r="AA79" i="21"/>
  <c r="Z79" i="21"/>
  <c r="U79" i="21"/>
  <c r="T79" i="21"/>
  <c r="S79" i="21"/>
  <c r="BD78" i="21"/>
  <c r="BC78" i="21"/>
  <c r="BB78" i="21"/>
  <c r="AW78" i="21"/>
  <c r="AV78" i="21"/>
  <c r="AU78" i="21"/>
  <c r="AP78" i="21"/>
  <c r="AO78" i="21"/>
  <c r="AN78" i="21"/>
  <c r="AI78" i="21"/>
  <c r="AH78" i="21"/>
  <c r="AG78" i="21"/>
  <c r="AB78" i="21"/>
  <c r="AA78" i="21"/>
  <c r="Z78" i="21"/>
  <c r="U78" i="21"/>
  <c r="T78" i="21"/>
  <c r="S78" i="21"/>
  <c r="AI73" i="21"/>
  <c r="BD61" i="21"/>
  <c r="BC61" i="21"/>
  <c r="BB61" i="21"/>
  <c r="AW61" i="21"/>
  <c r="AV61" i="21"/>
  <c r="AU61" i="21"/>
  <c r="AP61" i="21"/>
  <c r="AO61" i="21"/>
  <c r="AN61" i="21"/>
  <c r="AI61" i="21"/>
  <c r="AH61" i="21"/>
  <c r="AG61" i="21"/>
  <c r="AB61" i="21"/>
  <c r="AA61" i="21"/>
  <c r="Z61" i="21"/>
  <c r="U61" i="21"/>
  <c r="T61" i="21"/>
  <c r="S61" i="21"/>
  <c r="BD60" i="21"/>
  <c r="BC60" i="21"/>
  <c r="BB60" i="21"/>
  <c r="AW60" i="21"/>
  <c r="AV60" i="21"/>
  <c r="AU60" i="21"/>
  <c r="AP60" i="21"/>
  <c r="AO60" i="21"/>
  <c r="AN60" i="21"/>
  <c r="AI60" i="21"/>
  <c r="AH60" i="21"/>
  <c r="AG60" i="21"/>
  <c r="AB60" i="21"/>
  <c r="AA60" i="21"/>
  <c r="Z60" i="21"/>
  <c r="U60" i="21"/>
  <c r="T60" i="21"/>
  <c r="S60" i="21"/>
  <c r="BD43" i="21"/>
  <c r="BC43" i="21"/>
  <c r="BB43" i="21"/>
  <c r="AW43" i="21"/>
  <c r="AV43" i="21"/>
  <c r="AU43" i="21"/>
  <c r="AP43" i="21"/>
  <c r="AO43" i="21"/>
  <c r="AN43" i="21"/>
  <c r="AI43" i="21"/>
  <c r="AH43" i="21"/>
  <c r="AG43" i="21"/>
  <c r="AB43" i="21"/>
  <c r="AA43" i="21"/>
  <c r="Z43" i="21"/>
  <c r="U43" i="21"/>
  <c r="T43" i="21"/>
  <c r="S43" i="21"/>
  <c r="BD42" i="21"/>
  <c r="BC42" i="21"/>
  <c r="BB42" i="21"/>
  <c r="AW42" i="21"/>
  <c r="AV42" i="21"/>
  <c r="AU42" i="21"/>
  <c r="AP42" i="21"/>
  <c r="AO42" i="21"/>
  <c r="AN42" i="21"/>
  <c r="AI42" i="21"/>
  <c r="AH42" i="21"/>
  <c r="AG42" i="21"/>
  <c r="AB42" i="21"/>
  <c r="AA42" i="21"/>
  <c r="Z42" i="21"/>
  <c r="U42" i="21"/>
  <c r="T42" i="21"/>
  <c r="S42" i="21"/>
  <c r="BD25" i="21"/>
  <c r="BC25" i="21"/>
  <c r="BB25" i="21"/>
  <c r="AW25" i="21"/>
  <c r="AV25" i="21"/>
  <c r="AU25" i="21"/>
  <c r="AP25" i="21"/>
  <c r="AO25" i="21"/>
  <c r="AN25" i="21"/>
  <c r="AI25" i="21"/>
  <c r="AH25" i="21"/>
  <c r="AG25" i="21"/>
  <c r="AB25" i="21"/>
  <c r="AA25" i="21"/>
  <c r="Z25" i="21"/>
  <c r="U25" i="21"/>
  <c r="T25" i="21"/>
  <c r="S25" i="21"/>
  <c r="BD24" i="21"/>
  <c r="BC24" i="21"/>
  <c r="BB24" i="21"/>
  <c r="AW24" i="21"/>
  <c r="AV24" i="21"/>
  <c r="AU24" i="21"/>
  <c r="AP24" i="21"/>
  <c r="AO24" i="21"/>
  <c r="AN24" i="21"/>
  <c r="AI24" i="21"/>
  <c r="AH24" i="21"/>
  <c r="AG24" i="21"/>
  <c r="AB24" i="21"/>
  <c r="AA24" i="21"/>
  <c r="Z24" i="21"/>
  <c r="U24" i="21"/>
  <c r="T24" i="21"/>
  <c r="S24" i="21"/>
  <c r="AC11" i="21"/>
  <c r="AB11" i="21"/>
  <c r="AA11" i="21"/>
  <c r="Z11" i="21"/>
  <c r="Y11" i="21"/>
  <c r="AC10" i="21"/>
  <c r="AB10" i="21"/>
  <c r="AA10" i="21"/>
  <c r="Z10" i="21"/>
  <c r="Y10" i="21"/>
  <c r="V57" i="16"/>
  <c r="J39" i="11"/>
  <c r="AM24" i="21" l="1"/>
  <c r="AM25" i="21"/>
  <c r="AL24" i="21"/>
  <c r="AL25" i="21"/>
  <c r="AM15" i="21"/>
  <c r="AM19" i="21"/>
  <c r="AM23" i="21"/>
  <c r="AL17" i="21"/>
  <c r="AL21" i="21"/>
  <c r="AM16" i="21"/>
  <c r="AM20" i="21"/>
  <c r="AM14" i="21"/>
  <c r="AL18" i="21"/>
  <c r="AL22" i="21"/>
  <c r="AM17" i="21"/>
  <c r="AM21" i="21"/>
  <c r="AL15" i="21"/>
  <c r="AL19" i="21"/>
  <c r="AL23" i="21"/>
  <c r="AM18" i="21"/>
  <c r="AM22" i="21"/>
  <c r="AL16" i="21"/>
  <c r="AL20" i="21"/>
  <c r="AL14" i="21"/>
  <c r="AN41" i="21" s="1"/>
  <c r="AO41" i="21" s="1"/>
  <c r="K41" i="21" s="1"/>
  <c r="AO68" i="21"/>
  <c r="K68" i="21" s="1"/>
  <c r="AN71" i="21"/>
  <c r="AW91" i="21"/>
  <c r="BB71" i="21"/>
  <c r="AP70" i="21"/>
  <c r="AU74" i="21"/>
  <c r="AI38" i="21"/>
  <c r="AV70" i="21"/>
  <c r="A70" i="21" s="1"/>
  <c r="AI77" i="21"/>
  <c r="AE113" i="29"/>
  <c r="AD67" i="29"/>
  <c r="AE67" i="29" s="1"/>
  <c r="AD61" i="29"/>
  <c r="AE61" i="29" s="1"/>
  <c r="S39" i="21"/>
  <c r="T39" i="21" s="1"/>
  <c r="E39" i="21" s="1"/>
  <c r="O93" i="11" s="1"/>
  <c r="AO69" i="21"/>
  <c r="K69" i="21" s="1"/>
  <c r="AI23" i="21"/>
  <c r="P115" i="26"/>
  <c r="O109" i="30"/>
  <c r="U75" i="30" s="1"/>
  <c r="P113" i="26"/>
  <c r="O107" i="30"/>
  <c r="U73" i="30" s="1"/>
  <c r="P114" i="26"/>
  <c r="O108" i="30"/>
  <c r="U74" i="30" s="1"/>
  <c r="AI17" i="21"/>
  <c r="AU91" i="21"/>
  <c r="AG34" i="21"/>
  <c r="AH34" i="21" s="1"/>
  <c r="I34" i="21" s="1"/>
  <c r="AB38" i="21"/>
  <c r="AB23" i="21"/>
  <c r="AD65" i="29"/>
  <c r="AF65" i="29" s="1"/>
  <c r="AG65" i="29" s="1"/>
  <c r="AB15" i="21"/>
  <c r="S21" i="21"/>
  <c r="T21" i="21" s="1"/>
  <c r="E21" i="21" s="1"/>
  <c r="O77" i="11" s="1"/>
  <c r="AI147" i="29"/>
  <c r="AJ147" i="29" s="1"/>
  <c r="AF115" i="29"/>
  <c r="AG115" i="29" s="1"/>
  <c r="AK147" i="29"/>
  <c r="AL147" i="29" s="1"/>
  <c r="AD63" i="29"/>
  <c r="AF63" i="29" s="1"/>
  <c r="AG63" i="29" s="1"/>
  <c r="AM59" i="29"/>
  <c r="AN59" i="29" s="1"/>
  <c r="AM112" i="29"/>
  <c r="AO64" i="29"/>
  <c r="AP64" i="29" s="1"/>
  <c r="AN64" i="29"/>
  <c r="AE129" i="29"/>
  <c r="AC145" i="29"/>
  <c r="AD107" i="29"/>
  <c r="AF107" i="29" s="1"/>
  <c r="AG107" i="29" s="1"/>
  <c r="AD139" i="29"/>
  <c r="AF139" i="29" s="1"/>
  <c r="AG139" i="29" s="1"/>
  <c r="AM67" i="29"/>
  <c r="AO67" i="29" s="1"/>
  <c r="AP67" i="29" s="1"/>
  <c r="AE121" i="29"/>
  <c r="AF121" i="29"/>
  <c r="AG121" i="29" s="1"/>
  <c r="AB145" i="29"/>
  <c r="AF64" i="29"/>
  <c r="AG64" i="29" s="1"/>
  <c r="AD57" i="29"/>
  <c r="AF57" i="29" s="1"/>
  <c r="AG57" i="29" s="1"/>
  <c r="AM128" i="29"/>
  <c r="AN131" i="29"/>
  <c r="AD59" i="29"/>
  <c r="AE59" i="29" s="1"/>
  <c r="AM121" i="29"/>
  <c r="AN121" i="29" s="1"/>
  <c r="AJ129" i="29"/>
  <c r="AM129" i="29" s="1"/>
  <c r="AN129" i="29" s="1"/>
  <c r="AD58" i="29"/>
  <c r="AF58" i="29" s="1"/>
  <c r="AG58" i="29" s="1"/>
  <c r="AD123" i="29"/>
  <c r="AF123" i="29" s="1"/>
  <c r="AG123" i="29" s="1"/>
  <c r="AM60" i="29"/>
  <c r="AN60" i="29" s="1"/>
  <c r="AJ113" i="29"/>
  <c r="AM113" i="29" s="1"/>
  <c r="AN113" i="29" s="1"/>
  <c r="AO114" i="29"/>
  <c r="AP114" i="29" s="1"/>
  <c r="AD66" i="29"/>
  <c r="AE66" i="29" s="1"/>
  <c r="AM137" i="29"/>
  <c r="AN137" i="29" s="1"/>
  <c r="AD60" i="29"/>
  <c r="AD106" i="29"/>
  <c r="AE106" i="29" s="1"/>
  <c r="AD138" i="29"/>
  <c r="AE138" i="29" s="1"/>
  <c r="AO115" i="29"/>
  <c r="AP115" i="29" s="1"/>
  <c r="AO130" i="29"/>
  <c r="AP130" i="29" s="1"/>
  <c r="AN130" i="29"/>
  <c r="AF114" i="29"/>
  <c r="AG114" i="29" s="1"/>
  <c r="AE114" i="29"/>
  <c r="AM107" i="29"/>
  <c r="AO107" i="29" s="1"/>
  <c r="AP107" i="29" s="1"/>
  <c r="AM139" i="29"/>
  <c r="AN139" i="29" s="1"/>
  <c r="AE130" i="29"/>
  <c r="AF130" i="29"/>
  <c r="AG130" i="29" s="1"/>
  <c r="AM62" i="29"/>
  <c r="AN62" i="29" s="1"/>
  <c r="AU89" i="21"/>
  <c r="AG89" i="21"/>
  <c r="T71" i="21"/>
  <c r="E71" i="21" s="1"/>
  <c r="O121" i="11" s="1"/>
  <c r="BB69" i="21"/>
  <c r="U71" i="21"/>
  <c r="AO75" i="21"/>
  <c r="K75" i="21" s="1"/>
  <c r="U91" i="21"/>
  <c r="AF67" i="29"/>
  <c r="AG67" i="29" s="1"/>
  <c r="AE131" i="29"/>
  <c r="AF131" i="29"/>
  <c r="AG131" i="29" s="1"/>
  <c r="AM56" i="29"/>
  <c r="AJ57" i="29"/>
  <c r="AM57" i="29" s="1"/>
  <c r="AJ56" i="29"/>
  <c r="AO61" i="29"/>
  <c r="AP61" i="29" s="1"/>
  <c r="AN61" i="29"/>
  <c r="AB146" i="29"/>
  <c r="AI146" i="29"/>
  <c r="AJ146" i="29" s="1"/>
  <c r="AM122" i="29"/>
  <c r="AM104" i="29"/>
  <c r="AJ104" i="29"/>
  <c r="AJ105" i="29"/>
  <c r="AM105" i="29" s="1"/>
  <c r="AE137" i="29"/>
  <c r="AF137" i="29"/>
  <c r="AG137" i="29" s="1"/>
  <c r="AM123" i="29"/>
  <c r="AM106" i="29"/>
  <c r="AL145" i="29"/>
  <c r="AL144" i="29"/>
  <c r="AN63" i="29"/>
  <c r="AO63" i="29"/>
  <c r="AP63" i="29" s="1"/>
  <c r="AO65" i="29"/>
  <c r="AP65" i="29" s="1"/>
  <c r="AN65" i="29"/>
  <c r="AD147" i="29"/>
  <c r="AF105" i="29"/>
  <c r="AG105" i="29" s="1"/>
  <c r="AE105" i="29"/>
  <c r="AM144" i="29"/>
  <c r="AJ145" i="29"/>
  <c r="AJ144" i="29"/>
  <c r="AD62" i="29"/>
  <c r="AM138" i="29"/>
  <c r="AC146" i="29"/>
  <c r="AK146" i="29"/>
  <c r="AL146" i="29" s="1"/>
  <c r="AM58" i="29"/>
  <c r="AD122" i="29"/>
  <c r="AM66" i="29"/>
  <c r="U57" i="21"/>
  <c r="Z33" i="21"/>
  <c r="AA33" i="21" s="1"/>
  <c r="G33" i="21" s="1"/>
  <c r="AR45" i="21"/>
  <c r="AR44" i="21"/>
  <c r="AR46" i="21"/>
  <c r="AT16" i="21"/>
  <c r="BA16" i="21"/>
  <c r="AR64" i="21"/>
  <c r="AR63" i="21"/>
  <c r="AR62" i="21"/>
  <c r="BC68" i="21"/>
  <c r="C68" i="21" s="1"/>
  <c r="AR80" i="21"/>
  <c r="AR82" i="21"/>
  <c r="AR81" i="21"/>
  <c r="AH72" i="21"/>
  <c r="I72" i="21" s="1"/>
  <c r="AR98" i="21"/>
  <c r="AR99" i="21"/>
  <c r="AR100" i="21"/>
  <c r="AR28" i="21"/>
  <c r="AR26" i="21"/>
  <c r="AR27" i="21"/>
  <c r="AI36" i="21"/>
  <c r="Z19" i="21"/>
  <c r="AA19" i="21" s="1"/>
  <c r="G19" i="21" s="1"/>
  <c r="AG21" i="21"/>
  <c r="AH21" i="21" s="1"/>
  <c r="I21" i="21" s="1"/>
  <c r="AB39" i="21"/>
  <c r="BD68" i="21"/>
  <c r="AP73" i="21"/>
  <c r="K57" i="16"/>
  <c r="S17" i="21"/>
  <c r="T17" i="21" s="1"/>
  <c r="E17" i="21" s="1"/>
  <c r="O73" i="11" s="1"/>
  <c r="AI35" i="21"/>
  <c r="AN69" i="21"/>
  <c r="AB72" i="21"/>
  <c r="BC74" i="21"/>
  <c r="C74" i="21" s="1"/>
  <c r="AB69" i="21"/>
  <c r="BD70" i="21"/>
  <c r="AU71" i="21"/>
  <c r="AV68" i="21"/>
  <c r="A68" i="21" s="1"/>
  <c r="AG69" i="21"/>
  <c r="BD69" i="21"/>
  <c r="AV71" i="21"/>
  <c r="A71" i="21" s="1"/>
  <c r="AB73" i="21"/>
  <c r="T88" i="21"/>
  <c r="E88" i="21" s="1"/>
  <c r="O136" i="11" s="1"/>
  <c r="AH71" i="21"/>
  <c r="I71" i="21" s="1"/>
  <c r="AW90" i="21"/>
  <c r="AW69" i="21"/>
  <c r="AH75" i="21"/>
  <c r="I75" i="21" s="1"/>
  <c r="U69" i="21"/>
  <c r="Z71" i="21"/>
  <c r="AI71" i="21"/>
  <c r="BC72" i="21"/>
  <c r="C72" i="21" s="1"/>
  <c r="AA68" i="21"/>
  <c r="G68" i="21" s="1"/>
  <c r="AU69" i="21"/>
  <c r="AA71" i="21"/>
  <c r="G71" i="21" s="1"/>
  <c r="AP71" i="21"/>
  <c r="S72" i="21"/>
  <c r="S73" i="21"/>
  <c r="AG91" i="21"/>
  <c r="AA70" i="21"/>
  <c r="G70" i="21" s="1"/>
  <c r="S53" i="21"/>
  <c r="T53" i="21" s="1"/>
  <c r="E53" i="21" s="1"/>
  <c r="O105" i="11" s="1"/>
  <c r="AG39" i="21"/>
  <c r="AH39" i="21" s="1"/>
  <c r="I39" i="21" s="1"/>
  <c r="Z35" i="21"/>
  <c r="AA35" i="21" s="1"/>
  <c r="G35" i="21" s="1"/>
  <c r="AI19" i="21"/>
  <c r="U19" i="21"/>
  <c r="O57" i="16"/>
  <c r="AB32" i="21"/>
  <c r="S70" i="21"/>
  <c r="E57" i="16"/>
  <c r="U23" i="21"/>
  <c r="Z37" i="21"/>
  <c r="AA37" i="21" s="1"/>
  <c r="G37" i="21" s="1"/>
  <c r="T69" i="21"/>
  <c r="E69" i="21" s="1"/>
  <c r="O119" i="11" s="1"/>
  <c r="S74" i="21"/>
  <c r="S88" i="21"/>
  <c r="AH89" i="21"/>
  <c r="I89" i="21" s="1"/>
  <c r="AG32" i="21"/>
  <c r="AH32" i="21" s="1"/>
  <c r="I32" i="21" s="1"/>
  <c r="AG37" i="21"/>
  <c r="AH37" i="21" s="1"/>
  <c r="I37" i="21" s="1"/>
  <c r="S55" i="21"/>
  <c r="T55" i="21" s="1"/>
  <c r="E55" i="21" s="1"/>
  <c r="O107" i="11" s="1"/>
  <c r="AG58" i="21"/>
  <c r="AB52" i="21"/>
  <c r="S32" i="21"/>
  <c r="T32" i="21" s="1"/>
  <c r="E32" i="21" s="1"/>
  <c r="S34" i="21"/>
  <c r="T34" i="21" s="1"/>
  <c r="E34" i="21" s="1"/>
  <c r="O88" i="11" s="1"/>
  <c r="S33" i="21"/>
  <c r="T33" i="21" s="1"/>
  <c r="E33" i="21" s="1"/>
  <c r="O87" i="11" s="1"/>
  <c r="AG33" i="21"/>
  <c r="AH33" i="21" s="1"/>
  <c r="I33" i="21" s="1"/>
  <c r="S37" i="21"/>
  <c r="T37" i="21" s="1"/>
  <c r="E37" i="21" s="1"/>
  <c r="O91" i="11" s="1"/>
  <c r="Z21" i="21"/>
  <c r="AA21" i="21" s="1"/>
  <c r="G21" i="21" s="1"/>
  <c r="S15" i="21"/>
  <c r="T15" i="21" s="1"/>
  <c r="E15" i="21" s="1"/>
  <c r="O71" i="11" s="1"/>
  <c r="AG15" i="21"/>
  <c r="AH15" i="21" s="1"/>
  <c r="I15" i="21" s="1"/>
  <c r="AB17" i="21"/>
  <c r="AI56" i="21"/>
  <c r="AB56" i="21"/>
  <c r="AI54" i="21"/>
  <c r="AK63" i="21"/>
  <c r="AB58" i="21"/>
  <c r="W62" i="21"/>
  <c r="Z62" i="21" s="1"/>
  <c r="AA62" i="21" s="1"/>
  <c r="E221" i="26"/>
  <c r="E282" i="26" s="1"/>
  <c r="T68" i="21"/>
  <c r="E68" i="21" s="1"/>
  <c r="O118" i="11" s="1"/>
  <c r="Z69" i="21"/>
  <c r="AH69" i="21"/>
  <c r="I69" i="21" s="1"/>
  <c r="T73" i="21"/>
  <c r="E73" i="21" s="1"/>
  <c r="O123" i="11" s="1"/>
  <c r="AG73" i="21"/>
  <c r="AG77" i="21"/>
  <c r="AH70" i="21"/>
  <c r="I70" i="21" s="1"/>
  <c r="AP72" i="21"/>
  <c r="U74" i="21"/>
  <c r="U89" i="21"/>
  <c r="U90" i="21"/>
  <c r="BD72" i="21"/>
  <c r="BB70" i="21"/>
  <c r="BC71" i="21"/>
  <c r="C71" i="21" s="1"/>
  <c r="AV90" i="21"/>
  <c r="A90" i="21" s="1"/>
  <c r="AW88" i="21"/>
  <c r="AU72" i="21"/>
  <c r="AU76" i="21"/>
  <c r="AW72" i="21"/>
  <c r="AW70" i="21"/>
  <c r="AV74" i="21"/>
  <c r="A74" i="21" s="1"/>
  <c r="AV76" i="21"/>
  <c r="A76" i="21" s="1"/>
  <c r="AN72" i="21"/>
  <c r="AN70" i="21"/>
  <c r="AI90" i="21"/>
  <c r="AI88" i="21"/>
  <c r="AI75" i="21"/>
  <c r="AG70" i="21"/>
  <c r="AG72" i="21"/>
  <c r="AB76" i="21"/>
  <c r="AB40" i="21"/>
  <c r="Z36" i="21"/>
  <c r="AA36" i="21" s="1"/>
  <c r="G36" i="21" s="1"/>
  <c r="AB74" i="21"/>
  <c r="Z70" i="21"/>
  <c r="AB50" i="21"/>
  <c r="Z34" i="21"/>
  <c r="AA34" i="21" s="1"/>
  <c r="G34" i="21" s="1"/>
  <c r="S90" i="21"/>
  <c r="T72" i="21"/>
  <c r="E72" i="21" s="1"/>
  <c r="O122" i="11" s="1"/>
  <c r="U76" i="21"/>
  <c r="T70" i="21"/>
  <c r="E70" i="21" s="1"/>
  <c r="O120" i="11" s="1"/>
  <c r="U35" i="21"/>
  <c r="S36" i="21"/>
  <c r="T36" i="21" s="1"/>
  <c r="E36" i="21" s="1"/>
  <c r="O90" i="11" s="1"/>
  <c r="S38" i="21"/>
  <c r="T38" i="21" s="1"/>
  <c r="E38" i="21" s="1"/>
  <c r="O92" i="11" s="1"/>
  <c r="BG23" i="21"/>
  <c r="AS24" i="21" s="1"/>
  <c r="BH19" i="21"/>
  <c r="AT20" i="21" s="1"/>
  <c r="BH23" i="21"/>
  <c r="AT24" i="21" s="1"/>
  <c r="BH13" i="21"/>
  <c r="BH17" i="21"/>
  <c r="AT18" i="21" s="1"/>
  <c r="BH21" i="21"/>
  <c r="AT22" i="21" s="1"/>
  <c r="P45" i="21"/>
  <c r="AD46" i="21"/>
  <c r="P106" i="21"/>
  <c r="P105" i="21"/>
  <c r="P104" i="21"/>
  <c r="W106" i="21"/>
  <c r="W105" i="21"/>
  <c r="W104" i="21"/>
  <c r="AD106" i="21"/>
  <c r="AD105" i="21"/>
  <c r="AD104" i="21"/>
  <c r="AK106" i="21"/>
  <c r="AK105" i="21"/>
  <c r="AK104" i="21"/>
  <c r="AK28" i="21"/>
  <c r="BG14" i="21"/>
  <c r="AS15" i="21" s="1"/>
  <c r="BG16" i="21"/>
  <c r="AS17" i="21" s="1"/>
  <c r="BG18" i="21"/>
  <c r="AZ19" i="21" s="1"/>
  <c r="BG20" i="21"/>
  <c r="AS21" i="21" s="1"/>
  <c r="BG22" i="21"/>
  <c r="AZ23" i="21" s="1"/>
  <c r="P26" i="21"/>
  <c r="W26" i="21"/>
  <c r="AD26" i="21"/>
  <c r="AK26" i="21"/>
  <c r="S40" i="21"/>
  <c r="T40" i="21" s="1"/>
  <c r="E40" i="21" s="1"/>
  <c r="O94" i="11" s="1"/>
  <c r="AG41" i="21"/>
  <c r="AH41" i="21" s="1"/>
  <c r="I41" i="21" s="1"/>
  <c r="W44" i="21"/>
  <c r="AK45" i="21"/>
  <c r="AB51" i="21"/>
  <c r="Z51" i="21"/>
  <c r="AA51" i="21" s="1"/>
  <c r="G51" i="21" s="1"/>
  <c r="AI53" i="21"/>
  <c r="AG53" i="21"/>
  <c r="AH53" i="21" s="1"/>
  <c r="I53" i="21" s="1"/>
  <c r="U54" i="21"/>
  <c r="S54" i="21"/>
  <c r="T54" i="21" s="1"/>
  <c r="E54" i="21" s="1"/>
  <c r="O106" i="11" s="1"/>
  <c r="AI55" i="21"/>
  <c r="AG55" i="21"/>
  <c r="AH55" i="21" s="1"/>
  <c r="I55" i="21" s="1"/>
  <c r="U58" i="21"/>
  <c r="S58" i="21"/>
  <c r="T58" i="21" s="1"/>
  <c r="E58" i="21" s="1"/>
  <c r="O110" i="11" s="1"/>
  <c r="AK62" i="21"/>
  <c r="S14" i="21"/>
  <c r="T14" i="21" s="1"/>
  <c r="Z14" i="21"/>
  <c r="AA14" i="21" s="1"/>
  <c r="G14" i="21" s="1"/>
  <c r="AG14" i="21"/>
  <c r="AH14" i="21" s="1"/>
  <c r="I14" i="21" s="1"/>
  <c r="BH14" i="21"/>
  <c r="BA15" i="21" s="1"/>
  <c r="S16" i="21"/>
  <c r="T16" i="21" s="1"/>
  <c r="E16" i="21" s="1"/>
  <c r="O72" i="11" s="1"/>
  <c r="Z16" i="21"/>
  <c r="AA16" i="21" s="1"/>
  <c r="G16" i="21" s="1"/>
  <c r="AG16" i="21"/>
  <c r="AH16" i="21" s="1"/>
  <c r="I16" i="21" s="1"/>
  <c r="BH16" i="21"/>
  <c r="AT17" i="21" s="1"/>
  <c r="S18" i="21"/>
  <c r="T18" i="21" s="1"/>
  <c r="E18" i="21" s="1"/>
  <c r="O74" i="11" s="1"/>
  <c r="Z18" i="21"/>
  <c r="AA18" i="21" s="1"/>
  <c r="G18" i="21" s="1"/>
  <c r="AG18" i="21"/>
  <c r="AH18" i="21" s="1"/>
  <c r="I18" i="21" s="1"/>
  <c r="BH18" i="21"/>
  <c r="AT19" i="21" s="1"/>
  <c r="S20" i="21"/>
  <c r="T20" i="21" s="1"/>
  <c r="E20" i="21" s="1"/>
  <c r="O76" i="11" s="1"/>
  <c r="Z20" i="21"/>
  <c r="AA20" i="21" s="1"/>
  <c r="G20" i="21" s="1"/>
  <c r="AG20" i="21"/>
  <c r="AH20" i="21" s="1"/>
  <c r="I20" i="21" s="1"/>
  <c r="BH20" i="21"/>
  <c r="BA21" i="21" s="1"/>
  <c r="S22" i="21"/>
  <c r="T22" i="21" s="1"/>
  <c r="E22" i="21" s="1"/>
  <c r="O78" i="11" s="1"/>
  <c r="Z22" i="21"/>
  <c r="AA22" i="21" s="1"/>
  <c r="G22" i="21" s="1"/>
  <c r="AG22" i="21"/>
  <c r="AH22" i="21" s="1"/>
  <c r="I22" i="21" s="1"/>
  <c r="BH22" i="21"/>
  <c r="AT23" i="21" s="1"/>
  <c r="W27" i="21"/>
  <c r="AK27" i="21"/>
  <c r="W28" i="21"/>
  <c r="Z41" i="21"/>
  <c r="AA41" i="21" s="1"/>
  <c r="G41" i="21" s="1"/>
  <c r="AD44" i="21"/>
  <c r="U50" i="21"/>
  <c r="P64" i="21"/>
  <c r="P63" i="21"/>
  <c r="P62" i="21"/>
  <c r="AI51" i="21"/>
  <c r="U52" i="21"/>
  <c r="AB54" i="21"/>
  <c r="Z59" i="21"/>
  <c r="AA59" i="21" s="1"/>
  <c r="G59" i="21" s="1"/>
  <c r="AB59" i="21"/>
  <c r="W64" i="21"/>
  <c r="P27" i="21"/>
  <c r="AD27" i="21"/>
  <c r="P28" i="21"/>
  <c r="AD28" i="21"/>
  <c r="BG13" i="21"/>
  <c r="AS14" i="21" s="1"/>
  <c r="BG15" i="21"/>
  <c r="AS16" i="21" s="1"/>
  <c r="BG17" i="21"/>
  <c r="AZ18" i="21" s="1"/>
  <c r="BG19" i="21"/>
  <c r="AS20" i="21" s="1"/>
  <c r="BG21" i="21"/>
  <c r="AS22" i="21" s="1"/>
  <c r="P46" i="21"/>
  <c r="W45" i="21"/>
  <c r="AD45" i="21"/>
  <c r="AK46" i="21"/>
  <c r="AG40" i="21"/>
  <c r="AH40" i="21" s="1"/>
  <c r="I40" i="21" s="1"/>
  <c r="S41" i="21"/>
  <c r="T41" i="21" s="1"/>
  <c r="E41" i="21" s="1"/>
  <c r="O95" i="11" s="1"/>
  <c r="W46" i="21"/>
  <c r="S50" i="21"/>
  <c r="T50" i="21" s="1"/>
  <c r="E50" i="21" s="1"/>
  <c r="AG51" i="21"/>
  <c r="AH51" i="21" s="1"/>
  <c r="I51" i="21" s="1"/>
  <c r="S52" i="21"/>
  <c r="T52" i="21" s="1"/>
  <c r="E52" i="21" s="1"/>
  <c r="O104" i="11" s="1"/>
  <c r="Z54" i="21"/>
  <c r="AA54" i="21" s="1"/>
  <c r="G54" i="21" s="1"/>
  <c r="U56" i="21"/>
  <c r="S56" i="21"/>
  <c r="T56" i="21" s="1"/>
  <c r="E56" i="21" s="1"/>
  <c r="O108" i="11" s="1"/>
  <c r="AI57" i="21"/>
  <c r="AG57" i="21"/>
  <c r="AH57" i="21" s="1"/>
  <c r="I57" i="21" s="1"/>
  <c r="W63" i="21"/>
  <c r="AK64" i="21"/>
  <c r="AW73" i="21"/>
  <c r="AV73" i="21"/>
  <c r="A73" i="21" s="1"/>
  <c r="AU73" i="21"/>
  <c r="AI74" i="21"/>
  <c r="AH74" i="21"/>
  <c r="I74" i="21" s="1"/>
  <c r="AG74" i="21"/>
  <c r="U75" i="21"/>
  <c r="T75" i="21"/>
  <c r="E75" i="21" s="1"/>
  <c r="O125" i="11" s="1"/>
  <c r="S75" i="21"/>
  <c r="AW75" i="21"/>
  <c r="AV75" i="21"/>
  <c r="A75" i="21" s="1"/>
  <c r="AU75" i="21"/>
  <c r="AI76" i="21"/>
  <c r="AH76" i="21"/>
  <c r="I76" i="21" s="1"/>
  <c r="AG76" i="21"/>
  <c r="U77" i="21"/>
  <c r="S77" i="21"/>
  <c r="T77" i="21" s="1"/>
  <c r="E77" i="21" s="1"/>
  <c r="O127" i="11" s="1"/>
  <c r="AW77" i="21"/>
  <c r="AV77" i="21"/>
  <c r="A77" i="21" s="1"/>
  <c r="AU77" i="21"/>
  <c r="BD89" i="21"/>
  <c r="BB89" i="21"/>
  <c r="BC89" i="21"/>
  <c r="C89" i="21" s="1"/>
  <c r="P44" i="21"/>
  <c r="BD73" i="21"/>
  <c r="BC73" i="21"/>
  <c r="C73" i="21" s="1"/>
  <c r="AP74" i="21"/>
  <c r="AO74" i="21"/>
  <c r="K74" i="21" s="1"/>
  <c r="AB75" i="21"/>
  <c r="AA75" i="21"/>
  <c r="G75" i="21" s="1"/>
  <c r="BD75" i="21"/>
  <c r="BC75" i="21"/>
  <c r="C75" i="21" s="1"/>
  <c r="AP76" i="21"/>
  <c r="AB77" i="21"/>
  <c r="BD77" i="21"/>
  <c r="AP89" i="21"/>
  <c r="AN89" i="21"/>
  <c r="AO89" i="21"/>
  <c r="K89" i="21" s="1"/>
  <c r="AK44" i="21"/>
  <c r="AG50" i="21"/>
  <c r="AH50" i="21" s="1"/>
  <c r="I50" i="21" s="1"/>
  <c r="S51" i="21"/>
  <c r="T51" i="21" s="1"/>
  <c r="E51" i="21" s="1"/>
  <c r="O103" i="11" s="1"/>
  <c r="AG52" i="21"/>
  <c r="AH52" i="21" s="1"/>
  <c r="I52" i="21" s="1"/>
  <c r="Z53" i="21"/>
  <c r="AA53" i="21" s="1"/>
  <c r="G53" i="21" s="1"/>
  <c r="AH54" i="21"/>
  <c r="I54" i="21" s="1"/>
  <c r="Z55" i="21"/>
  <c r="AA55" i="21" s="1"/>
  <c r="G55" i="21" s="1"/>
  <c r="AH56" i="21"/>
  <c r="I56" i="21" s="1"/>
  <c r="T57" i="21"/>
  <c r="E57" i="21" s="1"/>
  <c r="O109" i="11" s="1"/>
  <c r="Z57" i="21"/>
  <c r="AA57" i="21" s="1"/>
  <c r="G57" i="21" s="1"/>
  <c r="AH58" i="21"/>
  <c r="I58" i="21" s="1"/>
  <c r="S59" i="21"/>
  <c r="T59" i="21" s="1"/>
  <c r="AG59" i="21"/>
  <c r="AH59" i="21" s="1"/>
  <c r="I59" i="21" s="1"/>
  <c r="AD62" i="21"/>
  <c r="AD63" i="21"/>
  <c r="AD64" i="21"/>
  <c r="BB73" i="21"/>
  <c r="AN74" i="21"/>
  <c r="Z75" i="21"/>
  <c r="BB75" i="21"/>
  <c r="AN76" i="21"/>
  <c r="AO76" i="21" s="1"/>
  <c r="K76" i="21" s="1"/>
  <c r="Z77" i="21"/>
  <c r="AA77" i="21" s="1"/>
  <c r="G77" i="21" s="1"/>
  <c r="BB77" i="21"/>
  <c r="BC77" i="21" s="1"/>
  <c r="C77" i="21" s="1"/>
  <c r="AA56" i="21"/>
  <c r="G56" i="21" s="1"/>
  <c r="AA58" i="21"/>
  <c r="G58" i="21" s="1"/>
  <c r="Z86" i="21"/>
  <c r="W100" i="21"/>
  <c r="W99" i="21"/>
  <c r="W98" i="21"/>
  <c r="AB86" i="21"/>
  <c r="AN86" i="21"/>
  <c r="AK100" i="21"/>
  <c r="AK99" i="21"/>
  <c r="AK98" i="21"/>
  <c r="AP86" i="21"/>
  <c r="BB86" i="21"/>
  <c r="BD86" i="21"/>
  <c r="Z87" i="21"/>
  <c r="AB87" i="21"/>
  <c r="AN87" i="21"/>
  <c r="AP87" i="21"/>
  <c r="BD87" i="21"/>
  <c r="BB87" i="21"/>
  <c r="AB90" i="21"/>
  <c r="Z90" i="21"/>
  <c r="AP90" i="21"/>
  <c r="AN90" i="21"/>
  <c r="P82" i="21"/>
  <c r="P81" i="21"/>
  <c r="P80" i="21"/>
  <c r="W82" i="21"/>
  <c r="W81" i="21"/>
  <c r="W80" i="21"/>
  <c r="AD82" i="21"/>
  <c r="AD81" i="21"/>
  <c r="AD80" i="21"/>
  <c r="AK82" i="21"/>
  <c r="AK81" i="21"/>
  <c r="AK80" i="21"/>
  <c r="AA86" i="21"/>
  <c r="G86" i="21" s="1"/>
  <c r="AO86" i="21"/>
  <c r="K86" i="21" s="1"/>
  <c r="BC86" i="21"/>
  <c r="C86" i="21" s="1"/>
  <c r="AA87" i="21"/>
  <c r="G87" i="21" s="1"/>
  <c r="AO87" i="21"/>
  <c r="K87" i="21" s="1"/>
  <c r="BC87" i="21"/>
  <c r="C87" i="21" s="1"/>
  <c r="AB88" i="21"/>
  <c r="Z88" i="21"/>
  <c r="AP88" i="21"/>
  <c r="AN88" i="21"/>
  <c r="AA90" i="21"/>
  <c r="G90" i="21" s="1"/>
  <c r="AO90" i="21"/>
  <c r="K90" i="21" s="1"/>
  <c r="BD90" i="21"/>
  <c r="BB90" i="21"/>
  <c r="AB91" i="21"/>
  <c r="Z91" i="21"/>
  <c r="AP91" i="21"/>
  <c r="AN91" i="21"/>
  <c r="T92" i="21"/>
  <c r="E92" i="21" s="1"/>
  <c r="O140" i="11" s="1"/>
  <c r="S92" i="21"/>
  <c r="S68" i="21"/>
  <c r="Z68" i="21"/>
  <c r="AG68" i="21"/>
  <c r="AH68" i="21" s="1"/>
  <c r="I68" i="21" s="1"/>
  <c r="AN68" i="21"/>
  <c r="AU68" i="21"/>
  <c r="BB68" i="21"/>
  <c r="AN73" i="21"/>
  <c r="Z74" i="21"/>
  <c r="BB74" i="21"/>
  <c r="AN75" i="21"/>
  <c r="Z76" i="21"/>
  <c r="BB76" i="21"/>
  <c r="BC76" i="21" s="1"/>
  <c r="C76" i="21" s="1"/>
  <c r="AN77" i="21"/>
  <c r="AO77" i="21" s="1"/>
  <c r="K77" i="21" s="1"/>
  <c r="P100" i="21"/>
  <c r="P99" i="21"/>
  <c r="P98" i="21"/>
  <c r="S86" i="21"/>
  <c r="U86" i="21"/>
  <c r="AD100" i="21"/>
  <c r="AD99" i="21"/>
  <c r="AD98" i="21"/>
  <c r="AG86" i="21"/>
  <c r="AI86" i="21"/>
  <c r="AU86" i="21"/>
  <c r="AW86" i="21"/>
  <c r="S87" i="21"/>
  <c r="U87" i="21"/>
  <c r="AG87" i="21"/>
  <c r="AI87" i="21"/>
  <c r="AU87" i="21"/>
  <c r="AW87" i="21"/>
  <c r="AA88" i="21"/>
  <c r="G88" i="21" s="1"/>
  <c r="AO88" i="21"/>
  <c r="K88" i="21" s="1"/>
  <c r="BD88" i="21"/>
  <c r="BB88" i="21"/>
  <c r="AB89" i="21"/>
  <c r="Z89" i="21"/>
  <c r="AA89" i="21" s="1"/>
  <c r="G89" i="21" s="1"/>
  <c r="BC90" i="21"/>
  <c r="C90" i="21" s="1"/>
  <c r="AA91" i="21"/>
  <c r="G91" i="21" s="1"/>
  <c r="AO91" i="21"/>
  <c r="K91" i="21" s="1"/>
  <c r="BD91" i="21"/>
  <c r="BB91" i="21"/>
  <c r="U92" i="21"/>
  <c r="AH88" i="21"/>
  <c r="I88" i="21" s="1"/>
  <c r="T89" i="21"/>
  <c r="E89" i="21" s="1"/>
  <c r="O137" i="11" s="1"/>
  <c r="AV89" i="21"/>
  <c r="A89" i="21" s="1"/>
  <c r="AH90" i="21"/>
  <c r="I90" i="21" s="1"/>
  <c r="T91" i="21"/>
  <c r="E91" i="21" s="1"/>
  <c r="O139" i="11" s="1"/>
  <c r="AA92" i="21"/>
  <c r="G92" i="21" s="1"/>
  <c r="Z92" i="21"/>
  <c r="AO92" i="21"/>
  <c r="K92" i="21" s="1"/>
  <c r="AN92" i="21"/>
  <c r="BC92" i="21"/>
  <c r="C92" i="21" s="1"/>
  <c r="BB92" i="21"/>
  <c r="AA93" i="21"/>
  <c r="G93" i="21" s="1"/>
  <c r="Z93" i="21"/>
  <c r="AO93" i="21"/>
  <c r="K93" i="21" s="1"/>
  <c r="AN93" i="21"/>
  <c r="BC93" i="21"/>
  <c r="C93" i="21" s="1"/>
  <c r="BB93" i="21"/>
  <c r="AA94" i="21"/>
  <c r="G94" i="21" s="1"/>
  <c r="Z94" i="21"/>
  <c r="AN94" i="21"/>
  <c r="AO94" i="21" s="1"/>
  <c r="K94" i="21" s="1"/>
  <c r="BB94" i="21"/>
  <c r="BC94" i="21" s="1"/>
  <c r="C94" i="21" s="1"/>
  <c r="AA95" i="21"/>
  <c r="G95" i="21" s="1"/>
  <c r="Z95" i="21"/>
  <c r="AN95" i="21"/>
  <c r="AO95" i="21" s="1"/>
  <c r="K95" i="21" s="1"/>
  <c r="BB95" i="21"/>
  <c r="BC95" i="21" s="1"/>
  <c r="C95" i="21" s="1"/>
  <c r="AH91" i="21"/>
  <c r="I91" i="21" s="1"/>
  <c r="AH92" i="21"/>
  <c r="I92" i="21" s="1"/>
  <c r="AG92" i="21"/>
  <c r="AV92" i="21"/>
  <c r="A92" i="21" s="1"/>
  <c r="AU92" i="21"/>
  <c r="T93" i="21"/>
  <c r="E93" i="21" s="1"/>
  <c r="O141" i="11" s="1"/>
  <c r="S93" i="21"/>
  <c r="AH93" i="21"/>
  <c r="I93" i="21" s="1"/>
  <c r="AG93" i="21"/>
  <c r="AV93" i="21"/>
  <c r="A93" i="21" s="1"/>
  <c r="AU93" i="21"/>
  <c r="S94" i="21"/>
  <c r="T94" i="21" s="1"/>
  <c r="E94" i="21" s="1"/>
  <c r="O142" i="11" s="1"/>
  <c r="AH94" i="21"/>
  <c r="I94" i="21" s="1"/>
  <c r="AG94" i="21"/>
  <c r="AV94" i="21"/>
  <c r="A94" i="21" s="1"/>
  <c r="AU94" i="21"/>
  <c r="S95" i="21"/>
  <c r="T95" i="21" s="1"/>
  <c r="E95" i="21" s="1"/>
  <c r="O143" i="11" s="1"/>
  <c r="AG95" i="21"/>
  <c r="AH95" i="21" s="1"/>
  <c r="I95" i="21" s="1"/>
  <c r="AV95" i="21"/>
  <c r="A95" i="21" s="1"/>
  <c r="AU95" i="21"/>
  <c r="AE65" i="29" l="1"/>
  <c r="AF61" i="29"/>
  <c r="AG61" i="29" s="1"/>
  <c r="AP59" i="21"/>
  <c r="AN37" i="21"/>
  <c r="AO37" i="21" s="1"/>
  <c r="K37" i="21" s="1"/>
  <c r="AP21" i="21"/>
  <c r="AP15" i="21"/>
  <c r="AP34" i="21"/>
  <c r="AN36" i="21"/>
  <c r="AO36" i="21" s="1"/>
  <c r="K36" i="21" s="1"/>
  <c r="AP16" i="21"/>
  <c r="AN39" i="21"/>
  <c r="AO39" i="21" s="1"/>
  <c r="K39" i="21" s="1"/>
  <c r="AP20" i="21"/>
  <c r="AN20" i="21"/>
  <c r="AO20" i="21" s="1"/>
  <c r="K20" i="21" s="1"/>
  <c r="AP63" i="21"/>
  <c r="AP41" i="21"/>
  <c r="AN57" i="21"/>
  <c r="AO57" i="21" s="1"/>
  <c r="K57" i="21" s="1"/>
  <c r="AP35" i="21"/>
  <c r="AN32" i="21"/>
  <c r="AO32" i="21" s="1"/>
  <c r="K32" i="21" s="1"/>
  <c r="AP51" i="21"/>
  <c r="AN54" i="21"/>
  <c r="AO54" i="21" s="1"/>
  <c r="K54" i="21" s="1"/>
  <c r="AN53" i="21"/>
  <c r="AO53" i="21" s="1"/>
  <c r="K53" i="21" s="1"/>
  <c r="AP53" i="21"/>
  <c r="AN18" i="21"/>
  <c r="AO18" i="21" s="1"/>
  <c r="K18" i="21" s="1"/>
  <c r="AN59" i="21"/>
  <c r="AO59" i="21" s="1"/>
  <c r="K59" i="21" s="1"/>
  <c r="AN38" i="21"/>
  <c r="AO38" i="21" s="1"/>
  <c r="K38" i="21" s="1"/>
  <c r="AN55" i="21"/>
  <c r="AO55" i="21" s="1"/>
  <c r="K55" i="21" s="1"/>
  <c r="AN51" i="21"/>
  <c r="AO51" i="21" s="1"/>
  <c r="K51" i="21" s="1"/>
  <c r="AP33" i="21"/>
  <c r="AP40" i="21"/>
  <c r="AN33" i="21"/>
  <c r="AO33" i="21" s="1"/>
  <c r="K33" i="21" s="1"/>
  <c r="AP19" i="21"/>
  <c r="AP38" i="21"/>
  <c r="AN58" i="21"/>
  <c r="AO58" i="21" s="1"/>
  <c r="K58" i="21" s="1"/>
  <c r="AN56" i="21"/>
  <c r="AO56" i="21" s="1"/>
  <c r="K56" i="21" s="1"/>
  <c r="AN40" i="21"/>
  <c r="AO40" i="21" s="1"/>
  <c r="K40" i="21" s="1"/>
  <c r="AN16" i="21"/>
  <c r="AO16" i="21" s="1"/>
  <c r="K16" i="21" s="1"/>
  <c r="AN52" i="21"/>
  <c r="AO52" i="21" s="1"/>
  <c r="K52" i="21" s="1"/>
  <c r="AN50" i="21"/>
  <c r="AO50" i="21" s="1"/>
  <c r="K50" i="21" s="1"/>
  <c r="AN34" i="21"/>
  <c r="AO34" i="21" s="1"/>
  <c r="K34" i="21" s="1"/>
  <c r="AN21" i="21"/>
  <c r="AO21" i="21" s="1"/>
  <c r="K21" i="21" s="1"/>
  <c r="AN17" i="21"/>
  <c r="AO17" i="21" s="1"/>
  <c r="K17" i="21" s="1"/>
  <c r="AP36" i="21"/>
  <c r="AP57" i="21"/>
  <c r="AN15" i="21"/>
  <c r="AO15" i="21" s="1"/>
  <c r="K15" i="21" s="1"/>
  <c r="AP32" i="21"/>
  <c r="AP18" i="21"/>
  <c r="AP37" i="21"/>
  <c r="AP23" i="21"/>
  <c r="AP17" i="21"/>
  <c r="AN22" i="21"/>
  <c r="AO22" i="21" s="1"/>
  <c r="K22" i="21" s="1"/>
  <c r="AN14" i="21"/>
  <c r="AO14" i="21" s="1"/>
  <c r="K14" i="21" s="1"/>
  <c r="AP52" i="21"/>
  <c r="AP50" i="21"/>
  <c r="AN35" i="21"/>
  <c r="AO35" i="21" s="1"/>
  <c r="K35" i="21" s="1"/>
  <c r="AP54" i="21"/>
  <c r="AP39" i="21"/>
  <c r="AN23" i="21"/>
  <c r="AO23" i="21" s="1"/>
  <c r="K23" i="21" s="1"/>
  <c r="AN19" i="21"/>
  <c r="AO19" i="21" s="1"/>
  <c r="K19" i="21" s="1"/>
  <c r="AP56" i="21"/>
  <c r="AP22" i="21"/>
  <c r="AP58" i="21"/>
  <c r="AP14" i="21"/>
  <c r="AP55" i="21"/>
  <c r="AE139" i="29"/>
  <c r="AO59" i="29"/>
  <c r="AP59" i="29" s="1"/>
  <c r="AN67" i="29"/>
  <c r="AE63" i="29"/>
  <c r="AM147" i="29"/>
  <c r="AN147" i="29" s="1"/>
  <c r="AD145" i="29"/>
  <c r="AE145" i="29" s="1"/>
  <c r="AO113" i="29"/>
  <c r="AP113" i="29" s="1"/>
  <c r="AO121" i="29"/>
  <c r="AP121" i="29" s="1"/>
  <c r="AE107" i="29"/>
  <c r="AO139" i="29"/>
  <c r="AP139" i="29" s="1"/>
  <c r="AO60" i="29"/>
  <c r="AP60" i="29" s="1"/>
  <c r="AE57" i="29"/>
  <c r="AE123" i="29"/>
  <c r="AE58" i="29"/>
  <c r="AF59" i="29"/>
  <c r="AG59" i="29" s="1"/>
  <c r="AO62" i="29"/>
  <c r="AP62" i="29" s="1"/>
  <c r="AF66" i="29"/>
  <c r="AG66" i="29" s="1"/>
  <c r="AO137" i="29"/>
  <c r="AP137" i="29" s="1"/>
  <c r="AF138" i="29"/>
  <c r="AG138" i="29" s="1"/>
  <c r="AO129" i="29"/>
  <c r="AP129" i="29" s="1"/>
  <c r="AF106" i="29"/>
  <c r="AG106" i="29" s="1"/>
  <c r="AE60" i="29"/>
  <c r="AF60" i="29"/>
  <c r="AG60" i="29" s="1"/>
  <c r="AN107" i="29"/>
  <c r="AE122" i="29"/>
  <c r="AF122" i="29"/>
  <c r="AG122" i="29" s="1"/>
  <c r="AO58" i="29"/>
  <c r="AP58" i="29" s="1"/>
  <c r="AN58" i="29"/>
  <c r="AO106" i="29"/>
  <c r="AP106" i="29" s="1"/>
  <c r="AN106" i="29"/>
  <c r="AM146" i="29"/>
  <c r="AO105" i="29"/>
  <c r="AP105" i="29" s="1"/>
  <c r="AN105" i="29"/>
  <c r="AO57" i="29"/>
  <c r="AP57" i="29" s="1"/>
  <c r="AN57" i="29"/>
  <c r="AO66" i="29"/>
  <c r="AP66" i="29" s="1"/>
  <c r="AN66" i="29"/>
  <c r="AO138" i="29"/>
  <c r="AP138" i="29" s="1"/>
  <c r="AN138" i="29"/>
  <c r="AF147" i="29"/>
  <c r="AG147" i="29" s="1"/>
  <c r="AE147" i="29"/>
  <c r="AF62" i="29"/>
  <c r="AG62" i="29" s="1"/>
  <c r="AE62" i="29"/>
  <c r="AM145" i="29"/>
  <c r="AO123" i="29"/>
  <c r="AP123" i="29" s="1"/>
  <c r="AN123" i="29"/>
  <c r="AO122" i="29"/>
  <c r="AP122" i="29" s="1"/>
  <c r="AN122" i="29"/>
  <c r="AD146" i="29"/>
  <c r="AW98" i="21"/>
  <c r="AV98" i="21"/>
  <c r="AU98" i="21"/>
  <c r="AW80" i="21"/>
  <c r="AV80" i="21"/>
  <c r="AU80" i="21"/>
  <c r="BA17" i="21"/>
  <c r="BA23" i="21"/>
  <c r="AZ14" i="21"/>
  <c r="BA20" i="21"/>
  <c r="AZ15" i="21"/>
  <c r="AT14" i="21"/>
  <c r="AT15" i="21"/>
  <c r="AS23" i="21"/>
  <c r="AS18" i="21"/>
  <c r="AU36" i="21" s="1"/>
  <c r="AV36" i="21" s="1"/>
  <c r="A36" i="21" s="1"/>
  <c r="AZ22" i="21"/>
  <c r="AZ24" i="21"/>
  <c r="BA19" i="21"/>
  <c r="AZ21" i="21"/>
  <c r="BA22" i="21"/>
  <c r="AT21" i="21"/>
  <c r="AS19" i="21"/>
  <c r="AU100" i="21"/>
  <c r="AW100" i="21"/>
  <c r="AV100" i="21"/>
  <c r="AU81" i="21"/>
  <c r="AW81" i="21"/>
  <c r="AV81" i="21"/>
  <c r="BA14" i="21"/>
  <c r="AZ20" i="21"/>
  <c r="AZ17" i="21"/>
  <c r="BA18" i="21"/>
  <c r="AW99" i="21"/>
  <c r="AV99" i="21"/>
  <c r="AU99" i="21"/>
  <c r="AV82" i="21"/>
  <c r="AU82" i="21"/>
  <c r="AW82" i="21"/>
  <c r="AZ16" i="21"/>
  <c r="BA24" i="21"/>
  <c r="AU26" i="21"/>
  <c r="AV26" i="21" s="1"/>
  <c r="AW26" i="21"/>
  <c r="AW28" i="21"/>
  <c r="AU28" i="21"/>
  <c r="AV28" i="21" s="1"/>
  <c r="BB98" i="21"/>
  <c r="BB99" i="21"/>
  <c r="BB100" i="21"/>
  <c r="BB80" i="21"/>
  <c r="BB81" i="21"/>
  <c r="BB82" i="21"/>
  <c r="AW27" i="21"/>
  <c r="AU27" i="21"/>
  <c r="AV27" i="21" s="1"/>
  <c r="AU62" i="21"/>
  <c r="AV62" i="21" s="1"/>
  <c r="AW62" i="21"/>
  <c r="AN63" i="21"/>
  <c r="AO63" i="21" s="1"/>
  <c r="AW63" i="21"/>
  <c r="AU63" i="21"/>
  <c r="AV63" i="21" s="1"/>
  <c r="AU64" i="21"/>
  <c r="AV64" i="21" s="1"/>
  <c r="AW64" i="21"/>
  <c r="AW46" i="21"/>
  <c r="AU46" i="21"/>
  <c r="AV46" i="21" s="1"/>
  <c r="AW44" i="21"/>
  <c r="AU44" i="21"/>
  <c r="AV44" i="21" s="1"/>
  <c r="AU45" i="21"/>
  <c r="AV45" i="21" s="1"/>
  <c r="AW45" i="21"/>
  <c r="AY80" i="21"/>
  <c r="AY82" i="21"/>
  <c r="AY81" i="21"/>
  <c r="AY98" i="21"/>
  <c r="AY100" i="21"/>
  <c r="AY99" i="21"/>
  <c r="G149" i="26"/>
  <c r="G88" i="26"/>
  <c r="I88" i="26" s="1"/>
  <c r="G153" i="26"/>
  <c r="O102" i="11"/>
  <c r="D90" i="26"/>
  <c r="D105" i="26"/>
  <c r="G102" i="26"/>
  <c r="I102" i="26" s="1"/>
  <c r="G92" i="26"/>
  <c r="D29" i="26"/>
  <c r="G31" i="26"/>
  <c r="G27" i="26"/>
  <c r="D83" i="26"/>
  <c r="D100" i="26"/>
  <c r="O86" i="11"/>
  <c r="A53" i="11"/>
  <c r="E14" i="21"/>
  <c r="AB62" i="21"/>
  <c r="D151" i="26"/>
  <c r="E59" i="21"/>
  <c r="O111" i="11" s="1"/>
  <c r="F53" i="11"/>
  <c r="AI80" i="21"/>
  <c r="AG80" i="21"/>
  <c r="AH80" i="21" s="1"/>
  <c r="AP44" i="21"/>
  <c r="G95" i="26" s="1"/>
  <c r="I95" i="26" s="1"/>
  <c r="AN44" i="21"/>
  <c r="AO44" i="21" s="1"/>
  <c r="Z27" i="21"/>
  <c r="AA27" i="21" s="1"/>
  <c r="AB27" i="21"/>
  <c r="AN26" i="21"/>
  <c r="AO26" i="21" s="1"/>
  <c r="AP26" i="21"/>
  <c r="G34" i="26" s="1"/>
  <c r="AN28" i="21"/>
  <c r="AO28" i="21" s="1"/>
  <c r="AP28" i="21"/>
  <c r="AI104" i="21"/>
  <c r="AG104" i="21"/>
  <c r="AH104" i="21" s="1"/>
  <c r="AB105" i="21"/>
  <c r="Z105" i="21"/>
  <c r="AA105" i="21" s="1"/>
  <c r="U106" i="21"/>
  <c r="S106" i="21"/>
  <c r="T106" i="21" s="1"/>
  <c r="S99" i="21"/>
  <c r="T99" i="21" s="1"/>
  <c r="U99" i="21"/>
  <c r="U82" i="21"/>
  <c r="S82" i="21"/>
  <c r="T82" i="21" s="1"/>
  <c r="Z63" i="21"/>
  <c r="AA63" i="21" s="1"/>
  <c r="AB63" i="21"/>
  <c r="AI45" i="21"/>
  <c r="AG45" i="21"/>
  <c r="AH45" i="21" s="1"/>
  <c r="AO80" i="21"/>
  <c r="AP80" i="21"/>
  <c r="AN80" i="21"/>
  <c r="AB82" i="21"/>
  <c r="Z82" i="21"/>
  <c r="AA82" i="21" s="1"/>
  <c r="AG62" i="21"/>
  <c r="AH62" i="21" s="1"/>
  <c r="AI62" i="21"/>
  <c r="G152" i="26" s="1"/>
  <c r="AB46" i="21"/>
  <c r="Z46" i="21"/>
  <c r="AA46" i="21" s="1"/>
  <c r="AB45" i="21"/>
  <c r="Z45" i="21"/>
  <c r="AA45" i="21" s="1"/>
  <c r="AG27" i="21"/>
  <c r="AH27" i="21" s="1"/>
  <c r="AI27" i="21"/>
  <c r="Z64" i="21"/>
  <c r="AA64" i="21" s="1"/>
  <c r="AB64" i="21"/>
  <c r="S62" i="21"/>
  <c r="T62" i="21" s="1"/>
  <c r="U62" i="21"/>
  <c r="G162" i="26" s="1"/>
  <c r="AN62" i="21"/>
  <c r="AO62" i="21" s="1"/>
  <c r="AP62" i="21"/>
  <c r="G156" i="26" s="1"/>
  <c r="AP45" i="21"/>
  <c r="AN45" i="21"/>
  <c r="AO45" i="21" s="1"/>
  <c r="AG26" i="21"/>
  <c r="AH26" i="21" s="1"/>
  <c r="AI26" i="21"/>
  <c r="G30" i="26" s="1"/>
  <c r="AW104" i="21"/>
  <c r="AU104" i="21"/>
  <c r="AV104" i="21" s="1"/>
  <c r="AP104" i="21"/>
  <c r="AN104" i="21"/>
  <c r="AO104" i="21" s="1"/>
  <c r="AI105" i="21"/>
  <c r="AG105" i="21"/>
  <c r="AH105" i="21" s="1"/>
  <c r="AB106" i="21"/>
  <c r="Z106" i="21"/>
  <c r="AA106" i="21" s="1"/>
  <c r="AI46" i="21"/>
  <c r="AG46" i="21"/>
  <c r="AH46" i="21" s="1"/>
  <c r="AG100" i="21"/>
  <c r="AH100" i="21" s="1"/>
  <c r="AI100" i="21"/>
  <c r="AB81" i="21"/>
  <c r="Z81" i="21"/>
  <c r="AA81" i="21" s="1"/>
  <c r="Z100" i="21"/>
  <c r="AA100" i="21" s="1"/>
  <c r="AB100" i="21"/>
  <c r="AG63" i="21"/>
  <c r="AH63" i="21" s="1"/>
  <c r="AI63" i="21"/>
  <c r="S100" i="21"/>
  <c r="T100" i="21" s="1"/>
  <c r="U100" i="21"/>
  <c r="AI81" i="21"/>
  <c r="AG81" i="21"/>
  <c r="AH81" i="21" s="1"/>
  <c r="AN98" i="21"/>
  <c r="AO98" i="21" s="1"/>
  <c r="AP98" i="21"/>
  <c r="AH98" i="21"/>
  <c r="AG98" i="21"/>
  <c r="AI98" i="21"/>
  <c r="AP81" i="21"/>
  <c r="AN81" i="21"/>
  <c r="AO81" i="21" s="1"/>
  <c r="AI82" i="21"/>
  <c r="AG82" i="21"/>
  <c r="AH82" i="21" s="1"/>
  <c r="U80" i="21"/>
  <c r="S80" i="21"/>
  <c r="T80" i="21" s="1"/>
  <c r="AN99" i="21"/>
  <c r="AO99" i="21" s="1"/>
  <c r="AP99" i="21"/>
  <c r="Z98" i="21"/>
  <c r="AA98" i="21" s="1"/>
  <c r="AB98" i="21"/>
  <c r="U44" i="21"/>
  <c r="G101" i="26" s="1"/>
  <c r="I101" i="26" s="1"/>
  <c r="S44" i="21"/>
  <c r="T44" i="21" s="1"/>
  <c r="U46" i="21"/>
  <c r="S46" i="21"/>
  <c r="T46" i="21" s="1"/>
  <c r="AG28" i="21"/>
  <c r="AH28" i="21" s="1"/>
  <c r="AI28" i="21"/>
  <c r="S27" i="21"/>
  <c r="T27" i="21" s="1"/>
  <c r="U27" i="21"/>
  <c r="S63" i="21"/>
  <c r="T63" i="21" s="1"/>
  <c r="U63" i="21"/>
  <c r="AI44" i="21"/>
  <c r="G91" i="26" s="1"/>
  <c r="I91" i="26" s="1"/>
  <c r="AG44" i="21"/>
  <c r="AH44" i="21" s="1"/>
  <c r="Z28" i="21"/>
  <c r="AA28" i="21" s="1"/>
  <c r="AB28" i="21"/>
  <c r="AB44" i="21"/>
  <c r="Z44" i="21"/>
  <c r="AA44" i="21" s="1"/>
  <c r="Z26" i="21"/>
  <c r="AA26" i="21" s="1"/>
  <c r="AB26" i="21"/>
  <c r="AW105" i="21"/>
  <c r="AU105" i="21"/>
  <c r="AV105" i="21" s="1"/>
  <c r="AP105" i="21"/>
  <c r="AN105" i="21"/>
  <c r="AO105" i="21" s="1"/>
  <c r="AI106" i="21"/>
  <c r="AG106" i="21"/>
  <c r="AH106" i="21" s="1"/>
  <c r="U104" i="21"/>
  <c r="S104" i="21"/>
  <c r="T104" i="21" s="1"/>
  <c r="AG99" i="21"/>
  <c r="AH99" i="21" s="1"/>
  <c r="AI99" i="21"/>
  <c r="S98" i="21"/>
  <c r="T98" i="21" s="1"/>
  <c r="U98" i="21"/>
  <c r="AP82" i="21"/>
  <c r="AN82" i="21"/>
  <c r="AO82" i="21" s="1"/>
  <c r="AB80" i="21"/>
  <c r="Z80" i="21"/>
  <c r="AA80" i="21" s="1"/>
  <c r="U81" i="21"/>
  <c r="S81" i="21"/>
  <c r="T81" i="21" s="1"/>
  <c r="AN100" i="21"/>
  <c r="AO100" i="21" s="1"/>
  <c r="AP100" i="21"/>
  <c r="Z99" i="21"/>
  <c r="AA99" i="21" s="1"/>
  <c r="AB99" i="21"/>
  <c r="AG64" i="21"/>
  <c r="AH64" i="21" s="1"/>
  <c r="AI64" i="21"/>
  <c r="AN64" i="21"/>
  <c r="AO64" i="21" s="1"/>
  <c r="AP64" i="21"/>
  <c r="AP46" i="21"/>
  <c r="AN46" i="21"/>
  <c r="AO46" i="21" s="1"/>
  <c r="S28" i="21"/>
  <c r="T28" i="21" s="1"/>
  <c r="U28" i="21"/>
  <c r="S64" i="21"/>
  <c r="T64" i="21" s="1"/>
  <c r="U64" i="21"/>
  <c r="AN27" i="21"/>
  <c r="AO27" i="21" s="1"/>
  <c r="AP27" i="21"/>
  <c r="S26" i="21"/>
  <c r="T26" i="21" s="1"/>
  <c r="U26" i="21"/>
  <c r="G40" i="26" s="1"/>
  <c r="AW106" i="21"/>
  <c r="AU106" i="21"/>
  <c r="AV106" i="21" s="1"/>
  <c r="AP106" i="21"/>
  <c r="AN106" i="21"/>
  <c r="AO106" i="21" s="1"/>
  <c r="AB104" i="21"/>
  <c r="Z104" i="21"/>
  <c r="AA104" i="21" s="1"/>
  <c r="U105" i="21"/>
  <c r="S105" i="21"/>
  <c r="T105" i="21" s="1"/>
  <c r="U45" i="21"/>
  <c r="S45" i="21"/>
  <c r="T45" i="21" s="1"/>
  <c r="D33" i="26" l="1"/>
  <c r="D94" i="26"/>
  <c r="D120" i="26" s="1"/>
  <c r="G157" i="26"/>
  <c r="D155" i="26"/>
  <c r="G96" i="26"/>
  <c r="I96" i="26" s="1"/>
  <c r="G35" i="26"/>
  <c r="AO147" i="29"/>
  <c r="AP147" i="29" s="1"/>
  <c r="AF145" i="29"/>
  <c r="AG145" i="29" s="1"/>
  <c r="AU51" i="21"/>
  <c r="AV51" i="21" s="1"/>
  <c r="A51" i="21" s="1"/>
  <c r="AU56" i="21"/>
  <c r="AV56" i="21" s="1"/>
  <c r="A56" i="21" s="1"/>
  <c r="AU53" i="21"/>
  <c r="AV53" i="21" s="1"/>
  <c r="A53" i="21" s="1"/>
  <c r="AU55" i="21"/>
  <c r="AV55" i="21" s="1"/>
  <c r="A55" i="21" s="1"/>
  <c r="AU40" i="21"/>
  <c r="AV40" i="21" s="1"/>
  <c r="A40" i="21" s="1"/>
  <c r="AU52" i="21"/>
  <c r="AV52" i="21" s="1"/>
  <c r="A52" i="21" s="1"/>
  <c r="AW56" i="21"/>
  <c r="AU14" i="21"/>
  <c r="AV14" i="21" s="1"/>
  <c r="A14" i="21" s="1"/>
  <c r="AU33" i="21"/>
  <c r="AV33" i="21" s="1"/>
  <c r="A33" i="21" s="1"/>
  <c r="AO145" i="29"/>
  <c r="AP145" i="29" s="1"/>
  <c r="AN145" i="29"/>
  <c r="AF146" i="29"/>
  <c r="AG146" i="29" s="1"/>
  <c r="AE146" i="29"/>
  <c r="AO146" i="29"/>
  <c r="AP146" i="29" s="1"/>
  <c r="AN146" i="29"/>
  <c r="AW33" i="21"/>
  <c r="AW14" i="21"/>
  <c r="BB21" i="21"/>
  <c r="BC21" i="21" s="1"/>
  <c r="BD18" i="21"/>
  <c r="AW58" i="21"/>
  <c r="AW15" i="21"/>
  <c r="AW38" i="21"/>
  <c r="AU34" i="21"/>
  <c r="AV34" i="21" s="1"/>
  <c r="A34" i="21" s="1"/>
  <c r="AU15" i="21"/>
  <c r="AV15" i="21" s="1"/>
  <c r="A15" i="21" s="1"/>
  <c r="AW36" i="21"/>
  <c r="BB19" i="21"/>
  <c r="BC19" i="21" s="1"/>
  <c r="AU57" i="21"/>
  <c r="AV57" i="21" s="1"/>
  <c r="A57" i="21" s="1"/>
  <c r="BD21" i="21"/>
  <c r="AW55" i="21"/>
  <c r="AW32" i="21"/>
  <c r="AW54" i="21"/>
  <c r="AW35" i="21"/>
  <c r="AU54" i="21"/>
  <c r="AV54" i="21" s="1"/>
  <c r="A54" i="21" s="1"/>
  <c r="BB15" i="21"/>
  <c r="BC15" i="21" s="1"/>
  <c r="AW23" i="21"/>
  <c r="AU18" i="21"/>
  <c r="AV18" i="21" s="1"/>
  <c r="A18" i="21" s="1"/>
  <c r="AU19" i="21"/>
  <c r="AV19" i="21" s="1"/>
  <c r="A19" i="21" s="1"/>
  <c r="AW19" i="21"/>
  <c r="AU41" i="21"/>
  <c r="AV41" i="21" s="1"/>
  <c r="A41" i="21" s="1"/>
  <c r="AW17" i="21"/>
  <c r="BB17" i="21"/>
  <c r="BC17" i="21" s="1"/>
  <c r="AW39" i="21"/>
  <c r="AU59" i="21"/>
  <c r="AV59" i="21" s="1"/>
  <c r="A59" i="21" s="1"/>
  <c r="AW20" i="21"/>
  <c r="AW40" i="21"/>
  <c r="AU22" i="21"/>
  <c r="AV22" i="21" s="1"/>
  <c r="A22" i="21" s="1"/>
  <c r="AU32" i="21"/>
  <c r="AV32" i="21" s="1"/>
  <c r="A32" i="21" s="1"/>
  <c r="BB16" i="21"/>
  <c r="BC16" i="21" s="1"/>
  <c r="AW53" i="21"/>
  <c r="AW22" i="21"/>
  <c r="AU50" i="21"/>
  <c r="AV50" i="21" s="1"/>
  <c r="A50" i="21" s="1"/>
  <c r="AW57" i="21"/>
  <c r="AW16" i="21"/>
  <c r="AW37" i="21"/>
  <c r="AW18" i="21"/>
  <c r="AU58" i="21"/>
  <c r="AV58" i="21" s="1"/>
  <c r="A58" i="21" s="1"/>
  <c r="AU37" i="21"/>
  <c r="AV37" i="21" s="1"/>
  <c r="A37" i="21" s="1"/>
  <c r="AU20" i="21"/>
  <c r="AV20" i="21" s="1"/>
  <c r="A20" i="21" s="1"/>
  <c r="AU38" i="21"/>
  <c r="AV38" i="21" s="1"/>
  <c r="A38" i="21" s="1"/>
  <c r="AU21" i="21"/>
  <c r="AV21" i="21" s="1"/>
  <c r="A21" i="21" s="1"/>
  <c r="AU23" i="21"/>
  <c r="AV23" i="21" s="1"/>
  <c r="A23" i="21" s="1"/>
  <c r="AW21" i="21"/>
  <c r="AW59" i="21"/>
  <c r="AW52" i="21"/>
  <c r="BD15" i="21"/>
  <c r="AU16" i="21"/>
  <c r="AV16" i="21" s="1"/>
  <c r="A16" i="21" s="1"/>
  <c r="AU35" i="21"/>
  <c r="AV35" i="21" s="1"/>
  <c r="A35" i="21" s="1"/>
  <c r="AU17" i="21"/>
  <c r="AV17" i="21" s="1"/>
  <c r="A17" i="21" s="1"/>
  <c r="AU39" i="21"/>
  <c r="AV39" i="21" s="1"/>
  <c r="A39" i="21" s="1"/>
  <c r="AW34" i="21"/>
  <c r="AW41" i="21"/>
  <c r="AW51" i="21"/>
  <c r="AW50" i="21"/>
  <c r="BC99" i="21"/>
  <c r="BD99" i="21"/>
  <c r="BD100" i="21"/>
  <c r="BC100" i="21"/>
  <c r="BC80" i="21"/>
  <c r="BD80" i="21"/>
  <c r="BD82" i="21"/>
  <c r="BC82" i="21"/>
  <c r="BD98" i="21"/>
  <c r="BC98" i="21"/>
  <c r="BD81" i="21"/>
  <c r="BC81" i="21"/>
  <c r="BB38" i="21"/>
  <c r="BC38" i="21" s="1"/>
  <c r="C38" i="21" s="1"/>
  <c r="BB41" i="21"/>
  <c r="BC41" i="21" s="1"/>
  <c r="C41" i="21" s="1"/>
  <c r="BD22" i="21"/>
  <c r="BD20" i="21"/>
  <c r="BB18" i="21"/>
  <c r="BC18" i="21" s="1"/>
  <c r="BB20" i="21"/>
  <c r="BC20" i="21" s="1"/>
  <c r="BD14" i="21"/>
  <c r="BD35" i="21"/>
  <c r="BD51" i="21"/>
  <c r="BD50" i="21"/>
  <c r="BD19" i="21"/>
  <c r="BB23" i="21"/>
  <c r="BC23" i="21" s="1"/>
  <c r="BD23" i="21"/>
  <c r="BD16" i="21"/>
  <c r="BD34" i="21"/>
  <c r="BD57" i="21"/>
  <c r="BB37" i="21"/>
  <c r="BC37" i="21" s="1"/>
  <c r="C37" i="21" s="1"/>
  <c r="BD36" i="21"/>
  <c r="BB59" i="21"/>
  <c r="BC59" i="21" s="1"/>
  <c r="C59" i="21" s="1"/>
  <c r="BD53" i="21"/>
  <c r="BD37" i="21"/>
  <c r="BD58" i="21"/>
  <c r="BD52" i="21"/>
  <c r="BB54" i="21"/>
  <c r="BC54" i="21" s="1"/>
  <c r="C54" i="21" s="1"/>
  <c r="BD32" i="21"/>
  <c r="BD38" i="21"/>
  <c r="BD55" i="21"/>
  <c r="BD40" i="21"/>
  <c r="BB53" i="21"/>
  <c r="BC53" i="21" s="1"/>
  <c r="C53" i="21" s="1"/>
  <c r="BB33" i="21"/>
  <c r="BC33" i="21" s="1"/>
  <c r="C33" i="21" s="1"/>
  <c r="BD56" i="21"/>
  <c r="BB36" i="21"/>
  <c r="BC36" i="21" s="1"/>
  <c r="C36" i="21" s="1"/>
  <c r="BD33" i="21"/>
  <c r="BD39" i="21"/>
  <c r="BB50" i="21"/>
  <c r="BB39" i="21"/>
  <c r="BC39" i="21" s="1"/>
  <c r="C39" i="21" s="1"/>
  <c r="BB58" i="21"/>
  <c r="BC58" i="21" s="1"/>
  <c r="C58" i="21" s="1"/>
  <c r="BD54" i="21"/>
  <c r="BB32" i="21"/>
  <c r="BB35" i="21"/>
  <c r="BC35" i="21" s="1"/>
  <c r="C35" i="21" s="1"/>
  <c r="BD59" i="21"/>
  <c r="BB34" i="21"/>
  <c r="BC34" i="21" s="1"/>
  <c r="C34" i="21" s="1"/>
  <c r="BB51" i="21"/>
  <c r="BC51" i="21" s="1"/>
  <c r="C51" i="21" s="1"/>
  <c r="D118" i="26"/>
  <c r="G118" i="26" s="1"/>
  <c r="I118" i="26" s="1"/>
  <c r="BB40" i="21"/>
  <c r="BC40" i="21" s="1"/>
  <c r="C40" i="21" s="1"/>
  <c r="BB56" i="21"/>
  <c r="BC56" i="21" s="1"/>
  <c r="C56" i="21" s="1"/>
  <c r="BB52" i="21"/>
  <c r="BC52" i="21" s="1"/>
  <c r="C52" i="21" s="1"/>
  <c r="BB14" i="21"/>
  <c r="BB22" i="21"/>
  <c r="BC22" i="21" s="1"/>
  <c r="BB57" i="21"/>
  <c r="BC57" i="21" s="1"/>
  <c r="C57" i="21" s="1"/>
  <c r="BD41" i="21"/>
  <c r="BD17" i="21"/>
  <c r="BB55" i="21"/>
  <c r="BC55" i="21" s="1"/>
  <c r="C55" i="21" s="1"/>
  <c r="G163" i="26"/>
  <c r="G148" i="26"/>
  <c r="G167" i="26"/>
  <c r="I92" i="26"/>
  <c r="G119" i="26"/>
  <c r="I119" i="26" s="1"/>
  <c r="G87" i="26"/>
  <c r="I87" i="26" s="1"/>
  <c r="G106" i="26"/>
  <c r="I106" i="26" s="1"/>
  <c r="D119" i="26"/>
  <c r="G26" i="26"/>
  <c r="G45" i="26"/>
  <c r="O70" i="11"/>
  <c r="D39" i="26"/>
  <c r="G41" i="26"/>
  <c r="G107" i="26"/>
  <c r="I107" i="26" s="1"/>
  <c r="A94" i="16"/>
  <c r="A93" i="16"/>
  <c r="A92" i="16"/>
  <c r="D298" i="26"/>
  <c r="G298" i="26" s="1"/>
  <c r="I298" i="26" s="1"/>
  <c r="M298" i="26" s="1"/>
  <c r="N298" i="26" s="1"/>
  <c r="P298" i="26" s="1"/>
  <c r="D237" i="26"/>
  <c r="G237" i="26" s="1"/>
  <c r="I237" i="26" s="1"/>
  <c r="M237" i="26" s="1"/>
  <c r="N237" i="26" s="1"/>
  <c r="P237" i="26" s="1"/>
  <c r="D176" i="26"/>
  <c r="G176" i="26" s="1"/>
  <c r="I176" i="26" s="1"/>
  <c r="M176" i="26" s="1"/>
  <c r="D54" i="26"/>
  <c r="G54" i="26" s="1"/>
  <c r="I54" i="26" s="1"/>
  <c r="M54" i="26" s="1"/>
  <c r="D74" i="26" l="1"/>
  <c r="N54" i="26"/>
  <c r="N48" i="30"/>
  <c r="N176" i="26"/>
  <c r="N170" i="30"/>
  <c r="D13" i="26"/>
  <c r="D135" i="26"/>
  <c r="BC14" i="21"/>
  <c r="C14" i="21" s="1"/>
  <c r="BB27" i="21"/>
  <c r="BB26" i="21"/>
  <c r="D10" i="26" s="1"/>
  <c r="BB28" i="21"/>
  <c r="BB64" i="21"/>
  <c r="BB62" i="21"/>
  <c r="D132" i="26" s="1"/>
  <c r="BB63" i="21"/>
  <c r="BB45" i="21"/>
  <c r="BB46" i="21"/>
  <c r="BB44" i="21"/>
  <c r="D71" i="26" s="1"/>
  <c r="AY27" i="21"/>
  <c r="BD27" i="21" s="1"/>
  <c r="BC32" i="21"/>
  <c r="C32" i="21" s="1"/>
  <c r="D72" i="26" s="1"/>
  <c r="AY45" i="21"/>
  <c r="BD45" i="21" s="1"/>
  <c r="AY46" i="21"/>
  <c r="BD46" i="21" s="1"/>
  <c r="AY44" i="21"/>
  <c r="BC50" i="21"/>
  <c r="C50" i="21" s="1"/>
  <c r="D133" i="26" s="1"/>
  <c r="AY64" i="21"/>
  <c r="BD64" i="21" s="1"/>
  <c r="AY62" i="21"/>
  <c r="AY63" i="21"/>
  <c r="BD63" i="21" s="1"/>
  <c r="AY28" i="21"/>
  <c r="BD28" i="21" s="1"/>
  <c r="AY26" i="21"/>
  <c r="R148" i="11"/>
  <c r="R132" i="11"/>
  <c r="P176" i="26" l="1"/>
  <c r="O170" i="30"/>
  <c r="U136" i="30" s="1"/>
  <c r="P54" i="26"/>
  <c r="O48" i="30"/>
  <c r="U14" i="30" s="1"/>
  <c r="BC27" i="21"/>
  <c r="BD26" i="21"/>
  <c r="BC26" i="21"/>
  <c r="BC63" i="21"/>
  <c r="BC62" i="21"/>
  <c r="BD62" i="21"/>
  <c r="BC64" i="21"/>
  <c r="BD44" i="21"/>
  <c r="BC44" i="21"/>
  <c r="BC46" i="21"/>
  <c r="BC45" i="21"/>
  <c r="BC28" i="21"/>
  <c r="J6" i="27"/>
  <c r="AM92" i="16" s="1"/>
  <c r="J5" i="27"/>
  <c r="AQ94" i="16"/>
  <c r="AD94" i="16"/>
  <c r="W91" i="16"/>
  <c r="Q63" i="26"/>
  <c r="Q124" i="26"/>
  <c r="Q185" i="26"/>
  <c r="AD85" i="16" l="1"/>
  <c r="AD103" i="16"/>
  <c r="J7" i="27"/>
  <c r="T26" i="16"/>
  <c r="T25" i="16"/>
  <c r="T27" i="16"/>
  <c r="C46" i="11"/>
  <c r="M46" i="11" s="1"/>
  <c r="A96" i="11" l="1"/>
  <c r="A83" i="11" s="1"/>
  <c r="AA104" i="11"/>
  <c r="AA105" i="11"/>
  <c r="AA106" i="11"/>
  <c r="AA107" i="11"/>
  <c r="AA108" i="11"/>
  <c r="AA109" i="11"/>
  <c r="AA110" i="11"/>
  <c r="AA111" i="11"/>
  <c r="AA103" i="11"/>
  <c r="Z104" i="11"/>
  <c r="Z105" i="11"/>
  <c r="Z106" i="11"/>
  <c r="Z107" i="11"/>
  <c r="Z108" i="11"/>
  <c r="Z109" i="11"/>
  <c r="Z110" i="11"/>
  <c r="Z111" i="11"/>
  <c r="Z103" i="11"/>
  <c r="Y104" i="11"/>
  <c r="Y105" i="11"/>
  <c r="Y106" i="11"/>
  <c r="Y107" i="11"/>
  <c r="Y108" i="11"/>
  <c r="Y109" i="11"/>
  <c r="Y110" i="11"/>
  <c r="Y111" i="11"/>
  <c r="Y103" i="11"/>
  <c r="X104" i="11"/>
  <c r="X105" i="11"/>
  <c r="X106" i="11"/>
  <c r="X107" i="11"/>
  <c r="X108" i="11"/>
  <c r="X109" i="11"/>
  <c r="X110" i="11"/>
  <c r="X111" i="11"/>
  <c r="X103" i="11"/>
  <c r="X102" i="11"/>
  <c r="AA88" i="11"/>
  <c r="AA89" i="11"/>
  <c r="AA90" i="11"/>
  <c r="AA91" i="11"/>
  <c r="AA92" i="11"/>
  <c r="AA93" i="11"/>
  <c r="AA94" i="11"/>
  <c r="AA95" i="11"/>
  <c r="AA87" i="11"/>
  <c r="Z88" i="11"/>
  <c r="Z89" i="11"/>
  <c r="Z90" i="11"/>
  <c r="Z91" i="11"/>
  <c r="Z92" i="11"/>
  <c r="Z93" i="11"/>
  <c r="Z94" i="11"/>
  <c r="Z95" i="11"/>
  <c r="Z87" i="11"/>
  <c r="AA72" i="11"/>
  <c r="AA73" i="11"/>
  <c r="AA74" i="11"/>
  <c r="AA75" i="11"/>
  <c r="AA76" i="11"/>
  <c r="AA77" i="11"/>
  <c r="AA78" i="11"/>
  <c r="AA79" i="11"/>
  <c r="AA71" i="11"/>
  <c r="Z72" i="11"/>
  <c r="Z73" i="11"/>
  <c r="Z74" i="11"/>
  <c r="Z75" i="11"/>
  <c r="Z76" i="11"/>
  <c r="Z77" i="11"/>
  <c r="Z78" i="11"/>
  <c r="Z79" i="11"/>
  <c r="Z71" i="11"/>
  <c r="Y88" i="11"/>
  <c r="Y89" i="11"/>
  <c r="Y90" i="11"/>
  <c r="Y91" i="11"/>
  <c r="Y92" i="11"/>
  <c r="Y93" i="11"/>
  <c r="Y94" i="11"/>
  <c r="Y95" i="11"/>
  <c r="Y87" i="11"/>
  <c r="Y86" i="11"/>
  <c r="X88" i="11"/>
  <c r="X89" i="11"/>
  <c r="X90" i="11"/>
  <c r="X91" i="11"/>
  <c r="X92" i="11"/>
  <c r="X93" i="11"/>
  <c r="X94" i="11"/>
  <c r="X95" i="11"/>
  <c r="X87" i="11"/>
  <c r="X86" i="11"/>
  <c r="X72" i="11"/>
  <c r="X73" i="11"/>
  <c r="X74" i="11"/>
  <c r="X75" i="11"/>
  <c r="X76" i="11"/>
  <c r="X77" i="11"/>
  <c r="X78" i="11"/>
  <c r="X79" i="11"/>
  <c r="Y72" i="11"/>
  <c r="Y73" i="11"/>
  <c r="Y74" i="11"/>
  <c r="Y75" i="11"/>
  <c r="Y76" i="11"/>
  <c r="Y77" i="11"/>
  <c r="Y78" i="11"/>
  <c r="Y79" i="11"/>
  <c r="Y71" i="11"/>
  <c r="X71" i="11"/>
  <c r="X70" i="11"/>
  <c r="F22" i="11"/>
  <c r="AC16" i="11" l="1"/>
  <c r="D110" i="26"/>
  <c r="G110" i="26" l="1"/>
  <c r="I110" i="26" s="1"/>
  <c r="Y135" i="11"/>
  <c r="Y136" i="11"/>
  <c r="Y137" i="11"/>
  <c r="Y138" i="11"/>
  <c r="Y139" i="11"/>
  <c r="Y140" i="11"/>
  <c r="Y141" i="11"/>
  <c r="Y142" i="11"/>
  <c r="Y143" i="11"/>
  <c r="Y134" i="11"/>
  <c r="Y119" i="11"/>
  <c r="Y120" i="11"/>
  <c r="Y121" i="11"/>
  <c r="Y122" i="11"/>
  <c r="Y123" i="11"/>
  <c r="Y124" i="11"/>
  <c r="Y125" i="11"/>
  <c r="Y126" i="11"/>
  <c r="Y127" i="11"/>
  <c r="Y118" i="11"/>
  <c r="Y102" i="11"/>
  <c r="AK72" i="11"/>
  <c r="AK73" i="11"/>
  <c r="AK74" i="11"/>
  <c r="AK76" i="11"/>
  <c r="AK77" i="11"/>
  <c r="AK78" i="11"/>
  <c r="Y70" i="11"/>
  <c r="AK71" i="11"/>
  <c r="AK75" i="11"/>
  <c r="AK79" i="11"/>
  <c r="Z119" i="11"/>
  <c r="AA119" i="11"/>
  <c r="Z120" i="11"/>
  <c r="AA120" i="11"/>
  <c r="Z121" i="11"/>
  <c r="AA121" i="11"/>
  <c r="Z122" i="11"/>
  <c r="AA122" i="11"/>
  <c r="Z123" i="11"/>
  <c r="AA123" i="11"/>
  <c r="Z124" i="11"/>
  <c r="AA124" i="11"/>
  <c r="Z125" i="11"/>
  <c r="AA125" i="11"/>
  <c r="Z126" i="11"/>
  <c r="AA126" i="11"/>
  <c r="Z135" i="11"/>
  <c r="AA135" i="11"/>
  <c r="Z136" i="11"/>
  <c r="AA136" i="11"/>
  <c r="Z137" i="11"/>
  <c r="AA137" i="11"/>
  <c r="Z138" i="11"/>
  <c r="AA138" i="11"/>
  <c r="Z139" i="11"/>
  <c r="AA139" i="11"/>
  <c r="Z140" i="11"/>
  <c r="AA140" i="11"/>
  <c r="Z141" i="11"/>
  <c r="AA141" i="11"/>
  <c r="Z142" i="11"/>
  <c r="AA142" i="11"/>
  <c r="AA134" i="11"/>
  <c r="Z134" i="11"/>
  <c r="AA118" i="11"/>
  <c r="Z118" i="11"/>
  <c r="AA102" i="11"/>
  <c r="Z102" i="11"/>
  <c r="AA86" i="11"/>
  <c r="Z86" i="11"/>
  <c r="AM71" i="11"/>
  <c r="AM72" i="11"/>
  <c r="AM73" i="11"/>
  <c r="AM74" i="11"/>
  <c r="AM75" i="11"/>
  <c r="AM76" i="11"/>
  <c r="AM77" i="11"/>
  <c r="AM78" i="11"/>
  <c r="AA70" i="11"/>
  <c r="AM70" i="11" s="1"/>
  <c r="Z70" i="11"/>
  <c r="AL70" i="11" s="1"/>
  <c r="AK70" i="11" l="1"/>
  <c r="I157" i="26" l="1"/>
  <c r="I153" i="26"/>
  <c r="I149" i="26"/>
  <c r="D131" i="26"/>
  <c r="D174" i="26" s="1"/>
  <c r="I181" i="26"/>
  <c r="D175" i="26"/>
  <c r="K173" i="26"/>
  <c r="K174" i="26" s="1"/>
  <c r="K175" i="26" s="1"/>
  <c r="I165" i="26"/>
  <c r="D165" i="26"/>
  <c r="I164" i="26"/>
  <c r="I162" i="26"/>
  <c r="I158" i="26"/>
  <c r="I156" i="26"/>
  <c r="I154" i="26"/>
  <c r="I152" i="26"/>
  <c r="K150" i="26"/>
  <c r="I150" i="26"/>
  <c r="K149" i="26"/>
  <c r="K148" i="26"/>
  <c r="I148" i="26"/>
  <c r="G141" i="26"/>
  <c r="I141" i="26" s="1"/>
  <c r="G140" i="26"/>
  <c r="I140" i="26" s="1"/>
  <c r="G136" i="26"/>
  <c r="I136" i="26" s="1"/>
  <c r="G134" i="26"/>
  <c r="I134" i="26" s="1"/>
  <c r="G48" i="26"/>
  <c r="I48" i="26" s="1"/>
  <c r="G175" i="26" l="1"/>
  <c r="I175" i="26" s="1"/>
  <c r="M175" i="26" s="1"/>
  <c r="I163" i="26"/>
  <c r="K177" i="26"/>
  <c r="K176" i="26"/>
  <c r="G174" i="26"/>
  <c r="I174" i="26" s="1"/>
  <c r="M174" i="26" s="1"/>
  <c r="G170" i="26"/>
  <c r="I170" i="26" s="1"/>
  <c r="G180" i="26"/>
  <c r="I180" i="26" s="1"/>
  <c r="N174" i="26" l="1"/>
  <c r="N168" i="30"/>
  <c r="N175" i="26"/>
  <c r="N169" i="30"/>
  <c r="D297" i="26"/>
  <c r="G297" i="26" s="1"/>
  <c r="D236" i="26"/>
  <c r="G236" i="26" s="1"/>
  <c r="P174" i="26" l="1"/>
  <c r="O168" i="30"/>
  <c r="U134" i="30" s="1"/>
  <c r="P175" i="26"/>
  <c r="O169" i="30"/>
  <c r="U135" i="30" s="1"/>
  <c r="D53" i="26"/>
  <c r="G53" i="26" s="1"/>
  <c r="G287" i="26" l="1"/>
  <c r="I287" i="26" s="1"/>
  <c r="M287" i="26" s="1"/>
  <c r="N287" i="26" s="1"/>
  <c r="P287" i="26" s="1"/>
  <c r="D253" i="26"/>
  <c r="D296" i="26" s="1"/>
  <c r="S253" i="26"/>
  <c r="S254" i="26"/>
  <c r="S255" i="26"/>
  <c r="G256" i="26"/>
  <c r="I256" i="26" s="1"/>
  <c r="S256" i="26"/>
  <c r="G258" i="26"/>
  <c r="I258" i="26" s="1"/>
  <c r="G262" i="26"/>
  <c r="I262" i="26" s="1"/>
  <c r="G263" i="26"/>
  <c r="I263" i="26" s="1"/>
  <c r="G271" i="26"/>
  <c r="I271" i="26" s="1"/>
  <c r="G275" i="26"/>
  <c r="I275" i="26" s="1"/>
  <c r="I276" i="26"/>
  <c r="G279" i="26"/>
  <c r="I279" i="26" s="1"/>
  <c r="G285" i="26"/>
  <c r="D287" i="26"/>
  <c r="K295" i="26"/>
  <c r="K296" i="26" s="1"/>
  <c r="K297" i="26" s="1"/>
  <c r="I297" i="26"/>
  <c r="M297" i="26" s="1"/>
  <c r="N297" i="26" s="1"/>
  <c r="P297" i="26" s="1"/>
  <c r="G299" i="26"/>
  <c r="I299" i="26" s="1"/>
  <c r="M299" i="26" s="1"/>
  <c r="N299" i="26" s="1"/>
  <c r="P299" i="26" s="1"/>
  <c r="I303" i="26"/>
  <c r="AK96" i="16"/>
  <c r="AK95" i="16"/>
  <c r="I242" i="26"/>
  <c r="I59" i="26"/>
  <c r="C45" i="11"/>
  <c r="M45" i="11" s="1"/>
  <c r="K53" i="11"/>
  <c r="I285" i="26" l="1"/>
  <c r="G282" i="26"/>
  <c r="I282" i="26" s="1"/>
  <c r="K299" i="26"/>
  <c r="K298" i="26"/>
  <c r="G296" i="26"/>
  <c r="I296" i="26" s="1"/>
  <c r="M296" i="26" s="1"/>
  <c r="N296" i="26" s="1"/>
  <c r="P296" i="26" s="1"/>
  <c r="I169" i="26" l="1"/>
  <c r="I167" i="26"/>
  <c r="A96" i="16"/>
  <c r="U135" i="11"/>
  <c r="U137" i="11"/>
  <c r="U139" i="11"/>
  <c r="U141" i="11"/>
  <c r="U143" i="11"/>
  <c r="Q146" i="11"/>
  <c r="Q145" i="11"/>
  <c r="K145" i="11"/>
  <c r="I145" i="11"/>
  <c r="G145" i="11"/>
  <c r="E145" i="11"/>
  <c r="K144" i="11"/>
  <c r="AA143" i="11" s="1"/>
  <c r="I144" i="11"/>
  <c r="Z143" i="11" s="1"/>
  <c r="G144" i="11"/>
  <c r="E144" i="11"/>
  <c r="I96" i="16" s="1"/>
  <c r="C144" i="11"/>
  <c r="A144" i="11"/>
  <c r="X142" i="11"/>
  <c r="X141" i="11"/>
  <c r="X140" i="11"/>
  <c r="X139" i="11"/>
  <c r="X138" i="11"/>
  <c r="X137" i="11"/>
  <c r="X136" i="11"/>
  <c r="X135" i="11"/>
  <c r="X134" i="11"/>
  <c r="V133" i="11"/>
  <c r="S133" i="11"/>
  <c r="Q133" i="11"/>
  <c r="X126" i="11"/>
  <c r="X125" i="11"/>
  <c r="X124" i="11"/>
  <c r="X123" i="11"/>
  <c r="X122" i="11"/>
  <c r="X121" i="11"/>
  <c r="X120" i="11"/>
  <c r="X119" i="11"/>
  <c r="X118" i="11"/>
  <c r="AL72" i="11"/>
  <c r="AL73" i="11"/>
  <c r="AL74" i="11"/>
  <c r="AL75" i="11"/>
  <c r="AL76" i="11"/>
  <c r="AL77" i="11"/>
  <c r="AL78" i="11"/>
  <c r="AJ71" i="11"/>
  <c r="AJ72" i="11"/>
  <c r="AJ73" i="11"/>
  <c r="AJ74" i="11"/>
  <c r="AJ75" i="11"/>
  <c r="AJ76" i="11"/>
  <c r="AJ77" i="11"/>
  <c r="AJ78" i="11"/>
  <c r="AJ70" i="11"/>
  <c r="K128" i="11"/>
  <c r="AA127" i="11" s="1"/>
  <c r="I128" i="11"/>
  <c r="G128" i="11"/>
  <c r="D265" i="26" s="1"/>
  <c r="E128" i="11"/>
  <c r="C128" i="11"/>
  <c r="A128" i="11"/>
  <c r="K129" i="11"/>
  <c r="I129" i="11"/>
  <c r="G129" i="11"/>
  <c r="E129" i="11"/>
  <c r="X143" i="11" l="1"/>
  <c r="D273" i="26"/>
  <c r="D302" i="26" s="1"/>
  <c r="Z127" i="11"/>
  <c r="AL71" i="11"/>
  <c r="D283" i="26"/>
  <c r="D277" i="26"/>
  <c r="D303" i="26" s="1"/>
  <c r="X127" i="11"/>
  <c r="C96" i="16"/>
  <c r="D257" i="26" s="1"/>
  <c r="M142" i="11"/>
  <c r="M140" i="11"/>
  <c r="M138" i="11"/>
  <c r="M136" i="11"/>
  <c r="S260" i="26"/>
  <c r="F96" i="16"/>
  <c r="D255" i="26" s="1"/>
  <c r="N89" i="21"/>
  <c r="M143" i="11"/>
  <c r="M141" i="11"/>
  <c r="M139" i="11"/>
  <c r="M137" i="11"/>
  <c r="M135" i="11"/>
  <c r="M134" i="11"/>
  <c r="U134" i="11"/>
  <c r="U142" i="11"/>
  <c r="U140" i="11"/>
  <c r="U138" i="11"/>
  <c r="U136" i="11"/>
  <c r="K113" i="11"/>
  <c r="I113" i="11"/>
  <c r="G113" i="11"/>
  <c r="E113" i="11"/>
  <c r="K97" i="11"/>
  <c r="I97" i="11"/>
  <c r="G97" i="11"/>
  <c r="E97" i="11"/>
  <c r="S258" i="26" l="1"/>
  <c r="S259" i="26" s="1"/>
  <c r="D254" i="26"/>
  <c r="K81" i="11"/>
  <c r="E81" i="11"/>
  <c r="G81" i="11"/>
  <c r="I81" i="11"/>
  <c r="B308" i="26" l="1"/>
  <c r="B247" i="26"/>
  <c r="B186" i="26"/>
  <c r="B64" i="26"/>
  <c r="P23" i="11" l="1"/>
  <c r="P22" i="11"/>
  <c r="J38" i="11" l="1"/>
  <c r="J40" i="11"/>
  <c r="J37" i="11"/>
  <c r="W22" i="11" l="1"/>
  <c r="V117" i="11"/>
  <c r="V101" i="11"/>
  <c r="V85" i="11"/>
  <c r="Q130" i="11"/>
  <c r="Q129" i="11"/>
  <c r="Q114" i="11"/>
  <c r="Q113" i="11"/>
  <c r="Q98" i="11"/>
  <c r="Q97" i="11"/>
  <c r="V69" i="11"/>
  <c r="Q82" i="11"/>
  <c r="Q81" i="11"/>
  <c r="G238" i="26"/>
  <c r="I238" i="26" s="1"/>
  <c r="M238" i="26" s="1"/>
  <c r="N238" i="26" s="1"/>
  <c r="P238" i="26" s="1"/>
  <c r="I236" i="26"/>
  <c r="M236" i="26" s="1"/>
  <c r="N236" i="26" s="1"/>
  <c r="P236" i="26" s="1"/>
  <c r="D9" i="26"/>
  <c r="E46" i="24"/>
  <c r="D52" i="26" l="1"/>
  <c r="G52" i="26" s="1"/>
  <c r="I53" i="26"/>
  <c r="M53" i="26" s="1"/>
  <c r="K50" i="11"/>
  <c r="Y125" i="16"/>
  <c r="R87" i="16"/>
  <c r="N53" i="26" l="1"/>
  <c r="N47" i="30"/>
  <c r="I52" i="26"/>
  <c r="M52" i="26" s="1"/>
  <c r="E45" i="24"/>
  <c r="J8" i="27"/>
  <c r="N52" i="26" l="1"/>
  <c r="N46" i="30"/>
  <c r="P53" i="26"/>
  <c r="O47" i="30"/>
  <c r="U13" i="30" s="1"/>
  <c r="D12" i="27"/>
  <c r="D11" i="27"/>
  <c r="D10" i="27"/>
  <c r="D9" i="27"/>
  <c r="P52" i="26" l="1"/>
  <c r="O46" i="30"/>
  <c r="U12" i="30" s="1"/>
  <c r="D171" i="26"/>
  <c r="D293" i="26"/>
  <c r="G293" i="26" s="1"/>
  <c r="I293" i="26" s="1"/>
  <c r="Q136" i="11"/>
  <c r="S136" i="11" s="1"/>
  <c r="Q140" i="11"/>
  <c r="S140" i="11" s="1"/>
  <c r="Q138" i="11"/>
  <c r="S138" i="11" s="1"/>
  <c r="Q142" i="11"/>
  <c r="S142" i="11" s="1"/>
  <c r="Q141" i="11"/>
  <c r="S141" i="11" s="1"/>
  <c r="Q139" i="11"/>
  <c r="S139" i="11" s="1"/>
  <c r="Q134" i="11"/>
  <c r="Q137" i="11"/>
  <c r="S137" i="11" s="1"/>
  <c r="Q135" i="11"/>
  <c r="S135" i="11" s="1"/>
  <c r="Q143" i="11"/>
  <c r="S143" i="11" s="1"/>
  <c r="F26" i="16"/>
  <c r="G171" i="26" l="1"/>
  <c r="I171" i="26" s="1"/>
  <c r="S134" i="11"/>
  <c r="G295" i="26"/>
  <c r="I295" i="26" s="1"/>
  <c r="M295" i="26" s="1"/>
  <c r="N295" i="26" s="1"/>
  <c r="P295" i="26" s="1"/>
  <c r="F23" i="24"/>
  <c r="F22" i="24"/>
  <c r="AK94" i="16" l="1"/>
  <c r="AK93" i="16"/>
  <c r="AK92" i="16"/>
  <c r="AH100" i="16" l="1"/>
  <c r="AH99" i="16"/>
  <c r="G12" i="26" l="1"/>
  <c r="I12" i="26" s="1"/>
  <c r="G58" i="26"/>
  <c r="G19" i="26"/>
  <c r="G18" i="26"/>
  <c r="I18" i="26" s="1"/>
  <c r="T28" i="16"/>
  <c r="F27" i="16"/>
  <c r="F45" i="11"/>
  <c r="P45" i="11" s="1"/>
  <c r="F46" i="11"/>
  <c r="P46" i="11" s="1"/>
  <c r="C47" i="11" l="1"/>
  <c r="F24" i="16"/>
  <c r="C65" i="26" l="1"/>
  <c r="G80" i="11" l="1"/>
  <c r="C80" i="11"/>
  <c r="W23" i="11"/>
  <c r="X23" i="11" s="1"/>
  <c r="X22" i="11" l="1"/>
  <c r="M65" i="26"/>
  <c r="N59" i="30" s="1"/>
  <c r="K234" i="26"/>
  <c r="K235" i="26" s="1"/>
  <c r="K236" i="26" s="1"/>
  <c r="K51" i="26"/>
  <c r="K52" i="26" s="1"/>
  <c r="K53" i="26" s="1"/>
  <c r="I45" i="11"/>
  <c r="S45" i="11" s="1"/>
  <c r="G202" i="26"/>
  <c r="I202" i="26" s="1"/>
  <c r="G201" i="26"/>
  <c r="I201" i="26" s="1"/>
  <c r="I19" i="26"/>
  <c r="S9" i="26"/>
  <c r="S10" i="26"/>
  <c r="S11" i="26"/>
  <c r="S12" i="26"/>
  <c r="K28" i="26"/>
  <c r="K27" i="26"/>
  <c r="K26" i="26"/>
  <c r="K238" i="26" l="1"/>
  <c r="K237" i="26"/>
  <c r="K55" i="26"/>
  <c r="K54" i="26"/>
  <c r="Q117" i="11"/>
  <c r="Q101" i="11"/>
  <c r="Q85" i="11"/>
  <c r="Q69" i="11"/>
  <c r="S21" i="26" l="1"/>
  <c r="S22" i="26"/>
  <c r="S23" i="26"/>
  <c r="S24" i="26"/>
  <c r="S25" i="26"/>
  <c r="S26" i="26"/>
  <c r="S27" i="26"/>
  <c r="S28" i="26"/>
  <c r="S29" i="26"/>
  <c r="S30" i="26"/>
  <c r="S31" i="26"/>
  <c r="S32" i="26"/>
  <c r="S33" i="26"/>
  <c r="S34" i="26"/>
  <c r="S35" i="26"/>
  <c r="S36" i="26"/>
  <c r="S37" i="26"/>
  <c r="S38" i="26"/>
  <c r="S39" i="26"/>
  <c r="S40" i="26"/>
  <c r="S41" i="26"/>
  <c r="S42" i="26"/>
  <c r="S43" i="26"/>
  <c r="S45" i="26"/>
  <c r="S46" i="26"/>
  <c r="S47" i="26"/>
  <c r="S48" i="26"/>
  <c r="S49" i="26"/>
  <c r="S50" i="26"/>
  <c r="S51" i="26"/>
  <c r="S52" i="26"/>
  <c r="S20" i="26"/>
  <c r="T21" i="26"/>
  <c r="T22" i="26"/>
  <c r="T23" i="26"/>
  <c r="T24" i="26"/>
  <c r="T25" i="26"/>
  <c r="T26" i="26"/>
  <c r="T27" i="26"/>
  <c r="T28" i="26"/>
  <c r="T29" i="26"/>
  <c r="T30" i="26"/>
  <c r="T31" i="26"/>
  <c r="T32" i="26"/>
  <c r="T33" i="26"/>
  <c r="T34" i="26"/>
  <c r="T35" i="26"/>
  <c r="T36" i="26"/>
  <c r="T37" i="26"/>
  <c r="T38" i="26"/>
  <c r="T39" i="26"/>
  <c r="T40" i="26"/>
  <c r="T41" i="26"/>
  <c r="T42" i="26"/>
  <c r="T43" i="26"/>
  <c r="T45" i="26"/>
  <c r="T46" i="26"/>
  <c r="T47" i="26"/>
  <c r="T48" i="26"/>
  <c r="T49" i="26"/>
  <c r="T50" i="26"/>
  <c r="T51" i="26"/>
  <c r="T52" i="26"/>
  <c r="T20" i="26"/>
  <c r="R21" i="26"/>
  <c r="R22" i="26"/>
  <c r="R23" i="26"/>
  <c r="R24" i="26"/>
  <c r="R25" i="26"/>
  <c r="R26" i="26"/>
  <c r="R27" i="26"/>
  <c r="R28" i="26"/>
  <c r="R29" i="26"/>
  <c r="R30" i="26"/>
  <c r="R31" i="26"/>
  <c r="R32" i="26"/>
  <c r="R33" i="26"/>
  <c r="R34" i="26"/>
  <c r="R35" i="26"/>
  <c r="R36" i="26"/>
  <c r="R37" i="26"/>
  <c r="R38" i="26"/>
  <c r="R39" i="26"/>
  <c r="R40" i="26"/>
  <c r="R41" i="26"/>
  <c r="R42" i="26"/>
  <c r="R43" i="26"/>
  <c r="R45" i="26"/>
  <c r="R46" i="26"/>
  <c r="R47" i="26"/>
  <c r="R48" i="26"/>
  <c r="R49" i="26"/>
  <c r="R50" i="26"/>
  <c r="R51" i="26"/>
  <c r="R52" i="26"/>
  <c r="R20" i="26"/>
  <c r="G14" i="26"/>
  <c r="G77" i="26" l="1"/>
  <c r="G16" i="26"/>
  <c r="G20" i="26" s="1"/>
  <c r="I20" i="26" s="1"/>
  <c r="G261" i="26"/>
  <c r="G17" i="26"/>
  <c r="I17" i="26" s="1"/>
  <c r="G138" i="26"/>
  <c r="G260" i="26"/>
  <c r="G200" i="26"/>
  <c r="I200" i="26" s="1"/>
  <c r="G199" i="26"/>
  <c r="G78" i="26"/>
  <c r="I78" i="26" s="1"/>
  <c r="G139" i="26"/>
  <c r="I139" i="26" s="1"/>
  <c r="I261" i="26"/>
  <c r="I77" i="26" l="1"/>
  <c r="G81" i="26"/>
  <c r="I81" i="26" s="1"/>
  <c r="I138" i="26"/>
  <c r="G142" i="26"/>
  <c r="I142" i="26" s="1"/>
  <c r="I260" i="26"/>
  <c r="G264" i="26"/>
  <c r="I264" i="26" s="1"/>
  <c r="I16" i="26"/>
  <c r="I199" i="26"/>
  <c r="G203" i="26"/>
  <c r="I203" i="26" s="1"/>
  <c r="Q91" i="16"/>
  <c r="I26" i="26" l="1"/>
  <c r="G230" i="26" l="1"/>
  <c r="G291" i="26" s="1"/>
  <c r="I291" i="26" s="1"/>
  <c r="G228" i="26"/>
  <c r="G289" i="26" s="1"/>
  <c r="I289" i="26" s="1"/>
  <c r="I30" i="26" l="1"/>
  <c r="AC74" i="11" l="1"/>
  <c r="F28" i="16" l="1"/>
  <c r="A91" i="16" l="1"/>
  <c r="O91" i="16"/>
  <c r="I112" i="11" l="1"/>
  <c r="G224" i="26" l="1"/>
  <c r="G221" i="26" s="1"/>
  <c r="I221" i="26" s="1"/>
  <c r="S117" i="11"/>
  <c r="S101" i="11"/>
  <c r="S85" i="11"/>
  <c r="E230" i="21"/>
  <c r="E237" i="21"/>
  <c r="K112" i="11" l="1"/>
  <c r="G112" i="11"/>
  <c r="E112" i="11"/>
  <c r="Q141" i="26" s="1"/>
  <c r="G160" i="26" s="1"/>
  <c r="I160" i="26" s="1"/>
  <c r="C112" i="11"/>
  <c r="A112" i="11"/>
  <c r="A99" i="11" s="1"/>
  <c r="K96" i="11"/>
  <c r="I96" i="11"/>
  <c r="G96" i="11"/>
  <c r="E96" i="11"/>
  <c r="Q81" i="26" s="1"/>
  <c r="C96" i="11"/>
  <c r="S69" i="11"/>
  <c r="D181" i="26" l="1"/>
  <c r="D180" i="26"/>
  <c r="I94" i="16"/>
  <c r="I93" i="16"/>
  <c r="D204" i="26"/>
  <c r="D212" i="26"/>
  <c r="D241" i="26" s="1"/>
  <c r="D216" i="26"/>
  <c r="D242" i="26" s="1"/>
  <c r="E11" i="24"/>
  <c r="A24" i="16"/>
  <c r="M24" i="16" s="1"/>
  <c r="G25" i="16"/>
  <c r="A95" i="16" l="1"/>
  <c r="X8" i="16"/>
  <c r="D232" i="26" l="1"/>
  <c r="G232" i="26" s="1"/>
  <c r="D43" i="26"/>
  <c r="D192" i="26"/>
  <c r="D235" i="26" s="1"/>
  <c r="G235" i="26" s="1"/>
  <c r="I235" i="26" l="1"/>
  <c r="M235" i="26" s="1"/>
  <c r="N235" i="26" s="1"/>
  <c r="P235" i="26" s="1"/>
  <c r="D226" i="26"/>
  <c r="D49" i="26"/>
  <c r="G218" i="26"/>
  <c r="G214" i="26"/>
  <c r="K239" i="21"/>
  <c r="I239" i="21"/>
  <c r="G239" i="21"/>
  <c r="E239" i="21"/>
  <c r="C239" i="21"/>
  <c r="A239" i="21"/>
  <c r="K238" i="21"/>
  <c r="I238" i="21"/>
  <c r="G238" i="21"/>
  <c r="E238" i="21"/>
  <c r="C238" i="21"/>
  <c r="A238" i="21"/>
  <c r="K237" i="21"/>
  <c r="I237" i="21"/>
  <c r="G237" i="21"/>
  <c r="C237" i="21"/>
  <c r="A237" i="21"/>
  <c r="K236" i="21"/>
  <c r="I236" i="21"/>
  <c r="G236" i="21"/>
  <c r="E236" i="21"/>
  <c r="C236" i="21"/>
  <c r="A236" i="21"/>
  <c r="K235" i="21"/>
  <c r="I235" i="21"/>
  <c r="G235" i="21"/>
  <c r="E235" i="21"/>
  <c r="C235" i="21"/>
  <c r="A235" i="21"/>
  <c r="K234" i="21"/>
  <c r="I234" i="21"/>
  <c r="G234" i="21"/>
  <c r="E234" i="21"/>
  <c r="C234" i="21"/>
  <c r="A234" i="21"/>
  <c r="K233" i="21"/>
  <c r="I233" i="21"/>
  <c r="G233" i="21"/>
  <c r="E233" i="21"/>
  <c r="C233" i="21"/>
  <c r="A233" i="21"/>
  <c r="K232" i="21"/>
  <c r="I232" i="21"/>
  <c r="G232" i="21"/>
  <c r="E232" i="21"/>
  <c r="C232" i="21"/>
  <c r="A232" i="21"/>
  <c r="K231" i="21"/>
  <c r="I231" i="21"/>
  <c r="G231" i="21"/>
  <c r="E231" i="21"/>
  <c r="C231" i="21"/>
  <c r="A231" i="21"/>
  <c r="K230" i="21"/>
  <c r="I230" i="21"/>
  <c r="G230" i="21"/>
  <c r="C230" i="21"/>
  <c r="A230" i="21"/>
  <c r="K221" i="21"/>
  <c r="I221" i="21"/>
  <c r="G221" i="21"/>
  <c r="E221" i="21"/>
  <c r="C221" i="21"/>
  <c r="A221" i="21"/>
  <c r="K220" i="21"/>
  <c r="I220" i="21"/>
  <c r="G220" i="21"/>
  <c r="E220" i="21"/>
  <c r="C220" i="21"/>
  <c r="A220" i="21"/>
  <c r="K219" i="21"/>
  <c r="I219" i="21"/>
  <c r="G219" i="21"/>
  <c r="E219" i="21"/>
  <c r="C219" i="21"/>
  <c r="A219" i="21"/>
  <c r="K218" i="21"/>
  <c r="I218" i="21"/>
  <c r="G218" i="21"/>
  <c r="E218" i="21"/>
  <c r="C218" i="21"/>
  <c r="A218" i="21"/>
  <c r="K217" i="21"/>
  <c r="I217" i="21"/>
  <c r="G217" i="21"/>
  <c r="E217" i="21"/>
  <c r="C217" i="21"/>
  <c r="A217" i="21"/>
  <c r="K216" i="21"/>
  <c r="I216" i="21"/>
  <c r="G216" i="21"/>
  <c r="E216" i="21"/>
  <c r="C216" i="21"/>
  <c r="A216" i="21"/>
  <c r="K215" i="21"/>
  <c r="I215" i="21"/>
  <c r="G215" i="21"/>
  <c r="E215" i="21"/>
  <c r="C215" i="21"/>
  <c r="A215" i="21"/>
  <c r="K214" i="21"/>
  <c r="I214" i="21"/>
  <c r="G214" i="21"/>
  <c r="E214" i="21"/>
  <c r="C214" i="21"/>
  <c r="A214" i="21"/>
  <c r="K213" i="21"/>
  <c r="I213" i="21"/>
  <c r="G213" i="21"/>
  <c r="E213" i="21"/>
  <c r="C213" i="21"/>
  <c r="A213" i="21"/>
  <c r="K212" i="21"/>
  <c r="I212" i="21"/>
  <c r="G212" i="21"/>
  <c r="E212" i="21"/>
  <c r="C212" i="21"/>
  <c r="A212" i="21"/>
  <c r="K203" i="21"/>
  <c r="I203" i="21"/>
  <c r="G203" i="21"/>
  <c r="E203" i="21"/>
  <c r="C203" i="21"/>
  <c r="A203" i="21"/>
  <c r="K202" i="21"/>
  <c r="I202" i="21"/>
  <c r="G202" i="21"/>
  <c r="E202" i="21"/>
  <c r="C202" i="21"/>
  <c r="A202" i="21"/>
  <c r="K201" i="21"/>
  <c r="I201" i="21"/>
  <c r="G201" i="21"/>
  <c r="E201" i="21"/>
  <c r="C201" i="21"/>
  <c r="A201" i="21"/>
  <c r="K200" i="21"/>
  <c r="I200" i="21"/>
  <c r="G200" i="21"/>
  <c r="E200" i="21"/>
  <c r="C200" i="21"/>
  <c r="A200" i="21"/>
  <c r="K199" i="21"/>
  <c r="I199" i="21"/>
  <c r="G199" i="21"/>
  <c r="E199" i="21"/>
  <c r="C199" i="21"/>
  <c r="A199" i="21"/>
  <c r="K198" i="21"/>
  <c r="I198" i="21"/>
  <c r="G198" i="21"/>
  <c r="E198" i="21"/>
  <c r="C198" i="21"/>
  <c r="A198" i="21"/>
  <c r="K197" i="21"/>
  <c r="I197" i="21"/>
  <c r="G197" i="21"/>
  <c r="E197" i="21"/>
  <c r="C197" i="21"/>
  <c r="A197" i="21"/>
  <c r="K196" i="21"/>
  <c r="I196" i="21"/>
  <c r="G196" i="21"/>
  <c r="E196" i="21"/>
  <c r="C196" i="21"/>
  <c r="A196" i="21"/>
  <c r="K195" i="21"/>
  <c r="I195" i="21"/>
  <c r="G195" i="21"/>
  <c r="E195" i="21"/>
  <c r="C195" i="21"/>
  <c r="A195" i="21"/>
  <c r="K194" i="21"/>
  <c r="I194" i="21"/>
  <c r="G194" i="21"/>
  <c r="E194" i="21"/>
  <c r="C194" i="21"/>
  <c r="A194" i="21"/>
  <c r="K185" i="21"/>
  <c r="I185" i="21"/>
  <c r="G185" i="21"/>
  <c r="E185" i="21"/>
  <c r="C185" i="21"/>
  <c r="A185" i="21"/>
  <c r="K184" i="21"/>
  <c r="I184" i="21"/>
  <c r="G184" i="21"/>
  <c r="E184" i="21"/>
  <c r="C184" i="21"/>
  <c r="A184" i="21"/>
  <c r="K183" i="21"/>
  <c r="I183" i="21"/>
  <c r="G183" i="21"/>
  <c r="E183" i="21"/>
  <c r="C183" i="21"/>
  <c r="A183" i="21"/>
  <c r="K182" i="21"/>
  <c r="I182" i="21"/>
  <c r="G182" i="21"/>
  <c r="E182" i="21"/>
  <c r="C182" i="21"/>
  <c r="A182" i="21"/>
  <c r="K181" i="21"/>
  <c r="I181" i="21"/>
  <c r="G181" i="21"/>
  <c r="E181" i="21"/>
  <c r="C181" i="21"/>
  <c r="A181" i="21"/>
  <c r="K180" i="21"/>
  <c r="I180" i="21"/>
  <c r="G180" i="21"/>
  <c r="E180" i="21"/>
  <c r="C180" i="21"/>
  <c r="A180" i="21"/>
  <c r="K179" i="21"/>
  <c r="I179" i="21"/>
  <c r="G179" i="21"/>
  <c r="E179" i="21"/>
  <c r="C179" i="21"/>
  <c r="A179" i="21"/>
  <c r="K178" i="21"/>
  <c r="I178" i="21"/>
  <c r="G178" i="21"/>
  <c r="E178" i="21"/>
  <c r="C178" i="21"/>
  <c r="A178" i="21"/>
  <c r="K177" i="21"/>
  <c r="I177" i="21"/>
  <c r="G177" i="21"/>
  <c r="E177" i="21"/>
  <c r="C177" i="21"/>
  <c r="A177" i="21"/>
  <c r="K176" i="21"/>
  <c r="I176" i="21"/>
  <c r="G176" i="21"/>
  <c r="E176" i="21"/>
  <c r="C176" i="21"/>
  <c r="A176" i="21"/>
  <c r="K167" i="21"/>
  <c r="I167" i="21"/>
  <c r="G167" i="21"/>
  <c r="E167" i="21"/>
  <c r="C167" i="21"/>
  <c r="A167" i="21"/>
  <c r="K166" i="21"/>
  <c r="I166" i="21"/>
  <c r="G166" i="21"/>
  <c r="E166" i="21"/>
  <c r="C166" i="21"/>
  <c r="A166" i="21"/>
  <c r="K165" i="21"/>
  <c r="I165" i="21"/>
  <c r="G165" i="21"/>
  <c r="E165" i="21"/>
  <c r="C165" i="21"/>
  <c r="A165" i="21"/>
  <c r="K164" i="21"/>
  <c r="I164" i="21"/>
  <c r="G164" i="21"/>
  <c r="E164" i="21"/>
  <c r="C164" i="21"/>
  <c r="A164" i="21"/>
  <c r="K163" i="21"/>
  <c r="I163" i="21"/>
  <c r="G163" i="21"/>
  <c r="E163" i="21"/>
  <c r="C163" i="21"/>
  <c r="A163" i="21"/>
  <c r="K162" i="21"/>
  <c r="I162" i="21"/>
  <c r="G162" i="21"/>
  <c r="E162" i="21"/>
  <c r="C162" i="21"/>
  <c r="A162" i="21"/>
  <c r="K161" i="21"/>
  <c r="I161" i="21"/>
  <c r="G161" i="21"/>
  <c r="E161" i="21"/>
  <c r="C161" i="21"/>
  <c r="A161" i="21"/>
  <c r="K160" i="21"/>
  <c r="I160" i="21"/>
  <c r="G160" i="21"/>
  <c r="E160" i="21"/>
  <c r="C160" i="21"/>
  <c r="A160" i="21"/>
  <c r="K159" i="21"/>
  <c r="I159" i="21"/>
  <c r="G159" i="21"/>
  <c r="E159" i="21"/>
  <c r="C159" i="21"/>
  <c r="A159" i="21"/>
  <c r="K158" i="21"/>
  <c r="I158" i="21"/>
  <c r="G158" i="21"/>
  <c r="E158" i="21"/>
  <c r="C158" i="21"/>
  <c r="A158" i="21"/>
  <c r="K149" i="21"/>
  <c r="I149" i="21"/>
  <c r="G149" i="21"/>
  <c r="E149" i="21"/>
  <c r="C149" i="21"/>
  <c r="A149" i="21"/>
  <c r="K148" i="21"/>
  <c r="I148" i="21"/>
  <c r="G148" i="21"/>
  <c r="E148" i="21"/>
  <c r="C148" i="21"/>
  <c r="A148" i="21"/>
  <c r="K147" i="21"/>
  <c r="I147" i="21"/>
  <c r="G147" i="21"/>
  <c r="E147" i="21"/>
  <c r="C147" i="21"/>
  <c r="A147" i="21"/>
  <c r="K146" i="21"/>
  <c r="I146" i="21"/>
  <c r="G146" i="21"/>
  <c r="E146" i="21"/>
  <c r="C146" i="21"/>
  <c r="A146" i="21"/>
  <c r="K145" i="21"/>
  <c r="I145" i="21"/>
  <c r="G145" i="21"/>
  <c r="E145" i="21"/>
  <c r="C145" i="21"/>
  <c r="A145" i="21"/>
  <c r="K144" i="21"/>
  <c r="I144" i="21"/>
  <c r="G144" i="21"/>
  <c r="E144" i="21"/>
  <c r="C144" i="21"/>
  <c r="A144" i="21"/>
  <c r="K143" i="21"/>
  <c r="I143" i="21"/>
  <c r="G143" i="21"/>
  <c r="E143" i="21"/>
  <c r="C143" i="21"/>
  <c r="A143" i="21"/>
  <c r="K142" i="21"/>
  <c r="I142" i="21"/>
  <c r="G142" i="21"/>
  <c r="E142" i="21"/>
  <c r="C142" i="21"/>
  <c r="A142" i="21"/>
  <c r="K141" i="21"/>
  <c r="I141" i="21"/>
  <c r="G141" i="21"/>
  <c r="E141" i="21"/>
  <c r="C141" i="21"/>
  <c r="A141" i="21"/>
  <c r="K140" i="21"/>
  <c r="I140" i="21"/>
  <c r="G140" i="21"/>
  <c r="E140" i="21"/>
  <c r="C140" i="21"/>
  <c r="A140" i="21"/>
  <c r="K131" i="21"/>
  <c r="I131" i="21"/>
  <c r="G131" i="21"/>
  <c r="E131" i="21"/>
  <c r="C131" i="21"/>
  <c r="A131" i="21"/>
  <c r="K130" i="21"/>
  <c r="I130" i="21"/>
  <c r="G130" i="21"/>
  <c r="E130" i="21"/>
  <c r="C130" i="21"/>
  <c r="A130" i="21"/>
  <c r="K129" i="21"/>
  <c r="I129" i="21"/>
  <c r="G129" i="21"/>
  <c r="E129" i="21"/>
  <c r="C129" i="21"/>
  <c r="A129" i="21"/>
  <c r="K128" i="21"/>
  <c r="I128" i="21"/>
  <c r="G128" i="21"/>
  <c r="E128" i="21"/>
  <c r="C128" i="21"/>
  <c r="A128" i="21"/>
  <c r="K127" i="21"/>
  <c r="I127" i="21"/>
  <c r="G127" i="21"/>
  <c r="E127" i="21"/>
  <c r="C127" i="21"/>
  <c r="A127" i="21"/>
  <c r="K126" i="21"/>
  <c r="I126" i="21"/>
  <c r="G126" i="21"/>
  <c r="E126" i="21"/>
  <c r="C126" i="21"/>
  <c r="A126" i="21"/>
  <c r="K125" i="21"/>
  <c r="I125" i="21"/>
  <c r="G125" i="21"/>
  <c r="E125" i="21"/>
  <c r="C125" i="21"/>
  <c r="A125" i="21"/>
  <c r="K124" i="21"/>
  <c r="I124" i="21"/>
  <c r="G124" i="21"/>
  <c r="E124" i="21"/>
  <c r="C124" i="21"/>
  <c r="A124" i="21"/>
  <c r="K123" i="21"/>
  <c r="I123" i="21"/>
  <c r="G123" i="21"/>
  <c r="E123" i="21"/>
  <c r="C123" i="21"/>
  <c r="A123" i="21"/>
  <c r="K122" i="21"/>
  <c r="I122" i="21"/>
  <c r="G122" i="21"/>
  <c r="E122" i="21"/>
  <c r="C122" i="21"/>
  <c r="A122" i="21"/>
  <c r="K113" i="21"/>
  <c r="I113" i="21"/>
  <c r="G113" i="21"/>
  <c r="E113" i="21"/>
  <c r="C113" i="21"/>
  <c r="A113" i="21"/>
  <c r="K112" i="21"/>
  <c r="I112" i="21"/>
  <c r="G112" i="21"/>
  <c r="E112" i="21"/>
  <c r="C112" i="21"/>
  <c r="A112" i="21"/>
  <c r="K111" i="21"/>
  <c r="I111" i="21"/>
  <c r="G111" i="21"/>
  <c r="E111" i="21"/>
  <c r="C111" i="21"/>
  <c r="A111" i="21"/>
  <c r="K110" i="21"/>
  <c r="I110" i="21"/>
  <c r="G110" i="21"/>
  <c r="E110" i="21"/>
  <c r="C110" i="21"/>
  <c r="A110" i="21"/>
  <c r="K109" i="21"/>
  <c r="I109" i="21"/>
  <c r="G109" i="21"/>
  <c r="E109" i="21"/>
  <c r="C109" i="21"/>
  <c r="A109" i="21"/>
  <c r="K108" i="21"/>
  <c r="I108" i="21"/>
  <c r="G108" i="21"/>
  <c r="E108" i="21"/>
  <c r="C108" i="21"/>
  <c r="A108" i="21"/>
  <c r="K107" i="21"/>
  <c r="I107" i="21"/>
  <c r="G107" i="21"/>
  <c r="E107" i="21"/>
  <c r="C107" i="21"/>
  <c r="A107" i="21"/>
  <c r="K106" i="21"/>
  <c r="I106" i="21"/>
  <c r="G106" i="21"/>
  <c r="E106" i="21"/>
  <c r="C106" i="21"/>
  <c r="A106" i="21"/>
  <c r="K105" i="21"/>
  <c r="I105" i="21"/>
  <c r="G105" i="21"/>
  <c r="E105" i="21"/>
  <c r="C105" i="21"/>
  <c r="A105" i="21"/>
  <c r="K104" i="21"/>
  <c r="I104" i="21"/>
  <c r="G104" i="21"/>
  <c r="E104" i="21"/>
  <c r="C104" i="21"/>
  <c r="A104" i="21"/>
  <c r="W143" i="11"/>
  <c r="G49" i="26" l="1"/>
  <c r="W137" i="11"/>
  <c r="W138" i="11"/>
  <c r="W135" i="11"/>
  <c r="W139" i="11"/>
  <c r="W141" i="11"/>
  <c r="U70" i="11"/>
  <c r="M70" i="11"/>
  <c r="U120" i="11"/>
  <c r="U124" i="11"/>
  <c r="U119" i="11"/>
  <c r="U121" i="11"/>
  <c r="U125" i="11"/>
  <c r="U127" i="11"/>
  <c r="U118" i="11"/>
  <c r="U122" i="11"/>
  <c r="U126" i="11"/>
  <c r="U123" i="11"/>
  <c r="U111" i="11"/>
  <c r="M118" i="11"/>
  <c r="M120" i="11"/>
  <c r="M122" i="11"/>
  <c r="M124" i="11"/>
  <c r="M126" i="11"/>
  <c r="M119" i="11"/>
  <c r="M121" i="11"/>
  <c r="M123" i="11"/>
  <c r="M125" i="11"/>
  <c r="M127" i="11"/>
  <c r="I49" i="26"/>
  <c r="D222" i="26"/>
  <c r="Q127" i="11" l="1"/>
  <c r="Q70" i="11"/>
  <c r="Q119" i="11"/>
  <c r="Q120" i="11"/>
  <c r="Q125" i="11"/>
  <c r="Q126" i="11"/>
  <c r="Q118" i="11"/>
  <c r="S118" i="11" s="1"/>
  <c r="W118" i="11" s="1"/>
  <c r="Q123" i="11"/>
  <c r="Q124" i="11"/>
  <c r="Q121" i="11"/>
  <c r="Q122" i="11"/>
  <c r="U144" i="11"/>
  <c r="O144" i="11"/>
  <c r="W140" i="11"/>
  <c r="W136" i="11"/>
  <c r="W142" i="11"/>
  <c r="M144" i="11"/>
  <c r="U128" i="11"/>
  <c r="M128" i="11"/>
  <c r="G226" i="26"/>
  <c r="I226" i="26" s="1"/>
  <c r="G210" i="26"/>
  <c r="I210" i="26" s="1"/>
  <c r="I232" i="26"/>
  <c r="I230" i="26"/>
  <c r="I228" i="26"/>
  <c r="I224" i="26"/>
  <c r="I218" i="26"/>
  <c r="I215" i="26"/>
  <c r="I214" i="26"/>
  <c r="S195" i="26"/>
  <c r="S194" i="26"/>
  <c r="S193" i="26"/>
  <c r="S192" i="26"/>
  <c r="K96" i="16" l="1"/>
  <c r="L301" i="26"/>
  <c r="L289" i="26"/>
  <c r="M96" i="16"/>
  <c r="D281" i="26" s="1"/>
  <c r="L293" i="26"/>
  <c r="M293" i="26" s="1"/>
  <c r="N293" i="26" s="1"/>
  <c r="P293" i="26" s="1"/>
  <c r="L303" i="26"/>
  <c r="M303" i="26" s="1"/>
  <c r="N303" i="26" s="1"/>
  <c r="P303" i="26" s="1"/>
  <c r="L274" i="26"/>
  <c r="L302" i="26"/>
  <c r="L270" i="26"/>
  <c r="L278" i="26"/>
  <c r="Q144" i="11"/>
  <c r="L256" i="26" s="1"/>
  <c r="S70" i="11"/>
  <c r="W70" i="11" s="1"/>
  <c r="O128" i="11"/>
  <c r="F95" i="16"/>
  <c r="D194" i="26" s="1"/>
  <c r="I95" i="16"/>
  <c r="K95" i="16"/>
  <c r="G213" i="26"/>
  <c r="G274" i="26" s="1"/>
  <c r="I274" i="26" s="1"/>
  <c r="L282" i="26" l="1"/>
  <c r="L284" i="26" s="1"/>
  <c r="L285" i="26" s="1"/>
  <c r="L286" i="26" s="1"/>
  <c r="L240" i="26"/>
  <c r="AI70" i="11"/>
  <c r="M274" i="26"/>
  <c r="N274" i="26" s="1"/>
  <c r="P274" i="26" s="1"/>
  <c r="L260" i="26"/>
  <c r="L258" i="26"/>
  <c r="M258" i="26" s="1"/>
  <c r="N258" i="26" s="1"/>
  <c r="P258" i="26" s="1"/>
  <c r="M256" i="26"/>
  <c r="N256" i="26" s="1"/>
  <c r="P256" i="26" s="1"/>
  <c r="L280" i="26"/>
  <c r="L279" i="26"/>
  <c r="M279" i="26" s="1"/>
  <c r="N279" i="26" s="1"/>
  <c r="P279" i="26" s="1"/>
  <c r="L276" i="26"/>
  <c r="M276" i="26" s="1"/>
  <c r="N276" i="26" s="1"/>
  <c r="P276" i="26" s="1"/>
  <c r="L275" i="26"/>
  <c r="M275" i="26" s="1"/>
  <c r="N275" i="26" s="1"/>
  <c r="P275" i="26" s="1"/>
  <c r="L290" i="26"/>
  <c r="L291" i="26" s="1"/>
  <c r="M291" i="26" s="1"/>
  <c r="N291" i="26" s="1"/>
  <c r="P291" i="26" s="1"/>
  <c r="M289" i="26"/>
  <c r="N289" i="26" s="1"/>
  <c r="P289" i="26" s="1"/>
  <c r="L271" i="26"/>
  <c r="M271" i="26" s="1"/>
  <c r="N271" i="26" s="1"/>
  <c r="P271" i="26" s="1"/>
  <c r="L272" i="26"/>
  <c r="L241" i="26"/>
  <c r="L242" i="26"/>
  <c r="M242" i="26" s="1"/>
  <c r="N242" i="26" s="1"/>
  <c r="P242" i="26" s="1"/>
  <c r="S146" i="11"/>
  <c r="O96" i="16"/>
  <c r="W134" i="11"/>
  <c r="W144" i="11" s="1"/>
  <c r="S145" i="11"/>
  <c r="V145" i="11" s="1"/>
  <c r="U96" i="16" s="1"/>
  <c r="S144" i="11"/>
  <c r="AH96" i="16" s="1"/>
  <c r="L213" i="26"/>
  <c r="L232" i="26"/>
  <c r="L217" i="26"/>
  <c r="L209" i="26"/>
  <c r="L228" i="26"/>
  <c r="M95" i="16"/>
  <c r="D220" i="26" s="1"/>
  <c r="C95" i="16"/>
  <c r="D196" i="26" s="1"/>
  <c r="I213" i="26"/>
  <c r="E19" i="16"/>
  <c r="E18" i="16"/>
  <c r="R16" i="16"/>
  <c r="E17" i="16"/>
  <c r="E16" i="16"/>
  <c r="E15" i="16"/>
  <c r="R18" i="16"/>
  <c r="R17" i="16"/>
  <c r="E13" i="16"/>
  <c r="M285" i="26" l="1"/>
  <c r="N285" i="26" s="1"/>
  <c r="P285" i="26" s="1"/>
  <c r="V146" i="11"/>
  <c r="S96" i="16" s="1"/>
  <c r="L261" i="26"/>
  <c r="M261" i="26" s="1"/>
  <c r="N261" i="26" s="1"/>
  <c r="P261" i="26" s="1"/>
  <c r="L262" i="26"/>
  <c r="M262" i="26" s="1"/>
  <c r="N262" i="26" s="1"/>
  <c r="P262" i="26" s="1"/>
  <c r="L263" i="26"/>
  <c r="M260" i="26"/>
  <c r="N260" i="26" s="1"/>
  <c r="P260" i="26" s="1"/>
  <c r="C145" i="11"/>
  <c r="Q96" i="16"/>
  <c r="U147" i="11"/>
  <c r="L218" i="26"/>
  <c r="L219" i="26"/>
  <c r="L214" i="26"/>
  <c r="L215" i="26"/>
  <c r="M226" i="26"/>
  <c r="L229" i="26"/>
  <c r="L230" i="26" s="1"/>
  <c r="D193" i="26"/>
  <c r="I46" i="11"/>
  <c r="S46" i="11" s="1"/>
  <c r="G302" i="26"/>
  <c r="I302" i="26" s="1"/>
  <c r="M302" i="26" s="1"/>
  <c r="N302" i="26" s="1"/>
  <c r="P302" i="26" s="1"/>
  <c r="L264" i="26" l="1"/>
  <c r="M264" i="26" s="1"/>
  <c r="N264" i="26" s="1"/>
  <c r="P264" i="26" s="1"/>
  <c r="M263" i="26"/>
  <c r="N263" i="26" s="1"/>
  <c r="P263" i="26" s="1"/>
  <c r="G241" i="26"/>
  <c r="I241" i="26" s="1"/>
  <c r="M241" i="26" s="1"/>
  <c r="N241" i="26" s="1"/>
  <c r="P241" i="26" s="1"/>
  <c r="I58" i="26"/>
  <c r="N226" i="26"/>
  <c r="P226" i="26" s="1"/>
  <c r="M47" i="11"/>
  <c r="I27" i="26"/>
  <c r="G219" i="26"/>
  <c r="G280" i="26" s="1"/>
  <c r="I280" i="26" s="1"/>
  <c r="M280" i="26" s="1"/>
  <c r="N280" i="26" s="1"/>
  <c r="P280" i="26" s="1"/>
  <c r="G217" i="26"/>
  <c r="G278" i="26" s="1"/>
  <c r="I278" i="26" s="1"/>
  <c r="M278" i="26" s="1"/>
  <c r="N278" i="26" s="1"/>
  <c r="P278" i="26" s="1"/>
  <c r="G209" i="26"/>
  <c r="G270" i="26" s="1"/>
  <c r="I270" i="26" s="1"/>
  <c r="M270" i="26" s="1"/>
  <c r="N270" i="26" s="1"/>
  <c r="P270" i="26" s="1"/>
  <c r="C18" i="21"/>
  <c r="U19" i="11"/>
  <c r="F25" i="16" s="1"/>
  <c r="A71" i="16"/>
  <c r="F93" i="16"/>
  <c r="F94" i="16"/>
  <c r="C94" i="16"/>
  <c r="A80" i="11"/>
  <c r="A67" i="11" s="1"/>
  <c r="K80" i="11"/>
  <c r="F92" i="16"/>
  <c r="E80" i="11"/>
  <c r="I80" i="11"/>
  <c r="AJ79" i="11" l="1"/>
  <c r="Q19" i="26"/>
  <c r="I92" i="16"/>
  <c r="D59" i="26"/>
  <c r="D58" i="26"/>
  <c r="G225" i="26"/>
  <c r="G286" i="26" s="1"/>
  <c r="I286" i="26" s="1"/>
  <c r="M286" i="26" s="1"/>
  <c r="N286" i="26" s="1"/>
  <c r="P286" i="26" s="1"/>
  <c r="I42" i="26"/>
  <c r="C92" i="16"/>
  <c r="C93" i="16"/>
  <c r="I209" i="26"/>
  <c r="I219" i="26"/>
  <c r="I217" i="26"/>
  <c r="S127" i="11"/>
  <c r="W127" i="11" s="1"/>
  <c r="S125" i="11"/>
  <c r="W125" i="11" s="1"/>
  <c r="S123" i="11"/>
  <c r="W123" i="11" s="1"/>
  <c r="S121" i="11"/>
  <c r="W121" i="11" s="1"/>
  <c r="S119" i="11"/>
  <c r="W119" i="11" s="1"/>
  <c r="S126" i="11"/>
  <c r="W126" i="11" s="1"/>
  <c r="S124" i="11"/>
  <c r="W124" i="11" s="1"/>
  <c r="S122" i="11"/>
  <c r="W122" i="11" s="1"/>
  <c r="S120" i="11"/>
  <c r="W120" i="11" s="1"/>
  <c r="W128" i="11" l="1"/>
  <c r="AM79" i="11"/>
  <c r="AL79" i="11"/>
  <c r="I225" i="26"/>
  <c r="G211" i="26"/>
  <c r="G272" i="26" s="1"/>
  <c r="I272" i="26" s="1"/>
  <c r="M272" i="26" s="1"/>
  <c r="N272" i="26" s="1"/>
  <c r="P272" i="26" s="1"/>
  <c r="G234" i="26"/>
  <c r="I234" i="26" s="1"/>
  <c r="M234" i="26" s="1"/>
  <c r="N234" i="26" s="1"/>
  <c r="P234" i="26" s="1"/>
  <c r="G195" i="26"/>
  <c r="I195" i="26" s="1"/>
  <c r="G197" i="26"/>
  <c r="I197" i="26" s="1"/>
  <c r="I14" i="26"/>
  <c r="S129" i="11"/>
  <c r="Q128" i="11"/>
  <c r="L221" i="26" s="1"/>
  <c r="L223" i="26" s="1"/>
  <c r="L224" i="26" s="1"/>
  <c r="M224" i="26" l="1"/>
  <c r="N224" i="26" s="1"/>
  <c r="P224" i="26" s="1"/>
  <c r="L225" i="26"/>
  <c r="M225" i="26" s="1"/>
  <c r="N225" i="26" s="1"/>
  <c r="P225" i="26" s="1"/>
  <c r="I211" i="26"/>
  <c r="V129" i="11"/>
  <c r="U95" i="16" s="1"/>
  <c r="S130" i="11"/>
  <c r="L195" i="26"/>
  <c r="G223" i="26"/>
  <c r="G284" i="26" s="1"/>
  <c r="O95" i="16"/>
  <c r="S128" i="11"/>
  <c r="AH95" i="16" s="1"/>
  <c r="U131" i="11" l="1"/>
  <c r="M282" i="26"/>
  <c r="N282" i="26" s="1"/>
  <c r="P282" i="26" s="1"/>
  <c r="I284" i="26"/>
  <c r="M284" i="26" s="1"/>
  <c r="N284" i="26" s="1"/>
  <c r="P284" i="26" s="1"/>
  <c r="C129" i="11"/>
  <c r="Q95" i="16"/>
  <c r="V130" i="11"/>
  <c r="S95" i="16" s="1"/>
  <c r="L197" i="26"/>
  <c r="L199" i="26"/>
  <c r="M221" i="26"/>
  <c r="N221" i="26" s="1"/>
  <c r="P221" i="26" s="1"/>
  <c r="I223" i="26"/>
  <c r="M223" i="26" s="1"/>
  <c r="N223" i="26" s="1"/>
  <c r="P223" i="26" s="1"/>
  <c r="L200" i="26" l="1"/>
  <c r="M200" i="26" s="1"/>
  <c r="N200" i="26" s="1"/>
  <c r="P200" i="26" s="1"/>
  <c r="M199" i="26"/>
  <c r="N199" i="26" s="1"/>
  <c r="P199" i="26" s="1"/>
  <c r="L201" i="26"/>
  <c r="M201" i="26" s="1"/>
  <c r="N201" i="26" s="1"/>
  <c r="P201" i="26" s="1"/>
  <c r="L202" i="26"/>
  <c r="C15" i="21"/>
  <c r="C16" i="21"/>
  <c r="C17" i="21"/>
  <c r="C19" i="21"/>
  <c r="C20" i="21"/>
  <c r="C21" i="21"/>
  <c r="C22" i="21"/>
  <c r="C23" i="21"/>
  <c r="E10" i="24"/>
  <c r="D11" i="26" l="1"/>
  <c r="D144" i="26"/>
  <c r="D166" i="26"/>
  <c r="D161" i="26"/>
  <c r="D44" i="26"/>
  <c r="G46" i="26" s="1"/>
  <c r="D22" i="26"/>
  <c r="M202" i="26"/>
  <c r="N202" i="26" s="1"/>
  <c r="P202" i="26" s="1"/>
  <c r="L203" i="26"/>
  <c r="M203" i="26" s="1"/>
  <c r="N203" i="26" s="1"/>
  <c r="P203" i="26" s="1"/>
  <c r="M72" i="11"/>
  <c r="M78" i="11"/>
  <c r="M76" i="11"/>
  <c r="M111" i="11"/>
  <c r="Q111" i="11" s="1"/>
  <c r="M74" i="11"/>
  <c r="U108" i="11"/>
  <c r="U106" i="11"/>
  <c r="U104" i="11"/>
  <c r="U102" i="11"/>
  <c r="U110" i="11"/>
  <c r="U109" i="11"/>
  <c r="U107" i="11"/>
  <c r="U105" i="11"/>
  <c r="U103" i="11"/>
  <c r="U86" i="11"/>
  <c r="U94" i="11"/>
  <c r="U92" i="11"/>
  <c r="U90" i="11"/>
  <c r="U88" i="11"/>
  <c r="U95" i="11"/>
  <c r="U93" i="11"/>
  <c r="U91" i="11"/>
  <c r="U89" i="11"/>
  <c r="U87" i="11"/>
  <c r="U78" i="11"/>
  <c r="U76" i="11"/>
  <c r="U74" i="11"/>
  <c r="U73" i="11"/>
  <c r="U71" i="11"/>
  <c r="U79" i="11"/>
  <c r="U77" i="11"/>
  <c r="U75" i="11"/>
  <c r="U72" i="11"/>
  <c r="M94" i="11"/>
  <c r="M92" i="11"/>
  <c r="M88" i="11"/>
  <c r="M86" i="11"/>
  <c r="M110" i="11"/>
  <c r="M106" i="11"/>
  <c r="M102" i="11"/>
  <c r="M108" i="11"/>
  <c r="M104" i="11"/>
  <c r="M90" i="11"/>
  <c r="M73" i="11"/>
  <c r="M71" i="11"/>
  <c r="M109" i="11"/>
  <c r="M107" i="11"/>
  <c r="M105" i="11"/>
  <c r="M103" i="11"/>
  <c r="M95" i="11"/>
  <c r="M93" i="11"/>
  <c r="M91" i="11"/>
  <c r="M89" i="11"/>
  <c r="M87" i="11"/>
  <c r="M79" i="11"/>
  <c r="M77" i="11"/>
  <c r="Q77" i="11" s="1"/>
  <c r="M75" i="11"/>
  <c r="I85" i="16"/>
  <c r="G168" i="26" l="1"/>
  <c r="D57" i="26"/>
  <c r="G57" i="26" s="1"/>
  <c r="I57" i="26" s="1"/>
  <c r="D179" i="26"/>
  <c r="G179" i="26" s="1"/>
  <c r="I179" i="26" s="1"/>
  <c r="M112" i="11"/>
  <c r="D143" i="26" s="1"/>
  <c r="O112" i="11"/>
  <c r="M96" i="11"/>
  <c r="O96" i="11"/>
  <c r="O80" i="11"/>
  <c r="D37" i="26" s="1"/>
  <c r="M80" i="11"/>
  <c r="I168" i="26"/>
  <c r="Q103" i="11"/>
  <c r="S103" i="11" s="1"/>
  <c r="W103" i="11" s="1"/>
  <c r="Q73" i="11"/>
  <c r="D288" i="26"/>
  <c r="D301" i="26" s="1"/>
  <c r="G301" i="26" s="1"/>
  <c r="I301" i="26" s="1"/>
  <c r="M301" i="26" s="1"/>
  <c r="N301" i="26" s="1"/>
  <c r="P301" i="26" s="1"/>
  <c r="D227" i="26"/>
  <c r="D240" i="26" s="1"/>
  <c r="G240" i="26" s="1"/>
  <c r="I240" i="26" s="1"/>
  <c r="M240" i="26" s="1"/>
  <c r="N240" i="26" s="1"/>
  <c r="P240" i="26" s="1"/>
  <c r="Q107" i="11"/>
  <c r="S107" i="11" s="1"/>
  <c r="W107" i="11" s="1"/>
  <c r="Q106" i="11"/>
  <c r="S106" i="11" s="1"/>
  <c r="W106" i="11" s="1"/>
  <c r="Q108" i="11"/>
  <c r="S108" i="11" s="1"/>
  <c r="W108" i="11" s="1"/>
  <c r="Q109" i="11"/>
  <c r="S109" i="11" s="1"/>
  <c r="W109" i="11" s="1"/>
  <c r="Q102" i="11"/>
  <c r="Q104" i="11"/>
  <c r="S104" i="11" s="1"/>
  <c r="W104" i="11" s="1"/>
  <c r="Q105" i="11"/>
  <c r="S105" i="11" s="1"/>
  <c r="W105" i="11" s="1"/>
  <c r="Q110" i="11"/>
  <c r="S110" i="11" s="1"/>
  <c r="W110" i="11" s="1"/>
  <c r="Q89" i="11"/>
  <c r="Q93" i="11"/>
  <c r="Q90" i="11"/>
  <c r="Q92" i="11"/>
  <c r="Q86" i="11"/>
  <c r="Q94" i="11"/>
  <c r="Q87" i="11"/>
  <c r="Q91" i="11"/>
  <c r="Q95" i="11"/>
  <c r="Q88" i="11"/>
  <c r="Q75" i="11"/>
  <c r="Q79" i="11"/>
  <c r="Q71" i="11"/>
  <c r="Q74" i="11"/>
  <c r="Q76" i="11"/>
  <c r="Q78" i="11"/>
  <c r="Q72" i="11"/>
  <c r="S111" i="11"/>
  <c r="W111" i="11" s="1"/>
  <c r="U80" i="11"/>
  <c r="U112" i="11"/>
  <c r="U96" i="11"/>
  <c r="G146" i="26" l="1"/>
  <c r="D21" i="26"/>
  <c r="Q48" i="26"/>
  <c r="G112" i="26"/>
  <c r="I112" i="26" s="1"/>
  <c r="M112" i="26" s="1"/>
  <c r="D98" i="26"/>
  <c r="D82" i="26"/>
  <c r="G173" i="26"/>
  <c r="I173" i="26" s="1"/>
  <c r="M173" i="26" s="1"/>
  <c r="G229" i="26"/>
  <c r="G51" i="26"/>
  <c r="I51" i="26" s="1"/>
  <c r="M51" i="26" s="1"/>
  <c r="N45" i="30" s="1"/>
  <c r="M92" i="16"/>
  <c r="L210" i="26"/>
  <c r="M232" i="26"/>
  <c r="N173" i="26" l="1"/>
  <c r="N167" i="30"/>
  <c r="N112" i="26"/>
  <c r="N106" i="30"/>
  <c r="G85" i="26"/>
  <c r="L109" i="26"/>
  <c r="M109" i="26" s="1"/>
  <c r="G24" i="26"/>
  <c r="L48" i="26"/>
  <c r="G290" i="26"/>
  <c r="I290" i="26" s="1"/>
  <c r="M290" i="26" s="1"/>
  <c r="N290" i="26" s="1"/>
  <c r="P290" i="26" s="1"/>
  <c r="I229" i="26"/>
  <c r="N232" i="26"/>
  <c r="P232" i="26" s="1"/>
  <c r="L211" i="26"/>
  <c r="S134" i="26"/>
  <c r="S133" i="26"/>
  <c r="S132" i="26"/>
  <c r="S131" i="26"/>
  <c r="P112" i="26" l="1"/>
  <c r="O106" i="30"/>
  <c r="U72" i="30" s="1"/>
  <c r="N109" i="26"/>
  <c r="N103" i="30"/>
  <c r="P173" i="26"/>
  <c r="O167" i="30"/>
  <c r="U133" i="30" s="1"/>
  <c r="S102" i="11"/>
  <c r="S73" i="26"/>
  <c r="S72" i="26"/>
  <c r="S71" i="26"/>
  <c r="S70" i="26"/>
  <c r="P109" i="26" l="1"/>
  <c r="O103" i="30"/>
  <c r="W102" i="11"/>
  <c r="AB102" i="11"/>
  <c r="I47" i="26"/>
  <c r="I46" i="26"/>
  <c r="I45" i="26"/>
  <c r="I41" i="26"/>
  <c r="I40" i="26"/>
  <c r="I36" i="26"/>
  <c r="I35" i="26"/>
  <c r="I34" i="26"/>
  <c r="I32" i="26"/>
  <c r="I31" i="26"/>
  <c r="I28" i="26"/>
  <c r="A56" i="16"/>
  <c r="V56" i="16" s="1"/>
  <c r="A58" i="16"/>
  <c r="V58" i="16" s="1"/>
  <c r="W112" i="11" l="1"/>
  <c r="AA112" i="11" s="1"/>
  <c r="E58" i="16"/>
  <c r="K58" i="16"/>
  <c r="D5" i="21"/>
  <c r="O58" i="16"/>
  <c r="D6" i="21"/>
  <c r="D7" i="21" s="1"/>
  <c r="D8" i="21" s="1"/>
  <c r="O56" i="16"/>
  <c r="K56" i="16"/>
  <c r="E56" i="16"/>
  <c r="O87" i="16"/>
  <c r="I48" i="16"/>
  <c r="F14" i="20" l="1"/>
  <c r="F16" i="20"/>
  <c r="S72" i="11" l="1"/>
  <c r="S76" i="11"/>
  <c r="S74" i="11"/>
  <c r="S77" i="11"/>
  <c r="S73" i="11"/>
  <c r="S79" i="11"/>
  <c r="S75" i="11"/>
  <c r="S87" i="11"/>
  <c r="W87" i="11" s="1"/>
  <c r="S88" i="11"/>
  <c r="W88" i="11" s="1"/>
  <c r="S89" i="11"/>
  <c r="W89" i="11" s="1"/>
  <c r="S90" i="11"/>
  <c r="W90" i="11" s="1"/>
  <c r="S91" i="11"/>
  <c r="W91" i="11" s="1"/>
  <c r="S92" i="11"/>
  <c r="W92" i="11" s="1"/>
  <c r="S93" i="11"/>
  <c r="W93" i="11" s="1"/>
  <c r="S94" i="11"/>
  <c r="W94" i="11" s="1"/>
  <c r="S95" i="11"/>
  <c r="W95" i="11" s="1"/>
  <c r="W77" i="11" l="1"/>
  <c r="AI77" i="11" s="1"/>
  <c r="W76" i="11"/>
  <c r="AI76" i="11" s="1"/>
  <c r="W75" i="11"/>
  <c r="AI75" i="11" s="1"/>
  <c r="W74" i="11"/>
  <c r="AI74" i="11" s="1"/>
  <c r="W73" i="11"/>
  <c r="AI73" i="11" s="1"/>
  <c r="W72" i="11"/>
  <c r="AI72" i="11" s="1"/>
  <c r="W79" i="11"/>
  <c r="AI79" i="11" s="1"/>
  <c r="M93" i="16"/>
  <c r="S78" i="11"/>
  <c r="S86" i="11"/>
  <c r="W78" i="11" l="1"/>
  <c r="AI78" i="11" s="1"/>
  <c r="W86" i="11"/>
  <c r="M48" i="26"/>
  <c r="S97" i="11"/>
  <c r="K92" i="16"/>
  <c r="K93" i="16"/>
  <c r="S71" i="11"/>
  <c r="W71" i="11" s="1"/>
  <c r="Q80" i="11"/>
  <c r="D55" i="26" s="1"/>
  <c r="G55" i="26" s="1"/>
  <c r="I55" i="26" s="1"/>
  <c r="M55" i="26" s="1"/>
  <c r="S96" i="11"/>
  <c r="Q93" i="16" s="1"/>
  <c r="E21" i="22"/>
  <c r="E22" i="22" s="1"/>
  <c r="N87" i="16"/>
  <c r="I87" i="16"/>
  <c r="N86" i="16"/>
  <c r="I86" i="16"/>
  <c r="N85" i="16"/>
  <c r="N55" i="26" l="1"/>
  <c r="N49" i="30"/>
  <c r="N48" i="26"/>
  <c r="N42" i="30"/>
  <c r="L30" i="26"/>
  <c r="L34" i="26"/>
  <c r="L26" i="26"/>
  <c r="L40" i="26"/>
  <c r="L45" i="26"/>
  <c r="M45" i="26" s="1"/>
  <c r="L58" i="26"/>
  <c r="M58" i="26" s="1"/>
  <c r="L43" i="26"/>
  <c r="M43" i="26" s="1"/>
  <c r="N37" i="30" s="1"/>
  <c r="L57" i="26"/>
  <c r="M57" i="26" s="1"/>
  <c r="L59" i="26"/>
  <c r="M59" i="26" s="1"/>
  <c r="L49" i="26"/>
  <c r="M49" i="26" s="1"/>
  <c r="L24" i="26"/>
  <c r="M24" i="26" s="1"/>
  <c r="L12" i="26"/>
  <c r="S82" i="11"/>
  <c r="L38" i="26"/>
  <c r="W96" i="11"/>
  <c r="AI71" i="11"/>
  <c r="W80" i="11"/>
  <c r="AA80" i="11" s="1"/>
  <c r="AH93" i="16"/>
  <c r="C97" i="11"/>
  <c r="O92" i="16"/>
  <c r="N51" i="26"/>
  <c r="S16" i="26"/>
  <c r="S14" i="26"/>
  <c r="S15" i="26" s="1"/>
  <c r="S81" i="11"/>
  <c r="S80" i="11"/>
  <c r="P55" i="26" l="1"/>
  <c r="O49" i="30"/>
  <c r="U15" i="30" s="1"/>
  <c r="N49" i="26"/>
  <c r="N43" i="30"/>
  <c r="N59" i="26"/>
  <c r="N53" i="30"/>
  <c r="N57" i="26"/>
  <c r="N51" i="30"/>
  <c r="N58" i="26"/>
  <c r="N52" i="30"/>
  <c r="P51" i="26"/>
  <c r="O45" i="30"/>
  <c r="U11" i="30" s="1"/>
  <c r="N45" i="26"/>
  <c r="O39" i="30" s="1"/>
  <c r="N39" i="30"/>
  <c r="N24" i="26"/>
  <c r="N18" i="30"/>
  <c r="P48" i="26"/>
  <c r="O42" i="30"/>
  <c r="O73" i="29"/>
  <c r="O89" i="29"/>
  <c r="V82" i="11"/>
  <c r="S92" i="16" s="1"/>
  <c r="M26" i="26"/>
  <c r="N20" i="30" s="1"/>
  <c r="L28" i="26"/>
  <c r="M28" i="26" s="1"/>
  <c r="N22" i="30" s="1"/>
  <c r="L27" i="26"/>
  <c r="M27" i="26" s="1"/>
  <c r="N21" i="30" s="1"/>
  <c r="L35" i="26"/>
  <c r="M35" i="26" s="1"/>
  <c r="N29" i="30" s="1"/>
  <c r="L36" i="26"/>
  <c r="M36" i="26" s="1"/>
  <c r="N30" i="30" s="1"/>
  <c r="M34" i="26"/>
  <c r="M30" i="26"/>
  <c r="L31" i="26"/>
  <c r="M31" i="26" s="1"/>
  <c r="N25" i="30" s="1"/>
  <c r="L32" i="26"/>
  <c r="M32" i="26" s="1"/>
  <c r="N26" i="30" s="1"/>
  <c r="L47" i="26"/>
  <c r="M47" i="26" s="1"/>
  <c r="N41" i="30" s="1"/>
  <c r="L46" i="26"/>
  <c r="M46" i="26" s="1"/>
  <c r="N40" i="30" s="1"/>
  <c r="M38" i="26"/>
  <c r="AA96" i="11"/>
  <c r="AH68" i="16" a="1"/>
  <c r="AH68" i="16" s="1"/>
  <c r="AM80" i="11"/>
  <c r="C81" i="11"/>
  <c r="Q92" i="16"/>
  <c r="V81" i="11"/>
  <c r="U92" i="16" s="1"/>
  <c r="M12" i="26"/>
  <c r="L50" i="26"/>
  <c r="AH92" i="16"/>
  <c r="N43" i="26"/>
  <c r="O37" i="30" s="1"/>
  <c r="U7" i="30" s="1"/>
  <c r="L14" i="26"/>
  <c r="L16" i="26"/>
  <c r="M16" i="26" s="1"/>
  <c r="N10" i="30" s="1"/>
  <c r="L17" i="26"/>
  <c r="S199" i="26"/>
  <c r="S197" i="26"/>
  <c r="S198" i="26" s="1"/>
  <c r="S77" i="26"/>
  <c r="S75" i="26"/>
  <c r="S76" i="26" s="1"/>
  <c r="S138" i="26"/>
  <c r="S136" i="26"/>
  <c r="S137" i="26" s="1"/>
  <c r="P45" i="26" l="1"/>
  <c r="N12" i="26"/>
  <c r="O6" i="30" s="1"/>
  <c r="N6" i="30"/>
  <c r="N38" i="26"/>
  <c r="N32" i="30"/>
  <c r="P58" i="26"/>
  <c r="O52" i="30"/>
  <c r="P59" i="26"/>
  <c r="O53" i="30"/>
  <c r="N30" i="26"/>
  <c r="O24" i="30" s="1"/>
  <c r="N24" i="30"/>
  <c r="N34" i="26"/>
  <c r="N28" i="30"/>
  <c r="P24" i="26"/>
  <c r="O18" i="30"/>
  <c r="P57" i="26"/>
  <c r="O51" i="30"/>
  <c r="P49" i="26"/>
  <c r="O43" i="30"/>
  <c r="U9" i="30" s="1"/>
  <c r="O97" i="29"/>
  <c r="R97" i="29" s="1"/>
  <c r="X97" i="29" s="1"/>
  <c r="R89" i="29"/>
  <c r="X89" i="29" s="1"/>
  <c r="O81" i="29"/>
  <c r="R81" i="29" s="1"/>
  <c r="X81" i="29" s="1"/>
  <c r="R73" i="29"/>
  <c r="X73" i="29" s="1"/>
  <c r="L41" i="26"/>
  <c r="M41" i="26" s="1"/>
  <c r="N35" i="30" s="1"/>
  <c r="M40" i="26"/>
  <c r="M17" i="26"/>
  <c r="N11" i="30" s="1"/>
  <c r="M14" i="26"/>
  <c r="N8" i="30" s="1"/>
  <c r="P12" i="26"/>
  <c r="L18" i="26"/>
  <c r="L19" i="26"/>
  <c r="M19" i="26" s="1"/>
  <c r="N13" i="30" s="1"/>
  <c r="N16" i="26"/>
  <c r="N31" i="26"/>
  <c r="O25" i="30" s="1"/>
  <c r="N27" i="26"/>
  <c r="O21" i="30" s="1"/>
  <c r="F15" i="20"/>
  <c r="U16" i="30" l="1"/>
  <c r="P34" i="26"/>
  <c r="O28" i="30"/>
  <c r="N40" i="26"/>
  <c r="N34" i="30"/>
  <c r="P38" i="26"/>
  <c r="O32" i="30"/>
  <c r="P16" i="26"/>
  <c r="O10" i="30"/>
  <c r="U23" i="30" s="1"/>
  <c r="U21" i="30"/>
  <c r="M18" i="26"/>
  <c r="N12" i="30" s="1"/>
  <c r="N14" i="26"/>
  <c r="O8" i="30" s="1"/>
  <c r="U22" i="30" s="1"/>
  <c r="N17" i="26"/>
  <c r="L20" i="26"/>
  <c r="N19" i="26"/>
  <c r="P27" i="26"/>
  <c r="K94" i="16"/>
  <c r="M213" i="26"/>
  <c r="M209" i="26"/>
  <c r="M217" i="26"/>
  <c r="K82" i="22"/>
  <c r="K81" i="22"/>
  <c r="K80" i="22"/>
  <c r="K79" i="22"/>
  <c r="K78" i="22"/>
  <c r="K77" i="22"/>
  <c r="K76" i="22"/>
  <c r="K75" i="22"/>
  <c r="K74" i="22"/>
  <c r="K73" i="22"/>
  <c r="K72" i="22"/>
  <c r="K71" i="22"/>
  <c r="K70" i="22"/>
  <c r="K69" i="22"/>
  <c r="K68" i="22"/>
  <c r="K67" i="22"/>
  <c r="K66" i="22"/>
  <c r="K65" i="22"/>
  <c r="K64" i="22"/>
  <c r="K63" i="22"/>
  <c r="K62" i="22"/>
  <c r="K61" i="22"/>
  <c r="K60" i="22"/>
  <c r="K59" i="22"/>
  <c r="K58" i="22"/>
  <c r="K57" i="22"/>
  <c r="K56" i="22"/>
  <c r="K55" i="22"/>
  <c r="K54" i="22"/>
  <c r="K53" i="22"/>
  <c r="K52" i="22"/>
  <c r="K51" i="22"/>
  <c r="K50" i="22"/>
  <c r="K49" i="22"/>
  <c r="K48" i="22"/>
  <c r="K47" i="22"/>
  <c r="K46" i="22"/>
  <c r="K45" i="22"/>
  <c r="K44" i="22"/>
  <c r="K43" i="22"/>
  <c r="K42" i="22"/>
  <c r="K41" i="22"/>
  <c r="K40" i="22"/>
  <c r="K39" i="22"/>
  <c r="K38" i="22"/>
  <c r="K37" i="22"/>
  <c r="K36" i="22"/>
  <c r="K35" i="22"/>
  <c r="K34" i="22"/>
  <c r="K33" i="22"/>
  <c r="K32" i="22"/>
  <c r="K31" i="22"/>
  <c r="K30" i="22"/>
  <c r="K29" i="22"/>
  <c r="K28" i="22"/>
  <c r="K27" i="22"/>
  <c r="K26" i="22"/>
  <c r="K25" i="22"/>
  <c r="K24" i="22"/>
  <c r="K23" i="22"/>
  <c r="K22" i="22"/>
  <c r="K21" i="22"/>
  <c r="K20" i="22"/>
  <c r="K19" i="22"/>
  <c r="K18" i="22"/>
  <c r="K17" i="22"/>
  <c r="K16" i="22"/>
  <c r="K15" i="22"/>
  <c r="K14" i="22"/>
  <c r="K13" i="22"/>
  <c r="K12" i="22"/>
  <c r="O65" i="26" s="1"/>
  <c r="Q65" i="26" s="1"/>
  <c r="G111" i="26" s="1"/>
  <c r="I111" i="26" s="1"/>
  <c r="P17" i="26" l="1"/>
  <c r="O11" i="30"/>
  <c r="P40" i="26"/>
  <c r="O34" i="30"/>
  <c r="P19" i="26"/>
  <c r="O13" i="30"/>
  <c r="U26" i="30" s="1"/>
  <c r="G294" i="26"/>
  <c r="I294" i="26" s="1"/>
  <c r="M294" i="26" s="1"/>
  <c r="N294" i="26" s="1"/>
  <c r="P294" i="26" s="1"/>
  <c r="G172" i="26"/>
  <c r="I172" i="26" s="1"/>
  <c r="M305" i="26"/>
  <c r="N217" i="26"/>
  <c r="P217" i="26" s="1"/>
  <c r="N213" i="26"/>
  <c r="P213" i="26" s="1"/>
  <c r="N209" i="26"/>
  <c r="P209" i="26" s="1"/>
  <c r="M20" i="26"/>
  <c r="N14" i="30" s="1"/>
  <c r="N18" i="26"/>
  <c r="O12" i="30" s="1"/>
  <c r="U25" i="30" s="1"/>
  <c r="P14" i="26"/>
  <c r="G50" i="26"/>
  <c r="I50" i="26" s="1"/>
  <c r="M50" i="26" s="1"/>
  <c r="N44" i="30" s="1"/>
  <c r="M218" i="26"/>
  <c r="M219" i="26"/>
  <c r="M210" i="26"/>
  <c r="M211" i="26"/>
  <c r="M214" i="26"/>
  <c r="M215" i="26"/>
  <c r="H15" i="20"/>
  <c r="U24" i="30" l="1"/>
  <c r="P305" i="26"/>
  <c r="E305" i="26"/>
  <c r="P18" i="26"/>
  <c r="N219" i="26"/>
  <c r="P219" i="26" s="1"/>
  <c r="N218" i="26"/>
  <c r="P218" i="26" s="1"/>
  <c r="N215" i="26"/>
  <c r="P215" i="26" s="1"/>
  <c r="N214" i="26"/>
  <c r="P214" i="26" s="1"/>
  <c r="N210" i="26"/>
  <c r="P210" i="26" s="1"/>
  <c r="N211" i="26"/>
  <c r="P211" i="26" s="1"/>
  <c r="N20" i="26"/>
  <c r="O14" i="30" s="1"/>
  <c r="U27" i="30" s="1"/>
  <c r="N50" i="26"/>
  <c r="G233" i="26"/>
  <c r="I233" i="26" s="1"/>
  <c r="M233" i="26" s="1"/>
  <c r="N233" i="26" s="1"/>
  <c r="P233" i="26" s="1"/>
  <c r="H17" i="20"/>
  <c r="P50" i="26" l="1"/>
  <c r="O44" i="30"/>
  <c r="U10" i="30" s="1"/>
  <c r="U29" i="30"/>
  <c r="V27" i="30" s="1"/>
  <c r="U4" i="30"/>
  <c r="D159" i="26"/>
  <c r="L170" i="26" s="1"/>
  <c r="M170" i="26" s="1"/>
  <c r="P306" i="26"/>
  <c r="C308" i="26"/>
  <c r="P20" i="26"/>
  <c r="M94" i="16"/>
  <c r="S113" i="11"/>
  <c r="Q112" i="11"/>
  <c r="D177" i="26" s="1"/>
  <c r="G177" i="26" s="1"/>
  <c r="I177" i="26" s="1"/>
  <c r="M177" i="26" s="1"/>
  <c r="E19" i="20"/>
  <c r="H16" i="20"/>
  <c r="H14" i="20"/>
  <c r="N177" i="26" l="1"/>
  <c r="N171" i="30"/>
  <c r="V24" i="30"/>
  <c r="N170" i="26"/>
  <c r="N164" i="30"/>
  <c r="V23" i="30"/>
  <c r="V22" i="30"/>
  <c r="V21" i="30"/>
  <c r="V25" i="30"/>
  <c r="V26" i="30"/>
  <c r="L181" i="26"/>
  <c r="M181" i="26" s="1"/>
  <c r="L167" i="26"/>
  <c r="L168" i="26" s="1"/>
  <c r="M168" i="26" s="1"/>
  <c r="L152" i="26"/>
  <c r="L153" i="26" s="1"/>
  <c r="M153" i="26" s="1"/>
  <c r="L179" i="26"/>
  <c r="M179" i="26" s="1"/>
  <c r="L180" i="26"/>
  <c r="M180" i="26" s="1"/>
  <c r="L165" i="26"/>
  <c r="M165" i="26" s="1"/>
  <c r="L146" i="26"/>
  <c r="M146" i="26" s="1"/>
  <c r="L162" i="26"/>
  <c r="L171" i="26"/>
  <c r="M171" i="26" s="1"/>
  <c r="L156" i="26"/>
  <c r="M156" i="26" s="1"/>
  <c r="L134" i="26"/>
  <c r="M134" i="26" s="1"/>
  <c r="L148" i="26"/>
  <c r="M148" i="26" s="1"/>
  <c r="L160" i="26"/>
  <c r="M160" i="26" s="1"/>
  <c r="Y96" i="16"/>
  <c r="E308" i="26"/>
  <c r="M306" i="26"/>
  <c r="P307" i="26" s="1"/>
  <c r="V113" i="11"/>
  <c r="U94" i="16" s="1"/>
  <c r="O94" i="16"/>
  <c r="S114" i="11"/>
  <c r="M197" i="26"/>
  <c r="M195" i="26"/>
  <c r="S112" i="11"/>
  <c r="Q94" i="16" s="1"/>
  <c r="H18" i="20"/>
  <c r="L169" i="26" l="1"/>
  <c r="M169" i="26" s="1"/>
  <c r="N169" i="26" s="1"/>
  <c r="P177" i="26"/>
  <c r="O171" i="30"/>
  <c r="U137" i="30" s="1"/>
  <c r="N171" i="26"/>
  <c r="N165" i="30"/>
  <c r="N179" i="26"/>
  <c r="N173" i="30"/>
  <c r="N180" i="26"/>
  <c r="N174" i="30"/>
  <c r="N148" i="26"/>
  <c r="N142" i="30"/>
  <c r="N134" i="26"/>
  <c r="N128" i="30"/>
  <c r="N146" i="26"/>
  <c r="N140" i="30"/>
  <c r="N153" i="26"/>
  <c r="N147" i="30"/>
  <c r="N160" i="26"/>
  <c r="N154" i="30"/>
  <c r="N181" i="26"/>
  <c r="N175" i="30"/>
  <c r="P170" i="26"/>
  <c r="O164" i="30"/>
  <c r="N156" i="26"/>
  <c r="N150" i="30"/>
  <c r="N165" i="26"/>
  <c r="N159" i="30"/>
  <c r="N168" i="26"/>
  <c r="N162" i="30"/>
  <c r="O91" i="29"/>
  <c r="O75" i="29"/>
  <c r="L158" i="26"/>
  <c r="M158" i="26" s="1"/>
  <c r="L157" i="26"/>
  <c r="M157" i="26" s="1"/>
  <c r="M167" i="26"/>
  <c r="L149" i="26"/>
  <c r="M149" i="26" s="1"/>
  <c r="L172" i="26"/>
  <c r="M172" i="26" s="1"/>
  <c r="L154" i="26"/>
  <c r="M154" i="26" s="1"/>
  <c r="L136" i="26"/>
  <c r="M136" i="26" s="1"/>
  <c r="L150" i="26"/>
  <c r="M150" i="26" s="1"/>
  <c r="L138" i="26"/>
  <c r="L140" i="26" s="1"/>
  <c r="M140" i="26" s="1"/>
  <c r="M152" i="26"/>
  <c r="L139" i="26"/>
  <c r="M139" i="26" s="1"/>
  <c r="L163" i="26"/>
  <c r="M162" i="26"/>
  <c r="AJ96" i="16"/>
  <c r="AN96" i="16" s="1"/>
  <c r="AO96" i="16" s="1"/>
  <c r="W96" i="16"/>
  <c r="V144" i="11"/>
  <c r="S147" i="11" s="1"/>
  <c r="M307" i="26"/>
  <c r="E307" i="26" s="1"/>
  <c r="E306" i="26"/>
  <c r="AH94" i="16"/>
  <c r="C113" i="11"/>
  <c r="V114" i="11"/>
  <c r="S94" i="16" s="1"/>
  <c r="N195" i="26"/>
  <c r="N197" i="26"/>
  <c r="P197" i="26" s="1"/>
  <c r="M228" i="26"/>
  <c r="N228" i="26" s="1"/>
  <c r="P228" i="26" s="1"/>
  <c r="N163" i="30" l="1"/>
  <c r="N140" i="26"/>
  <c r="N134" i="30"/>
  <c r="N149" i="26"/>
  <c r="N143" i="30"/>
  <c r="N152" i="26"/>
  <c r="N146" i="30"/>
  <c r="N154" i="26"/>
  <c r="N148" i="30"/>
  <c r="N157" i="26"/>
  <c r="N151" i="30"/>
  <c r="N162" i="26"/>
  <c r="N156" i="30"/>
  <c r="N172" i="26"/>
  <c r="N166" i="30"/>
  <c r="N158" i="26"/>
  <c r="N152" i="30"/>
  <c r="P168" i="26"/>
  <c r="O162" i="30"/>
  <c r="P156" i="26"/>
  <c r="O150" i="30"/>
  <c r="P160" i="26"/>
  <c r="O154" i="30"/>
  <c r="P146" i="26"/>
  <c r="O140" i="30"/>
  <c r="P148" i="26"/>
  <c r="O142" i="30"/>
  <c r="P179" i="26"/>
  <c r="O173" i="30"/>
  <c r="N150" i="26"/>
  <c r="N144" i="30"/>
  <c r="N139" i="26"/>
  <c r="N133" i="30"/>
  <c r="N136" i="26"/>
  <c r="N130" i="30"/>
  <c r="N167" i="26"/>
  <c r="N161" i="30"/>
  <c r="P165" i="26"/>
  <c r="O159" i="30"/>
  <c r="U129" i="30" s="1"/>
  <c r="P169" i="26"/>
  <c r="O163" i="30"/>
  <c r="P181" i="26"/>
  <c r="O175" i="30"/>
  <c r="P153" i="26"/>
  <c r="O147" i="30"/>
  <c r="P134" i="26"/>
  <c r="O128" i="30"/>
  <c r="P180" i="26"/>
  <c r="O174" i="30"/>
  <c r="P171" i="26"/>
  <c r="O165" i="30"/>
  <c r="U131" i="30" s="1"/>
  <c r="O83" i="29"/>
  <c r="R75" i="29"/>
  <c r="X75" i="29" s="1"/>
  <c r="O99" i="29"/>
  <c r="R99" i="29" s="1"/>
  <c r="X99" i="29" s="1"/>
  <c r="R91" i="29"/>
  <c r="X91" i="29" s="1"/>
  <c r="L141" i="26"/>
  <c r="M141" i="26" s="1"/>
  <c r="M138" i="26"/>
  <c r="AA96" i="16"/>
  <c r="S148" i="11"/>
  <c r="L164" i="26"/>
  <c r="M164" i="26" s="1"/>
  <c r="M163" i="26"/>
  <c r="P195" i="26"/>
  <c r="M230" i="26"/>
  <c r="N230" i="26" s="1"/>
  <c r="P230" i="26" s="1"/>
  <c r="M229" i="26"/>
  <c r="N229" i="26" s="1"/>
  <c r="M244" i="26" s="1"/>
  <c r="B116" i="22"/>
  <c r="F90" i="22"/>
  <c r="I95" i="22" s="1"/>
  <c r="F115" i="22"/>
  <c r="B115" i="22"/>
  <c r="I115" i="22" s="1"/>
  <c r="L142" i="26" l="1"/>
  <c r="M142" i="26" s="1"/>
  <c r="N142" i="26" s="1"/>
  <c r="N164" i="26"/>
  <c r="N158" i="30"/>
  <c r="U138" i="30"/>
  <c r="N141" i="26"/>
  <c r="N135" i="30"/>
  <c r="P139" i="26"/>
  <c r="O133" i="30"/>
  <c r="U146" i="30" s="1"/>
  <c r="P158" i="26"/>
  <c r="O152" i="30"/>
  <c r="N138" i="26"/>
  <c r="N132" i="30"/>
  <c r="P154" i="26"/>
  <c r="O148" i="30"/>
  <c r="P167" i="26"/>
  <c r="O161" i="30"/>
  <c r="U130" i="30" s="1"/>
  <c r="P162" i="26"/>
  <c r="O156" i="30"/>
  <c r="P149" i="26"/>
  <c r="O143" i="30"/>
  <c r="U143" i="30"/>
  <c r="N163" i="26"/>
  <c r="N157" i="30"/>
  <c r="P136" i="26"/>
  <c r="O130" i="30"/>
  <c r="U144" i="30" s="1"/>
  <c r="P150" i="26"/>
  <c r="O144" i="30"/>
  <c r="P172" i="26"/>
  <c r="O166" i="30"/>
  <c r="U132" i="30" s="1"/>
  <c r="P157" i="26"/>
  <c r="O151" i="30"/>
  <c r="P152" i="26"/>
  <c r="O146" i="30"/>
  <c r="P140" i="26"/>
  <c r="O134" i="30"/>
  <c r="U147" i="30" s="1"/>
  <c r="R83" i="29"/>
  <c r="X83" i="29" s="1"/>
  <c r="AA85" i="29"/>
  <c r="AA86" i="29" s="1"/>
  <c r="E244" i="26"/>
  <c r="P229" i="26"/>
  <c r="P244" i="26" s="1"/>
  <c r="I119" i="22"/>
  <c r="I116" i="22"/>
  <c r="E122" i="22" s="1"/>
  <c r="I90" i="22"/>
  <c r="I91" i="22"/>
  <c r="N136" i="30" l="1"/>
  <c r="U127" i="30"/>
  <c r="P141" i="26"/>
  <c r="O135" i="30"/>
  <c r="U148" i="30" s="1"/>
  <c r="V146" i="30"/>
  <c r="V143" i="30"/>
  <c r="P142" i="26"/>
  <c r="O136" i="30"/>
  <c r="U149" i="30" s="1"/>
  <c r="P138" i="26"/>
  <c r="O132" i="30"/>
  <c r="P163" i="26"/>
  <c r="O157" i="30"/>
  <c r="V144" i="30"/>
  <c r="V147" i="30"/>
  <c r="P164" i="26"/>
  <c r="O158" i="30"/>
  <c r="C247" i="26"/>
  <c r="E97" i="22"/>
  <c r="U128" i="30" l="1"/>
  <c r="U145" i="30"/>
  <c r="U126" i="30"/>
  <c r="V148" i="30"/>
  <c r="V149" i="30"/>
  <c r="P245" i="26"/>
  <c r="E247" i="26" s="1"/>
  <c r="E98" i="22"/>
  <c r="E123" i="22"/>
  <c r="U140" i="30" l="1"/>
  <c r="V145" i="30"/>
  <c r="U151" i="30"/>
  <c r="M245" i="26"/>
  <c r="P246" i="26" s="1"/>
  <c r="AJ95" i="16" s="1"/>
  <c r="AN95" i="16" s="1"/>
  <c r="AO95" i="16" s="1"/>
  <c r="Y95" i="16"/>
  <c r="A55" i="16"/>
  <c r="V55" i="16" s="1"/>
  <c r="E245" i="26" l="1"/>
  <c r="W95" i="16"/>
  <c r="V128" i="11"/>
  <c r="S131" i="11" s="1"/>
  <c r="M246" i="26"/>
  <c r="E246" i="26" s="1"/>
  <c r="E55" i="16"/>
  <c r="D3" i="21"/>
  <c r="D4" i="21" s="1"/>
  <c r="K55" i="16"/>
  <c r="O55" i="16"/>
  <c r="AA95" i="16" l="1"/>
  <c r="S132" i="11"/>
  <c r="O86" i="16"/>
  <c r="A70" i="16" l="1"/>
  <c r="Y80" i="16" l="1"/>
  <c r="Q96" i="11" l="1"/>
  <c r="D116" i="26" s="1"/>
  <c r="G116" i="26" s="1"/>
  <c r="I116" i="26" s="1"/>
  <c r="M116" i="26" s="1"/>
  <c r="N116" i="26" l="1"/>
  <c r="N110" i="30"/>
  <c r="L85" i="26"/>
  <c r="M85" i="26" s="1"/>
  <c r="L87" i="26"/>
  <c r="L120" i="26"/>
  <c r="M120" i="26" s="1"/>
  <c r="L106" i="26"/>
  <c r="L119" i="26"/>
  <c r="M119" i="26" s="1"/>
  <c r="L95" i="26"/>
  <c r="L118" i="26"/>
  <c r="M118" i="26" s="1"/>
  <c r="L104" i="26"/>
  <c r="M104" i="26" s="1"/>
  <c r="L91" i="26"/>
  <c r="L73" i="26"/>
  <c r="L110" i="26"/>
  <c r="M110" i="26" s="1"/>
  <c r="L101" i="26"/>
  <c r="L99" i="26"/>
  <c r="V97" i="11"/>
  <c r="U93" i="16" s="1"/>
  <c r="O93" i="16"/>
  <c r="S98" i="11"/>
  <c r="P116" i="26" l="1"/>
  <c r="O110" i="30"/>
  <c r="U76" i="30" s="1"/>
  <c r="N110" i="26"/>
  <c r="N104" i="30"/>
  <c r="N120" i="26"/>
  <c r="N114" i="30"/>
  <c r="N104" i="26"/>
  <c r="N98" i="30"/>
  <c r="N118" i="26"/>
  <c r="N112" i="30"/>
  <c r="N119" i="26"/>
  <c r="N113" i="30"/>
  <c r="N85" i="26"/>
  <c r="N79" i="30"/>
  <c r="O90" i="29"/>
  <c r="O74" i="29"/>
  <c r="L89" i="26"/>
  <c r="M89" i="26" s="1"/>
  <c r="M87" i="26"/>
  <c r="L88" i="26"/>
  <c r="M88" i="26" s="1"/>
  <c r="M106" i="26"/>
  <c r="L107" i="26"/>
  <c r="M107" i="26" s="1"/>
  <c r="L108" i="26"/>
  <c r="M108" i="26" s="1"/>
  <c r="L96" i="26"/>
  <c r="M96" i="26" s="1"/>
  <c r="L97" i="26"/>
  <c r="M97" i="26" s="1"/>
  <c r="M95" i="26"/>
  <c r="L92" i="26"/>
  <c r="M92" i="26" s="1"/>
  <c r="L93" i="26"/>
  <c r="M93" i="26" s="1"/>
  <c r="M91" i="26"/>
  <c r="M99" i="26"/>
  <c r="L75" i="26"/>
  <c r="M75" i="26" s="1"/>
  <c r="L111" i="26"/>
  <c r="M111" i="26" s="1"/>
  <c r="L77" i="26"/>
  <c r="L78" i="26"/>
  <c r="M78" i="26" s="1"/>
  <c r="M73" i="26"/>
  <c r="V98" i="11"/>
  <c r="S93" i="16" s="1"/>
  <c r="P43" i="26"/>
  <c r="N92" i="26" l="1"/>
  <c r="N86" i="30"/>
  <c r="N73" i="26"/>
  <c r="O67" i="30" s="1"/>
  <c r="N67" i="30"/>
  <c r="N75" i="26"/>
  <c r="N69" i="30"/>
  <c r="N108" i="26"/>
  <c r="N102" i="30"/>
  <c r="N87" i="26"/>
  <c r="N81" i="30"/>
  <c r="N78" i="26"/>
  <c r="N72" i="30"/>
  <c r="N99" i="26"/>
  <c r="N93" i="30"/>
  <c r="N95" i="26"/>
  <c r="N89" i="30"/>
  <c r="N107" i="26"/>
  <c r="N101" i="30"/>
  <c r="N89" i="26"/>
  <c r="N83" i="30"/>
  <c r="P85" i="26"/>
  <c r="O79" i="30"/>
  <c r="P118" i="26"/>
  <c r="O112" i="30"/>
  <c r="P120" i="26"/>
  <c r="O114" i="30"/>
  <c r="N91" i="26"/>
  <c r="N85" i="30"/>
  <c r="N97" i="26"/>
  <c r="N91" i="30"/>
  <c r="N106" i="26"/>
  <c r="N100" i="30"/>
  <c r="N111" i="26"/>
  <c r="N105" i="30"/>
  <c r="N93" i="26"/>
  <c r="N87" i="30"/>
  <c r="N96" i="26"/>
  <c r="N90" i="30"/>
  <c r="N88" i="26"/>
  <c r="N82" i="30"/>
  <c r="P119" i="26"/>
  <c r="O113" i="30"/>
  <c r="P104" i="26"/>
  <c r="O98" i="30"/>
  <c r="U68" i="30" s="1"/>
  <c r="P110" i="26"/>
  <c r="O104" i="30"/>
  <c r="U70" i="30" s="1"/>
  <c r="O82" i="29"/>
  <c r="R82" i="29" s="1"/>
  <c r="X82" i="29" s="1"/>
  <c r="R74" i="29"/>
  <c r="X74" i="29" s="1"/>
  <c r="O98" i="29"/>
  <c r="R98" i="29" s="1"/>
  <c r="X98" i="29" s="1"/>
  <c r="R90" i="29"/>
  <c r="X90" i="29" s="1"/>
  <c r="L80" i="26"/>
  <c r="M77" i="26"/>
  <c r="L79" i="26"/>
  <c r="M79" i="26" s="1"/>
  <c r="M101" i="26"/>
  <c r="L102" i="26"/>
  <c r="P30" i="26"/>
  <c r="N26" i="26"/>
  <c r="O20" i="30" s="1"/>
  <c r="N46" i="26"/>
  <c r="O40" i="30" s="1"/>
  <c r="N47" i="26"/>
  <c r="O41" i="30" s="1"/>
  <c r="P73" i="26" l="1"/>
  <c r="U77" i="30"/>
  <c r="N101" i="26"/>
  <c r="N95" i="30"/>
  <c r="P91" i="26"/>
  <c r="O85" i="30"/>
  <c r="P93" i="26"/>
  <c r="O87" i="30"/>
  <c r="P95" i="26"/>
  <c r="O89" i="30"/>
  <c r="P78" i="26"/>
  <c r="O72" i="30"/>
  <c r="U85" i="30" s="1"/>
  <c r="P108" i="26"/>
  <c r="O102" i="30"/>
  <c r="U8" i="30"/>
  <c r="P88" i="26"/>
  <c r="O82" i="30"/>
  <c r="P106" i="26"/>
  <c r="O100" i="30"/>
  <c r="P89" i="26"/>
  <c r="O83" i="30"/>
  <c r="U82" i="30"/>
  <c r="N79" i="26"/>
  <c r="N73" i="30"/>
  <c r="N77" i="26"/>
  <c r="N71" i="30"/>
  <c r="P96" i="26"/>
  <c r="O90" i="30"/>
  <c r="P111" i="26"/>
  <c r="O105" i="30"/>
  <c r="U71" i="30" s="1"/>
  <c r="P97" i="26"/>
  <c r="O91" i="30"/>
  <c r="P107" i="26"/>
  <c r="O101" i="30"/>
  <c r="P99" i="26"/>
  <c r="O93" i="30"/>
  <c r="P87" i="26"/>
  <c r="O81" i="30"/>
  <c r="P75" i="26"/>
  <c r="O69" i="30"/>
  <c r="U83" i="30" s="1"/>
  <c r="P92" i="26"/>
  <c r="O86" i="30"/>
  <c r="L103" i="26"/>
  <c r="M103" i="26" s="1"/>
  <c r="M102" i="26"/>
  <c r="L81" i="26"/>
  <c r="M81" i="26" s="1"/>
  <c r="M80" i="26"/>
  <c r="P47" i="26"/>
  <c r="P26" i="26"/>
  <c r="P46" i="26"/>
  <c r="N32" i="26"/>
  <c r="O26" i="30" s="1"/>
  <c r="N36" i="26"/>
  <c r="O30" i="30" s="1"/>
  <c r="N28" i="26"/>
  <c r="O22" i="30" s="1"/>
  <c r="N41" i="26"/>
  <c r="L42" i="26"/>
  <c r="M42" i="26" s="1"/>
  <c r="N36" i="30" s="1"/>
  <c r="U66" i="30" l="1"/>
  <c r="V83" i="30"/>
  <c r="V85" i="30"/>
  <c r="N102" i="26"/>
  <c r="N96" i="30"/>
  <c r="N103" i="26"/>
  <c r="N97" i="30"/>
  <c r="N80" i="26"/>
  <c r="N74" i="30"/>
  <c r="P79" i="26"/>
  <c r="O73" i="30"/>
  <c r="U86" i="30" s="1"/>
  <c r="P41" i="26"/>
  <c r="O35" i="30"/>
  <c r="N81" i="26"/>
  <c r="N75" i="30"/>
  <c r="P77" i="26"/>
  <c r="O71" i="30"/>
  <c r="U84" i="30" s="1"/>
  <c r="V82" i="30"/>
  <c r="U69" i="30"/>
  <c r="P101" i="26"/>
  <c r="O95" i="30"/>
  <c r="M183" i="26"/>
  <c r="N177" i="30" s="1"/>
  <c r="N42" i="26"/>
  <c r="O36" i="30" s="1"/>
  <c r="T168" i="26"/>
  <c r="T167" i="26"/>
  <c r="T173" i="26"/>
  <c r="T144" i="26"/>
  <c r="T135" i="26"/>
  <c r="T148" i="26"/>
  <c r="T158" i="26"/>
  <c r="T163" i="26"/>
  <c r="T172" i="26"/>
  <c r="T162" i="26"/>
  <c r="T141" i="26"/>
  <c r="T155" i="26"/>
  <c r="T152" i="26"/>
  <c r="T153" i="26"/>
  <c r="T149" i="26"/>
  <c r="T143" i="26"/>
  <c r="T136" i="26"/>
  <c r="T146" i="26"/>
  <c r="T139" i="26"/>
  <c r="T147" i="26"/>
  <c r="T160" i="26"/>
  <c r="T134" i="26"/>
  <c r="T137" i="26"/>
  <c r="T140" i="26"/>
  <c r="T154" i="26"/>
  <c r="T150" i="26"/>
  <c r="T151" i="26"/>
  <c r="T156" i="26"/>
  <c r="T142" i="26"/>
  <c r="T157" i="26"/>
  <c r="T164" i="26"/>
  <c r="T145" i="26"/>
  <c r="T166" i="26"/>
  <c r="T138" i="26"/>
  <c r="T159" i="26"/>
  <c r="T161" i="26"/>
  <c r="T171" i="26"/>
  <c r="P28" i="26"/>
  <c r="P36" i="26"/>
  <c r="P32" i="26"/>
  <c r="T169" i="26"/>
  <c r="T165" i="26"/>
  <c r="N35" i="26"/>
  <c r="O29" i="30" s="1"/>
  <c r="U5" i="30" s="1"/>
  <c r="M122" i="26" l="1"/>
  <c r="N116" i="30" s="1"/>
  <c r="V84" i="30"/>
  <c r="P80" i="26"/>
  <c r="O74" i="30"/>
  <c r="U87" i="30" s="1"/>
  <c r="P81" i="26"/>
  <c r="O75" i="30"/>
  <c r="U88" i="30" s="1"/>
  <c r="P103" i="26"/>
  <c r="O97" i="30"/>
  <c r="U6" i="30"/>
  <c r="V86" i="30"/>
  <c r="P102" i="26"/>
  <c r="O96" i="30"/>
  <c r="M61" i="26"/>
  <c r="N55" i="30" s="1"/>
  <c r="P183" i="26"/>
  <c r="C186" i="26" s="1"/>
  <c r="E183" i="26"/>
  <c r="P42" i="26"/>
  <c r="P35" i="26"/>
  <c r="P31" i="26"/>
  <c r="E122" i="26" l="1"/>
  <c r="P122" i="26"/>
  <c r="C125" i="26" s="1"/>
  <c r="U67" i="30"/>
  <c r="V87" i="30"/>
  <c r="U90" i="30"/>
  <c r="U65" i="30"/>
  <c r="U18" i="30"/>
  <c r="V88" i="30"/>
  <c r="P61" i="26"/>
  <c r="C64" i="26" s="1"/>
  <c r="P184" i="26"/>
  <c r="E186" i="26" s="1"/>
  <c r="E61" i="26"/>
  <c r="P123" i="26" l="1"/>
  <c r="Y93" i="16" s="1"/>
  <c r="V12" i="30"/>
  <c r="V74" i="30"/>
  <c r="V137" i="30"/>
  <c r="V14" i="30"/>
  <c r="V136" i="30"/>
  <c r="V13" i="30"/>
  <c r="V75" i="30"/>
  <c r="V134" i="30"/>
  <c r="V135" i="30"/>
  <c r="V76" i="30"/>
  <c r="V73" i="30"/>
  <c r="V15" i="30"/>
  <c r="V133" i="30"/>
  <c r="V72" i="30"/>
  <c r="V7" i="30"/>
  <c r="V11" i="30"/>
  <c r="V16" i="30"/>
  <c r="V9" i="30"/>
  <c r="W23" i="30"/>
  <c r="W21" i="30"/>
  <c r="W22" i="30"/>
  <c r="W26" i="30"/>
  <c r="W25" i="30"/>
  <c r="W27" i="30"/>
  <c r="W24" i="30"/>
  <c r="V4" i="30"/>
  <c r="V10" i="30"/>
  <c r="V131" i="30"/>
  <c r="V129" i="30"/>
  <c r="W147" i="30"/>
  <c r="W144" i="30"/>
  <c r="V138" i="30"/>
  <c r="W146" i="30"/>
  <c r="V132" i="30"/>
  <c r="V130" i="30"/>
  <c r="W143" i="30"/>
  <c r="V127" i="30"/>
  <c r="V128" i="30"/>
  <c r="W148" i="30"/>
  <c r="W149" i="30"/>
  <c r="V126" i="30"/>
  <c r="W145" i="30"/>
  <c r="V77" i="30"/>
  <c r="V68" i="30"/>
  <c r="V70" i="30"/>
  <c r="V66" i="30"/>
  <c r="W82" i="30"/>
  <c r="W83" i="30"/>
  <c r="V8" i="30"/>
  <c r="W85" i="30"/>
  <c r="V71" i="30"/>
  <c r="V5" i="30"/>
  <c r="W84" i="30"/>
  <c r="V69" i="30"/>
  <c r="W86" i="30"/>
  <c r="U79" i="30"/>
  <c r="V65" i="30"/>
  <c r="W87" i="30"/>
  <c r="W88" i="30"/>
  <c r="V6" i="30"/>
  <c r="V67" i="30"/>
  <c r="AD93" i="16"/>
  <c r="AD102" i="16" s="1"/>
  <c r="P62" i="26"/>
  <c r="E64" i="26" s="1"/>
  <c r="M184" i="26"/>
  <c r="Y94" i="16"/>
  <c r="M123" i="26" l="1"/>
  <c r="P124" i="26" s="1"/>
  <c r="M124" i="26" s="1"/>
  <c r="E125" i="26"/>
  <c r="P185" i="26"/>
  <c r="E184" i="26" s="1"/>
  <c r="N178" i="30"/>
  <c r="AA98" i="29"/>
  <c r="AA90" i="29"/>
  <c r="AA99" i="29"/>
  <c r="AA91" i="29"/>
  <c r="AA75" i="29"/>
  <c r="AA83" i="29"/>
  <c r="AA74" i="29"/>
  <c r="AA82" i="29"/>
  <c r="Y92" i="16"/>
  <c r="M62" i="26"/>
  <c r="N56" i="30" s="1"/>
  <c r="N117" i="30" l="1"/>
  <c r="AJ93" i="16"/>
  <c r="AN93" i="16" s="1"/>
  <c r="E123" i="26"/>
  <c r="V96" i="11"/>
  <c r="V99" i="11" s="1"/>
  <c r="V112" i="11"/>
  <c r="AJ94" i="16"/>
  <c r="E124" i="26"/>
  <c r="N118" i="30"/>
  <c r="AA89" i="29"/>
  <c r="AA97" i="29"/>
  <c r="AA73" i="29"/>
  <c r="AA81" i="29"/>
  <c r="P63" i="26"/>
  <c r="AD92" i="16" s="1"/>
  <c r="M185" i="26"/>
  <c r="X99" i="11" l="1"/>
  <c r="R116" i="11"/>
  <c r="G75" i="29"/>
  <c r="R100" i="11"/>
  <c r="P74" i="29"/>
  <c r="I74" i="29" s="1"/>
  <c r="K74" i="29" s="1"/>
  <c r="P90" i="29"/>
  <c r="P98" i="29" s="1"/>
  <c r="P100" i="11"/>
  <c r="S100" i="11"/>
  <c r="X115" i="11"/>
  <c r="V115" i="11"/>
  <c r="P116" i="11"/>
  <c r="P75" i="29"/>
  <c r="J75" i="29" s="1"/>
  <c r="L75" i="29" s="1"/>
  <c r="S116" i="11"/>
  <c r="P91" i="29"/>
  <c r="Y91" i="29" s="1"/>
  <c r="Z91" i="29" s="1"/>
  <c r="E185" i="26"/>
  <c r="N179" i="30"/>
  <c r="AD101" i="16"/>
  <c r="AJ92" i="16"/>
  <c r="AN92" i="16" s="1"/>
  <c r="AO92" i="16" s="1"/>
  <c r="AQ92" i="16" s="1"/>
  <c r="E62" i="26"/>
  <c r="M63" i="26"/>
  <c r="V80" i="11"/>
  <c r="J74" i="29" l="1"/>
  <c r="L74" i="29" s="1"/>
  <c r="AA94" i="16"/>
  <c r="Y74" i="29"/>
  <c r="Z74" i="29" s="1"/>
  <c r="AC74" i="29" s="1"/>
  <c r="P82" i="29"/>
  <c r="V82" i="29" s="1"/>
  <c r="D74" i="29" s="1"/>
  <c r="Y90" i="29"/>
  <c r="Z90" i="29" s="1"/>
  <c r="AT90" i="29" s="1"/>
  <c r="AU90" i="29" s="1"/>
  <c r="P99" i="29"/>
  <c r="U99" i="29" s="1"/>
  <c r="Y75" i="29"/>
  <c r="Z75" i="29" s="1"/>
  <c r="AB75" i="29" s="1"/>
  <c r="I75" i="29"/>
  <c r="K75" i="29" s="1"/>
  <c r="P83" i="29"/>
  <c r="AC85" i="29" s="1"/>
  <c r="AC87" i="29" s="1"/>
  <c r="X83" i="11"/>
  <c r="V83" i="11"/>
  <c r="E63" i="26"/>
  <c r="N57" i="30"/>
  <c r="AR91" i="29"/>
  <c r="AS91" i="29" s="1"/>
  <c r="AT91" i="29"/>
  <c r="AU91" i="29" s="1"/>
  <c r="P73" i="29"/>
  <c r="P89" i="29"/>
  <c r="AI91" i="29"/>
  <c r="AJ91" i="29" s="1"/>
  <c r="AB91" i="29"/>
  <c r="AK91" i="29"/>
  <c r="AL91" i="29" s="1"/>
  <c r="AC91" i="29"/>
  <c r="AA93" i="16"/>
  <c r="G74" i="29"/>
  <c r="Y98" i="29"/>
  <c r="Z98" i="29" s="1"/>
  <c r="U98" i="29"/>
  <c r="W98" i="29"/>
  <c r="R84" i="11"/>
  <c r="S84" i="11"/>
  <c r="P84" i="11"/>
  <c r="W92" i="16"/>
  <c r="AR74" i="29" l="1"/>
  <c r="AS74" i="29" s="1"/>
  <c r="Y99" i="29"/>
  <c r="Z99" i="29" s="1"/>
  <c r="AB99" i="29" s="1"/>
  <c r="AK74" i="29"/>
  <c r="AL74" i="29" s="1"/>
  <c r="AT74" i="29"/>
  <c r="AU74" i="29" s="1"/>
  <c r="AB74" i="29"/>
  <c r="AD74" i="29" s="1"/>
  <c r="AI74" i="29"/>
  <c r="AJ74" i="29" s="1"/>
  <c r="Y82" i="29"/>
  <c r="Z82" i="29" s="1"/>
  <c r="W82" i="29"/>
  <c r="AB90" i="29"/>
  <c r="T82" i="29"/>
  <c r="C74" i="29" s="1"/>
  <c r="U82" i="29"/>
  <c r="W99" i="29"/>
  <c r="AC75" i="29"/>
  <c r="AD75" i="29" s="1"/>
  <c r="AR75" i="29"/>
  <c r="AS75" i="29" s="1"/>
  <c r="AK90" i="29"/>
  <c r="AL90" i="29" s="1"/>
  <c r="AI90" i="29"/>
  <c r="AJ90" i="29" s="1"/>
  <c r="AR90" i="29"/>
  <c r="AS90" i="29" s="1"/>
  <c r="AV90" i="29" s="1"/>
  <c r="AC90" i="29"/>
  <c r="AK75" i="29"/>
  <c r="AL75" i="29" s="1"/>
  <c r="AT75" i="29"/>
  <c r="AU75" i="29" s="1"/>
  <c r="AI75" i="29"/>
  <c r="AJ75" i="29" s="1"/>
  <c r="AE85" i="29"/>
  <c r="AG85" i="29" s="1"/>
  <c r="W83" i="29"/>
  <c r="V83" i="29"/>
  <c r="X86" i="29" s="1"/>
  <c r="Y83" i="29"/>
  <c r="Z83" i="29" s="1"/>
  <c r="U83" i="29"/>
  <c r="AC86" i="29"/>
  <c r="T83" i="29"/>
  <c r="V86" i="29" s="1"/>
  <c r="AB87" i="29"/>
  <c r="AT98" i="29"/>
  <c r="AU98" i="29" s="1"/>
  <c r="AR98" i="29"/>
  <c r="AS98" i="29" s="1"/>
  <c r="G73" i="29"/>
  <c r="AV91" i="29"/>
  <c r="AW91" i="29" s="1"/>
  <c r="AD91" i="29"/>
  <c r="AF91" i="29" s="1"/>
  <c r="AG91" i="29" s="1"/>
  <c r="J73" i="29"/>
  <c r="L73" i="29" s="1"/>
  <c r="I73" i="29"/>
  <c r="K73" i="29" s="1"/>
  <c r="AC98" i="29"/>
  <c r="AK98" i="29"/>
  <c r="AL98" i="29" s="1"/>
  <c r="AB98" i="29"/>
  <c r="AI98" i="29"/>
  <c r="AJ98" i="29" s="1"/>
  <c r="AM91" i="29"/>
  <c r="P81" i="29"/>
  <c r="Y73" i="29"/>
  <c r="Z73" i="29" s="1"/>
  <c r="Y89" i="29"/>
  <c r="Z89" i="29" s="1"/>
  <c r="P97" i="29"/>
  <c r="AO93" i="16"/>
  <c r="AQ93" i="16" s="1"/>
  <c r="AN94" i="16"/>
  <c r="AI99" i="29" l="1"/>
  <c r="AJ99" i="29" s="1"/>
  <c r="AR99" i="29"/>
  <c r="AS99" i="29" s="1"/>
  <c r="AK82" i="29"/>
  <c r="AL82" i="29" s="1"/>
  <c r="AV74" i="29"/>
  <c r="AW74" i="29" s="1"/>
  <c r="AR82" i="29"/>
  <c r="AS82" i="29" s="1"/>
  <c r="AT99" i="29"/>
  <c r="AU99" i="29" s="1"/>
  <c r="AV99" i="29" s="1"/>
  <c r="AW99" i="29" s="1"/>
  <c r="AM74" i="29"/>
  <c r="AO74" i="29" s="1"/>
  <c r="AP74" i="29" s="1"/>
  <c r="AT82" i="29"/>
  <c r="AU82" i="29" s="1"/>
  <c r="AC82" i="29"/>
  <c r="AD90" i="29"/>
  <c r="AF90" i="29" s="1"/>
  <c r="AG90" i="29" s="1"/>
  <c r="AI82" i="29"/>
  <c r="AJ82" i="29" s="1"/>
  <c r="AM82" i="29" s="1"/>
  <c r="AN82" i="29" s="1"/>
  <c r="AM90" i="29"/>
  <c r="AN90" i="29" s="1"/>
  <c r="D75" i="29"/>
  <c r="AM75" i="29"/>
  <c r="AO75" i="29" s="1"/>
  <c r="AP75" i="29" s="1"/>
  <c r="AK99" i="29"/>
  <c r="AL99" i="29" s="1"/>
  <c r="AM99" i="29" s="1"/>
  <c r="C75" i="29"/>
  <c r="AC99" i="29"/>
  <c r="AD99" i="29" s="1"/>
  <c r="AB82" i="29"/>
  <c r="AV75" i="29"/>
  <c r="AX75" i="29" s="1"/>
  <c r="AY75" i="29" s="1"/>
  <c r="AC83" i="29"/>
  <c r="AR83" i="29"/>
  <c r="AS83" i="29" s="1"/>
  <c r="AT83" i="29"/>
  <c r="AU83" i="29" s="1"/>
  <c r="AB83" i="29"/>
  <c r="AK83" i="29"/>
  <c r="AL83" i="29" s="1"/>
  <c r="AI83" i="29"/>
  <c r="AJ83" i="29" s="1"/>
  <c r="AV98" i="29"/>
  <c r="AW98" i="29" s="1"/>
  <c r="AA92" i="16"/>
  <c r="AX91" i="29"/>
  <c r="AY91" i="29" s="1"/>
  <c r="AE86" i="29"/>
  <c r="AG86" i="29" s="1"/>
  <c r="AT89" i="29"/>
  <c r="AR89" i="29"/>
  <c r="AX74" i="29"/>
  <c r="AY74" i="29" s="1"/>
  <c r="AT73" i="29"/>
  <c r="AR73" i="29"/>
  <c r="AX90" i="29"/>
  <c r="AY90" i="29" s="1"/>
  <c r="AW90" i="29"/>
  <c r="AE91" i="29"/>
  <c r="AM98" i="29"/>
  <c r="AO98" i="29" s="1"/>
  <c r="AP98" i="29" s="1"/>
  <c r="AD98" i="29"/>
  <c r="AE98" i="29" s="1"/>
  <c r="AE75" i="29"/>
  <c r="AF75" i="29"/>
  <c r="AG75" i="29" s="1"/>
  <c r="AI73" i="29"/>
  <c r="AC73" i="29"/>
  <c r="AB73" i="29"/>
  <c r="AK73" i="29"/>
  <c r="Y97" i="29"/>
  <c r="Z97" i="29" s="1"/>
  <c r="U97" i="29"/>
  <c r="W97" i="29"/>
  <c r="AE74" i="29"/>
  <c r="AF74" i="29"/>
  <c r="AG74" i="29" s="1"/>
  <c r="AK89" i="29"/>
  <c r="AC89" i="29"/>
  <c r="AI89" i="29"/>
  <c r="AB89" i="29"/>
  <c r="Y81" i="29"/>
  <c r="Z81" i="29" s="1"/>
  <c r="U81" i="29"/>
  <c r="W81" i="29"/>
  <c r="V81" i="29"/>
  <c r="D73" i="29" s="1"/>
  <c r="T81" i="29"/>
  <c r="C73" i="29" s="1"/>
  <c r="AO91" i="29"/>
  <c r="AP91" i="29" s="1"/>
  <c r="AN91" i="29"/>
  <c r="W94" i="16"/>
  <c r="AO94" i="16"/>
  <c r="W93" i="16"/>
  <c r="AN91" i="16"/>
  <c r="AV82" i="29" l="1"/>
  <c r="AX82" i="29" s="1"/>
  <c r="AY82" i="29" s="1"/>
  <c r="D72" i="29"/>
  <c r="AN74" i="29"/>
  <c r="AE90" i="29"/>
  <c r="AD82" i="29"/>
  <c r="AE82" i="29" s="1"/>
  <c r="AO90" i="29"/>
  <c r="AP90" i="29" s="1"/>
  <c r="AN75" i="29"/>
  <c r="AW75" i="29"/>
  <c r="C72" i="29"/>
  <c r="AM83" i="29"/>
  <c r="AN83" i="29" s="1"/>
  <c r="AV83" i="29"/>
  <c r="AW83" i="29" s="1"/>
  <c r="AD83" i="29"/>
  <c r="AF83" i="29" s="1"/>
  <c r="AG83" i="29" s="1"/>
  <c r="F75" i="29" s="1"/>
  <c r="H75" i="29" s="1"/>
  <c r="AX98" i="29"/>
  <c r="AY98" i="29" s="1"/>
  <c r="AX99" i="29"/>
  <c r="AY99" i="29" s="1"/>
  <c r="AR97" i="29"/>
  <c r="AS96" i="29" s="1"/>
  <c r="AT97" i="29"/>
  <c r="AU97" i="29" s="1"/>
  <c r="AN98" i="29"/>
  <c r="AF98" i="29"/>
  <c r="AG98" i="29" s="1"/>
  <c r="AO82" i="29"/>
  <c r="AP82" i="29" s="1"/>
  <c r="AT81" i="29"/>
  <c r="AS89" i="29"/>
  <c r="AS88" i="29"/>
  <c r="AV88" i="29"/>
  <c r="AU73" i="29"/>
  <c r="AU72" i="29"/>
  <c r="AR81" i="29"/>
  <c r="AS72" i="29"/>
  <c r="AS73" i="29"/>
  <c r="AV72" i="29"/>
  <c r="AU88" i="29"/>
  <c r="AU89" i="29"/>
  <c r="AF82" i="29"/>
  <c r="AG82" i="29" s="1"/>
  <c r="F74" i="29" s="1"/>
  <c r="H74" i="29" s="1"/>
  <c r="AK81" i="29"/>
  <c r="AI81" i="29"/>
  <c r="AB81" i="29"/>
  <c r="AJ73" i="29"/>
  <c r="AM72" i="29"/>
  <c r="AJ72" i="29"/>
  <c r="AE99" i="29"/>
  <c r="AF99" i="29"/>
  <c r="AG99" i="29" s="1"/>
  <c r="AC81" i="29"/>
  <c r="AN99" i="29"/>
  <c r="AO99" i="29"/>
  <c r="AP99" i="29" s="1"/>
  <c r="AL89" i="29"/>
  <c r="AL88" i="29"/>
  <c r="AL72" i="29"/>
  <c r="AL73" i="29"/>
  <c r="AM88" i="29"/>
  <c r="AJ89" i="29"/>
  <c r="AJ88" i="29"/>
  <c r="AI97" i="29"/>
  <c r="AB97" i="29"/>
  <c r="AD89" i="29"/>
  <c r="AK97" i="29"/>
  <c r="AC97" i="29"/>
  <c r="AD73" i="29"/>
  <c r="AW82" i="29" l="1"/>
  <c r="AX83" i="29"/>
  <c r="AY83" i="29" s="1"/>
  <c r="AO83" i="29"/>
  <c r="AP83" i="29" s="1"/>
  <c r="AS97" i="29"/>
  <c r="AV97" i="29" s="1"/>
  <c r="AE83" i="29"/>
  <c r="AV96" i="29"/>
  <c r="AU96" i="29"/>
  <c r="AV73" i="29"/>
  <c r="AW73" i="29" s="1"/>
  <c r="AV89" i="29"/>
  <c r="AX89" i="29" s="1"/>
  <c r="AY89" i="29" s="1"/>
  <c r="AV80" i="29"/>
  <c r="AS80" i="29"/>
  <c r="AS81" i="29"/>
  <c r="AU81" i="29"/>
  <c r="AU80" i="29"/>
  <c r="AD81" i="29"/>
  <c r="AF81" i="29" s="1"/>
  <c r="AG81" i="29" s="1"/>
  <c r="AD97" i="29"/>
  <c r="AF97" i="29" s="1"/>
  <c r="AG97" i="29" s="1"/>
  <c r="AL97" i="29"/>
  <c r="AL96" i="29"/>
  <c r="AL80" i="29"/>
  <c r="AL81" i="29"/>
  <c r="AF89" i="29"/>
  <c r="AG89" i="29" s="1"/>
  <c r="AE89" i="29"/>
  <c r="AJ96" i="29"/>
  <c r="AM96" i="29"/>
  <c r="AJ97" i="29"/>
  <c r="AM73" i="29"/>
  <c r="AJ81" i="29"/>
  <c r="AM80" i="29"/>
  <c r="AJ80" i="29"/>
  <c r="AE73" i="29"/>
  <c r="AF73" i="29"/>
  <c r="AG73" i="29" s="1"/>
  <c r="AM89" i="29"/>
  <c r="AW97" i="29" l="1"/>
  <c r="AX97" i="29"/>
  <c r="AY97" i="29" s="1"/>
  <c r="AX73" i="29"/>
  <c r="AY73" i="29" s="1"/>
  <c r="AW89" i="29"/>
  <c r="AV81" i="29"/>
  <c r="AX81" i="29" s="1"/>
  <c r="AY81" i="29" s="1"/>
  <c r="AE81" i="29"/>
  <c r="AE97" i="29"/>
  <c r="AM97" i="29"/>
  <c r="AO97" i="29" s="1"/>
  <c r="AP97" i="29" s="1"/>
  <c r="F73" i="29"/>
  <c r="H73" i="29" s="1"/>
  <c r="H76" i="29" s="1"/>
  <c r="AM81" i="29"/>
  <c r="AN81" i="29" s="1"/>
  <c r="AN73" i="29"/>
  <c r="AO73" i="29"/>
  <c r="AP73" i="29" s="1"/>
  <c r="AN89" i="29"/>
  <c r="AO89" i="29"/>
  <c r="AP89" i="29" s="1"/>
  <c r="AN97" i="29" l="1"/>
  <c r="AW81" i="29"/>
  <c r="AO81" i="29"/>
  <c r="AP81"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Diego Vera</author>
    <author>Sistema de Calidad</author>
    <author>Gestion</author>
  </authors>
  <commentList>
    <comment ref="C18" authorId="0" shapeId="0" xr:uid="{00000000-0006-0000-0000-000001000000}">
      <text>
        <r>
          <rPr>
            <sz val="9"/>
            <color indexed="81"/>
            <rFont val="Tahoma"/>
            <family val="2"/>
          </rPr>
          <t xml:space="preserve">
22D64880?</t>
        </r>
      </text>
    </comment>
    <comment ref="H21" authorId="1" shapeId="0" xr:uid="{00000000-0006-0000-0000-000002000000}">
      <text>
        <r>
          <rPr>
            <sz val="9"/>
            <color indexed="81"/>
            <rFont val="Tahoma"/>
            <family val="2"/>
          </rPr>
          <t>si el equipo es de punto fijo debes colocar valor nominal, si es variable se colocara rango de medición</t>
        </r>
      </text>
    </comment>
    <comment ref="N21" authorId="2" shapeId="0" xr:uid="{00000000-0006-0000-0000-000003000000}">
      <text>
        <r>
          <rPr>
            <b/>
            <sz val="9"/>
            <color indexed="81"/>
            <rFont val="Tahoma"/>
            <family val="2"/>
          </rPr>
          <t>Cesar cobo:
coloca la unidad</t>
        </r>
      </text>
    </comment>
    <comment ref="S21" authorId="2" shapeId="0" xr:uid="{00000000-0006-0000-0000-000004000000}">
      <text>
        <r>
          <rPr>
            <b/>
            <sz val="9"/>
            <color indexed="81"/>
            <rFont val="Tahoma"/>
            <family val="2"/>
          </rPr>
          <t>Cesar Cobo: 
documento de referencia 
OIML R111</t>
        </r>
      </text>
    </comment>
    <comment ref="N24" authorId="0" shapeId="0" xr:uid="{00000000-0006-0000-0000-000005000000}">
      <text>
        <r>
          <rPr>
            <b/>
            <sz val="9"/>
            <color indexed="81"/>
            <rFont val="Tahoma"/>
            <family val="2"/>
          </rPr>
          <t>Diego Vera:</t>
        </r>
        <r>
          <rPr>
            <sz val="9"/>
            <color indexed="81"/>
            <rFont val="Tahoma"/>
            <family val="2"/>
          </rPr>
          <t xml:space="preserve">
Dejar en blanco mientras no este implementada la declaración de Conformidad. Si esta implementada pero NO fue requerida por el cliente Elegir N.A.</t>
        </r>
      </text>
    </comment>
    <comment ref="F36" authorId="0" shapeId="0" xr:uid="{00000000-0006-0000-0000-000006000000}">
      <text>
        <r>
          <rPr>
            <sz val="9"/>
            <color indexed="81"/>
            <rFont val="Tahoma"/>
            <family val="2"/>
          </rPr>
          <t>TEC-LAB-MB-07  PARA 50 g
TEC-LAB-MB-07  PARA 220 g
TEC-LAB-MB-04  PARA 1200 g
TEC-LAB-MB-05  PARA 8100 g
TEC-LAB-MB-08  PARA 32000 g</t>
        </r>
      </text>
    </comment>
    <comment ref="F37" authorId="1" shapeId="0" xr:uid="{00000000-0006-0000-0000-000007000000}">
      <text>
        <r>
          <rPr>
            <b/>
            <sz val="9"/>
            <color indexed="81"/>
            <rFont val="Tahoma"/>
            <family val="2"/>
          </rPr>
          <t>Sistema de Calidad:</t>
        </r>
        <r>
          <rPr>
            <sz val="9"/>
            <color indexed="81"/>
            <rFont val="Tahoma"/>
            <family val="2"/>
          </rPr>
          <t xml:space="preserve">
COLOCAR CODIGO DE BALANZA
</t>
        </r>
      </text>
    </comment>
    <comment ref="F38" authorId="1" shapeId="0" xr:uid="{00000000-0006-0000-0000-000008000000}">
      <text>
        <r>
          <rPr>
            <b/>
            <sz val="9"/>
            <color indexed="81"/>
            <rFont val="Tahoma"/>
            <family val="2"/>
          </rPr>
          <t>Sistema de Calidad:</t>
        </r>
        <r>
          <rPr>
            <sz val="9"/>
            <color indexed="81"/>
            <rFont val="Tahoma"/>
            <family val="2"/>
          </rPr>
          <t xml:space="preserve">
COLOCAR CODIGO DE MEDIDOR DE CONDICIONES AMBIENTALES</t>
        </r>
      </text>
    </comment>
    <comment ref="F39" authorId="1" shapeId="0" xr:uid="{00000000-0006-0000-0000-000009000000}">
      <text>
        <r>
          <rPr>
            <b/>
            <sz val="9"/>
            <color indexed="81"/>
            <rFont val="Tahoma"/>
            <family val="2"/>
          </rPr>
          <t>Sistema de Calidad:</t>
        </r>
        <r>
          <rPr>
            <sz val="9"/>
            <color indexed="81"/>
            <rFont val="Tahoma"/>
            <family val="2"/>
          </rPr>
          <t xml:space="preserve">
COLOCAR CODIGO DE MEDIDOR DE CONDICIONES AMBIENTALES</t>
        </r>
      </text>
    </comment>
    <comment ref="F40" authorId="1" shapeId="0" xr:uid="{00000000-0006-0000-0000-00000A000000}">
      <text>
        <r>
          <rPr>
            <b/>
            <sz val="9"/>
            <color indexed="81"/>
            <rFont val="Tahoma"/>
            <family val="2"/>
          </rPr>
          <t>Sistema de Calidad:</t>
        </r>
        <r>
          <rPr>
            <sz val="9"/>
            <color indexed="81"/>
            <rFont val="Tahoma"/>
            <family val="2"/>
          </rPr>
          <t xml:space="preserve">
COLOCAR CODIGO DEL TERMOMETRO CON QUE SE TOMA TEMPERATURA DEL AGUA</t>
        </r>
      </text>
    </comment>
    <comment ref="F41" authorId="1" shapeId="0" xr:uid="{00000000-0006-0000-0000-00000B000000}">
      <text>
        <r>
          <rPr>
            <b/>
            <sz val="9"/>
            <color indexed="81"/>
            <rFont val="Tahoma"/>
            <family val="2"/>
          </rPr>
          <t>Sistema de Calidad:</t>
        </r>
        <r>
          <rPr>
            <sz val="9"/>
            <color indexed="81"/>
            <rFont val="Tahoma"/>
            <family val="2"/>
          </rPr>
          <t xml:space="preserve">
si no utilizas patrón debes colocar N.A. que significa no aplica</t>
        </r>
      </text>
    </comment>
    <comment ref="C45" authorId="1" shapeId="0" xr:uid="{00000000-0006-0000-0000-00000C000000}">
      <text>
        <r>
          <rPr>
            <b/>
            <sz val="9"/>
            <color indexed="81"/>
            <rFont val="Tahoma"/>
            <family val="2"/>
          </rPr>
          <t>Sistema de Calidad:</t>
        </r>
        <r>
          <rPr>
            <sz val="9"/>
            <color indexed="81"/>
            <rFont val="Tahoma"/>
            <family val="2"/>
          </rPr>
          <t xml:space="preserve">
Las condiciones ambientales son automáticas alimentadas por la tabla de medidas realizadas.</t>
        </r>
      </text>
    </comment>
    <comment ref="F45" authorId="1" shapeId="0" xr:uid="{00000000-0006-0000-0000-00000D000000}">
      <text>
        <r>
          <rPr>
            <b/>
            <sz val="9"/>
            <color indexed="81"/>
            <rFont val="Tahoma"/>
            <family val="2"/>
          </rPr>
          <t>Sistema de Calidad:</t>
        </r>
        <r>
          <rPr>
            <sz val="9"/>
            <color indexed="81"/>
            <rFont val="Tahoma"/>
            <family val="2"/>
          </rPr>
          <t xml:space="preserve">
si la celda es roja la humedad es menor a la indicada en la norma 50% HR, se debe realizar un trabajo no conforme y esperar hasta que las condiciones sean adecuadas 
Nota: Las condiciones ambientales son automáticas alimentadas por la tabla de medidas realizadas.</t>
        </r>
      </text>
    </comment>
    <comment ref="I45" authorId="1" shapeId="0" xr:uid="{00000000-0006-0000-0000-00000E000000}">
      <text>
        <r>
          <rPr>
            <b/>
            <sz val="9"/>
            <color indexed="81"/>
            <rFont val="Tahoma"/>
            <family val="2"/>
          </rPr>
          <t>Sistema de Calidad:</t>
        </r>
        <r>
          <rPr>
            <sz val="9"/>
            <color indexed="81"/>
            <rFont val="Tahoma"/>
            <family val="2"/>
          </rPr>
          <t xml:space="preserve">
Las condiciones ambientales son automáticas alimentadas por la tabla de medidas realizadas.</t>
        </r>
      </text>
    </comment>
    <comment ref="C46" authorId="1" shapeId="0" xr:uid="{00000000-0006-0000-0000-00000F000000}">
      <text>
        <r>
          <rPr>
            <b/>
            <sz val="9"/>
            <color indexed="81"/>
            <rFont val="Tahoma"/>
            <family val="2"/>
          </rPr>
          <t>Sistema de Calidad:</t>
        </r>
        <r>
          <rPr>
            <sz val="9"/>
            <color indexed="81"/>
            <rFont val="Tahoma"/>
            <family val="2"/>
          </rPr>
          <t xml:space="preserve">
Las condiciones ambientales son automáticas alimentadas por la tabla de medidas realizadas.</t>
        </r>
      </text>
    </comment>
    <comment ref="F46" authorId="1" shapeId="0" xr:uid="{00000000-0006-0000-0000-000010000000}">
      <text>
        <r>
          <rPr>
            <b/>
            <sz val="9"/>
            <color indexed="81"/>
            <rFont val="Tahoma"/>
            <family val="2"/>
          </rPr>
          <t>Sistema de Calidad:</t>
        </r>
        <r>
          <rPr>
            <sz val="9"/>
            <color indexed="81"/>
            <rFont val="Tahoma"/>
            <family val="2"/>
          </rPr>
          <t xml:space="preserve">
Las condiciones ambientales son automáticas alimentadas por la tabla de medidas realizadas.</t>
        </r>
      </text>
    </comment>
    <comment ref="I46" authorId="1" shapeId="0" xr:uid="{00000000-0006-0000-0000-000011000000}">
      <text>
        <r>
          <rPr>
            <b/>
            <sz val="9"/>
            <color indexed="81"/>
            <rFont val="Tahoma"/>
            <family val="2"/>
          </rPr>
          <t>Sistema de Calidad:</t>
        </r>
        <r>
          <rPr>
            <sz val="9"/>
            <color indexed="81"/>
            <rFont val="Tahoma"/>
            <family val="2"/>
          </rPr>
          <t xml:space="preserve">
Las condiciones ambientales son automáticas alimentadas por la tabla de medidas realizadas.</t>
        </r>
      </text>
    </comment>
    <comment ref="C47" authorId="1" shapeId="0" xr:uid="{00000000-0006-0000-0000-000012000000}">
      <text>
        <r>
          <rPr>
            <b/>
            <sz val="9"/>
            <color indexed="81"/>
            <rFont val="Tahoma"/>
            <family val="2"/>
          </rPr>
          <t>Sistema de Calidad:</t>
        </r>
        <r>
          <rPr>
            <sz val="9"/>
            <color indexed="81"/>
            <rFont val="Tahoma"/>
            <family val="2"/>
          </rPr>
          <t xml:space="preserve">
Si la casilla se cooca de color rojo La temperatura del lugar de calibración no es estable, la variación es mayor a 0,5 °C , se debe realizar un trabajo no conforme y esperar hasta que las condiciones sean adecuadas Las Nota: condiciones ambientales son automáticas alimentadas por la tabla de medidas realizadas.</t>
        </r>
      </text>
    </comment>
    <comment ref="A48" authorId="0" shapeId="0" xr:uid="{00000000-0006-0000-0000-000013000000}">
      <text>
        <r>
          <rPr>
            <b/>
            <sz val="9"/>
            <color indexed="81"/>
            <rFont val="Tahoma"/>
            <family val="2"/>
          </rPr>
          <t>8,6 DKD-R8-1</t>
        </r>
        <r>
          <rPr>
            <sz val="9"/>
            <color indexed="81"/>
            <rFont val="Tahoma"/>
            <family val="2"/>
          </rPr>
          <t xml:space="preserve">
Se considera que la temperatura del dispositivo es igual a la temperatura del ambiente</t>
        </r>
      </text>
    </comment>
    <comment ref="H68" authorId="2" shapeId="0" xr:uid="{00000000-0006-0000-0000-000014000000}">
      <text>
        <r>
          <rPr>
            <b/>
            <sz val="9"/>
            <color indexed="81"/>
            <rFont val="Tahoma"/>
            <family val="2"/>
          </rPr>
          <t>Cesar cobo:
coloca la unidad</t>
        </r>
      </text>
    </comment>
    <comment ref="S82" authorId="1" shapeId="0" xr:uid="{00000000-0006-0000-0000-000015000000}">
      <text>
        <r>
          <rPr>
            <b/>
            <sz val="9"/>
            <color indexed="81"/>
            <rFont val="Tahoma"/>
            <family val="2"/>
          </rPr>
          <t>Sistema de Calidad:</t>
        </r>
        <r>
          <rPr>
            <sz val="9"/>
            <color indexed="81"/>
            <rFont val="Tahoma"/>
            <family val="2"/>
          </rPr>
          <t xml:space="preserve">
SE CAMBIA LA FORMULA ESTABA AL REVES
</t>
        </r>
      </text>
    </comment>
    <comment ref="H84" authorId="2" shapeId="0" xr:uid="{00000000-0006-0000-0000-000016000000}">
      <text>
        <r>
          <rPr>
            <b/>
            <sz val="9"/>
            <color indexed="81"/>
            <rFont val="Tahoma"/>
            <family val="2"/>
          </rPr>
          <t>Cesar cobo:
coloca la unidad</t>
        </r>
      </text>
    </comment>
    <comment ref="H100" authorId="2" shapeId="0" xr:uid="{00000000-0006-0000-0000-000017000000}">
      <text>
        <r>
          <rPr>
            <b/>
            <sz val="9"/>
            <color indexed="81"/>
            <rFont val="Tahoma"/>
            <family val="2"/>
          </rPr>
          <t>Cesar cobo:
coloca la unidad</t>
        </r>
      </text>
    </comment>
    <comment ref="H116" authorId="2" shapeId="0" xr:uid="{00000000-0006-0000-0000-000018000000}">
      <text>
        <r>
          <rPr>
            <b/>
            <sz val="9"/>
            <color indexed="81"/>
            <rFont val="Tahoma"/>
            <family val="2"/>
          </rPr>
          <t>Cesar cobo:
coloca la unidad</t>
        </r>
      </text>
    </comment>
    <comment ref="H132" authorId="2" shapeId="0" xr:uid="{00000000-0006-0000-0000-000019000000}">
      <text>
        <r>
          <rPr>
            <b/>
            <sz val="9"/>
            <color indexed="81"/>
            <rFont val="Tahoma"/>
            <family val="2"/>
          </rPr>
          <t>Cesar cobo:
coloca la unidad</t>
        </r>
      </text>
    </comment>
    <comment ref="B151" authorId="1" shapeId="0" xr:uid="{00000000-0006-0000-0000-00001A000000}">
      <text>
        <r>
          <rPr>
            <b/>
            <sz val="9"/>
            <color indexed="81"/>
            <rFont val="Tahoma"/>
            <family val="2"/>
          </rPr>
          <t>Sistema de Calidad:</t>
        </r>
        <r>
          <rPr>
            <sz val="9"/>
            <color indexed="81"/>
            <rFont val="Tahoma"/>
            <family val="2"/>
          </rPr>
          <t xml:space="preserve">
se anotara todas las irregularidades del instrumento esta información saldrá en el certificado emitido al cliente </t>
        </r>
      </text>
    </comment>
    <comment ref="B152" authorId="1" shapeId="0" xr:uid="{00000000-0006-0000-0000-00001B000000}">
      <text>
        <r>
          <rPr>
            <b/>
            <sz val="9"/>
            <color indexed="81"/>
            <rFont val="Tahoma"/>
            <family val="2"/>
          </rPr>
          <t>Sistema de Calidad:</t>
        </r>
        <r>
          <rPr>
            <sz val="9"/>
            <color indexed="81"/>
            <rFont val="Tahoma"/>
            <family val="2"/>
          </rPr>
          <t xml:space="preserve">
se anotara todas las irregularidades del instrumento esta información saldrá en el certificado emitido al cliente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Diego Vera</author>
    <author>Sistema de Calidad</author>
  </authors>
  <commentList>
    <comment ref="AD8" authorId="0" shapeId="0" xr:uid="{00000000-0006-0000-0100-000001000000}">
      <text>
        <r>
          <rPr>
            <b/>
            <sz val="9"/>
            <color indexed="81"/>
            <rFont val="Tahoma"/>
            <family val="2"/>
          </rPr>
          <t>Diego Vera:</t>
        </r>
        <r>
          <rPr>
            <sz val="9"/>
            <color indexed="81"/>
            <rFont val="Tahoma"/>
            <family val="2"/>
          </rPr>
          <t xml:space="preserve">
2024-05-02
</t>
        </r>
      </text>
    </comment>
    <comment ref="AI8" authorId="0" shapeId="0" xr:uid="{00000000-0006-0000-0100-000002000000}">
      <text>
        <r>
          <rPr>
            <b/>
            <sz val="9"/>
            <color indexed="81"/>
            <rFont val="Tahoma"/>
            <family val="2"/>
          </rPr>
          <t>Diego Vera:</t>
        </r>
        <r>
          <rPr>
            <sz val="9"/>
            <color indexed="81"/>
            <rFont val="Tahoma"/>
            <family val="2"/>
          </rPr>
          <t xml:space="preserve">
202202110200
202209221611
20230111 act Alcance 
KEY454DV
</t>
        </r>
      </text>
    </comment>
    <comment ref="S91" authorId="1" shapeId="0" xr:uid="{00000000-0006-0000-0100-000003000000}">
      <text>
        <r>
          <rPr>
            <b/>
            <sz val="9"/>
            <color indexed="81"/>
            <rFont val="Tahoma"/>
            <family val="2"/>
          </rPr>
          <t>Sistema de Calidad:</t>
        </r>
        <r>
          <rPr>
            <sz val="9"/>
            <color indexed="81"/>
            <rFont val="Tahoma"/>
            <family val="2"/>
          </rPr>
          <t xml:space="preserve">
revisar si el error tiene las mismas cifras significativas de la incertidumbre EJEMPLO: UExp 0,021 µL error 0,215</t>
        </r>
      </text>
    </comment>
    <comment ref="W91" authorId="1" shapeId="0" xr:uid="{00000000-0006-0000-0100-000004000000}">
      <text>
        <r>
          <rPr>
            <b/>
            <sz val="9"/>
            <color indexed="81"/>
            <rFont val="Tahoma"/>
            <family val="2"/>
          </rPr>
          <t>Sistema de Calidad:</t>
        </r>
        <r>
          <rPr>
            <sz val="9"/>
            <color indexed="81"/>
            <rFont val="Tahoma"/>
            <family val="2"/>
          </rPr>
          <t xml:space="preserve">
revisar si la incertidumbre es mas baja de la reportada en el CMC.
En caso tal informar al director  
Y REVISAR LAS CIFRAS SIGNIFICATIVAS DEBE ESTAR REPORTADAS CON MAXIMO 2 EJEMPLO: 0,021 µL</t>
        </r>
      </text>
    </comment>
    <comment ref="AB92" authorId="1" shapeId="0" xr:uid="{00000000-0006-0000-0100-000005000000}">
      <text>
        <r>
          <rPr>
            <b/>
            <sz val="9"/>
            <color indexed="81"/>
            <rFont val="Tahoma"/>
            <family val="2"/>
          </rPr>
          <t>Sistema de Calidad:</t>
        </r>
        <r>
          <rPr>
            <sz val="9"/>
            <color indexed="81"/>
            <rFont val="Tahoma"/>
            <family val="2"/>
          </rPr>
          <t xml:space="preserve">
LAS CIFRAS SIGNIFICATIVAS DEBEN SE MAXIMO 2
Se ajusta este valor en cada punto evaluado para obtener el valor numérico de la incertidumbre expandida, como máximo, con dos cifras significativas.
Una vez revisados y ajustados los valores, se quita el respaldo en color amarillo. </t>
        </r>
      </text>
    </comment>
    <comment ref="AJ92" authorId="0" shapeId="0" xr:uid="{00000000-0006-0000-0100-000006000000}">
      <text>
        <r>
          <rPr>
            <b/>
            <sz val="9"/>
            <color indexed="81"/>
            <rFont val="Tahoma"/>
            <family val="2"/>
          </rPr>
          <t>Diego Vera:</t>
        </r>
        <r>
          <rPr>
            <sz val="9"/>
            <color indexed="81"/>
            <rFont val="Tahoma"/>
            <family val="2"/>
          </rPr>
          <t xml:space="preserve">
</t>
        </r>
        <r>
          <rPr>
            <sz val="16"/>
            <color indexed="81"/>
            <rFont val="Tahoma"/>
            <family val="2"/>
          </rPr>
          <t xml:space="preserve">Revisión de CMC  </t>
        </r>
        <r>
          <rPr>
            <sz val="20"/>
            <color indexed="81"/>
            <rFont val="Tahoma"/>
            <family val="2"/>
          </rPr>
          <t>→</t>
        </r>
        <r>
          <rPr>
            <sz val="9"/>
            <color indexed="81"/>
            <rFont val="Tahoma"/>
            <family val="2"/>
          </rPr>
          <t xml:space="preserve">
Confirmación de cumplimiento de acuerdo a alcance Acreditado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Diego Vera</author>
  </authors>
  <commentList>
    <comment ref="AO71" authorId="0" shapeId="0" xr:uid="{00000000-0006-0000-0300-000001000000}">
      <text>
        <r>
          <rPr>
            <b/>
            <sz val="9"/>
            <color indexed="81"/>
            <rFont val="Tahoma"/>
            <family val="2"/>
          </rPr>
          <t>Diego Vera:</t>
        </r>
        <r>
          <rPr>
            <sz val="9"/>
            <color indexed="81"/>
            <rFont val="Tahoma"/>
            <family val="2"/>
          </rPr>
          <t xml:space="preserve">
Con DISTR.NORM.ESTAND.N
</t>
        </r>
      </text>
    </comment>
    <comment ref="AX71" authorId="0" shapeId="0" xr:uid="{00000000-0006-0000-0300-000002000000}">
      <text>
        <r>
          <rPr>
            <b/>
            <sz val="9"/>
            <color indexed="81"/>
            <rFont val="Tahoma"/>
            <family val="2"/>
          </rPr>
          <t>Diego Vera:</t>
        </r>
        <r>
          <rPr>
            <sz val="9"/>
            <color indexed="81"/>
            <rFont val="Tahoma"/>
            <family val="2"/>
          </rPr>
          <t xml:space="preserve">
Con =DISTR.NORM.ESTAND</t>
        </r>
      </text>
    </comment>
    <comment ref="AF72" authorId="0" shapeId="0" xr:uid="{00000000-0006-0000-0300-000003000000}">
      <text>
        <r>
          <rPr>
            <b/>
            <sz val="9"/>
            <color indexed="81"/>
            <rFont val="Tahoma"/>
            <family val="2"/>
          </rPr>
          <t>Diego Vera:</t>
        </r>
        <r>
          <rPr>
            <sz val="9"/>
            <color indexed="81"/>
            <rFont val="Tahoma"/>
            <family val="2"/>
          </rPr>
          <t xml:space="preserve">
Con DISTR.NORM.N</t>
        </r>
      </text>
    </comment>
    <comment ref="AX87" authorId="0" shapeId="0" xr:uid="{00000000-0006-0000-0300-000004000000}">
      <text>
        <r>
          <rPr>
            <b/>
            <sz val="9"/>
            <color indexed="81"/>
            <rFont val="Tahoma"/>
            <family val="2"/>
          </rPr>
          <t>Diego Vera:</t>
        </r>
        <r>
          <rPr>
            <sz val="9"/>
            <color indexed="81"/>
            <rFont val="Tahoma"/>
            <family val="2"/>
          </rPr>
          <t xml:space="preserve">
Con =DISTR.NORM.ESTAND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Sistema de Calidad</author>
    <author>Julian Charry</author>
    <author>Diego Vera</author>
    <author>Libardo Antonio Muñoz Daza</author>
  </authors>
  <commentList>
    <comment ref="G15" authorId="0" shapeId="0" xr:uid="{00000000-0006-0000-0400-000001000000}">
      <text>
        <r>
          <rPr>
            <b/>
            <sz val="9"/>
            <color indexed="81"/>
            <rFont val="Tahoma"/>
            <family val="2"/>
          </rPr>
          <t>Sistema de Calidad:</t>
        </r>
        <r>
          <rPr>
            <sz val="9"/>
            <color indexed="81"/>
            <rFont val="Tahoma"/>
            <family val="2"/>
          </rPr>
          <t xml:space="preserve">
Se realzia  ensayp expérimental enrte el peso y su variación en 60 S, con la pendiente y tomando en cuenta  que en promedio el proceso de  vertido se toma 15 S,  se calcula  el aporte en peso y finalmente  con la ecuaciónde volumen se  lleva  a cm</t>
        </r>
        <r>
          <rPr>
            <vertAlign val="superscript"/>
            <sz val="9"/>
            <color indexed="81"/>
            <rFont val="Tahoma"/>
            <family val="2"/>
          </rPr>
          <t>3</t>
        </r>
      </text>
    </comment>
    <comment ref="G20" authorId="1" shapeId="0" xr:uid="{00000000-0006-0000-0400-000002000000}">
      <text>
        <r>
          <rPr>
            <b/>
            <sz val="9"/>
            <color indexed="81"/>
            <rFont val="Tahoma"/>
            <family val="2"/>
          </rPr>
          <t>Julian Charry:</t>
        </r>
        <r>
          <rPr>
            <sz val="9"/>
            <color indexed="81"/>
            <rFont val="Tahoma"/>
            <family val="2"/>
          </rPr>
          <t xml:space="preserve">
TOMADO DE LA GIA  SIM, NUMERAL  7,1,2,3
</t>
        </r>
      </text>
    </comment>
    <comment ref="E22" authorId="0" shapeId="0" xr:uid="{00000000-0006-0000-0400-000003000000}">
      <text>
        <r>
          <rPr>
            <b/>
            <sz val="9"/>
            <color indexed="81"/>
            <rFont val="Tahoma"/>
            <family val="2"/>
          </rPr>
          <t>Sistema de Calidad:</t>
        </r>
        <r>
          <rPr>
            <sz val="9"/>
            <color indexed="81"/>
            <rFont val="Tahoma"/>
            <family val="2"/>
          </rPr>
          <t xml:space="preserve">
Guía Técnica sobre Trazabilidad Metrológica e Incertidumbre de medida en los Servicios de Calibración de Recipientes Volumétricos por el Método Gravimétrico</t>
        </r>
      </text>
    </comment>
    <comment ref="B46" authorId="2" shapeId="0" xr:uid="{00000000-0006-0000-0400-000004000000}">
      <text>
        <r>
          <rPr>
            <b/>
            <sz val="9"/>
            <color indexed="81"/>
            <rFont val="Tahoma"/>
            <family val="2"/>
          </rPr>
          <t>Diego Vera:</t>
        </r>
        <r>
          <rPr>
            <sz val="9"/>
            <color indexed="81"/>
            <rFont val="Tahoma"/>
            <family val="2"/>
          </rPr>
          <t xml:space="preserve">
u(t) Agua y Pova)
</t>
        </r>
      </text>
    </comment>
    <comment ref="G46" authorId="2" shapeId="0" xr:uid="{00000000-0006-0000-0400-000005000000}">
      <text>
        <r>
          <rPr>
            <b/>
            <sz val="9"/>
            <color indexed="81"/>
            <rFont val="Tahoma"/>
            <family val="2"/>
          </rPr>
          <t>Diego Vera:</t>
        </r>
        <r>
          <rPr>
            <sz val="9"/>
            <color indexed="81"/>
            <rFont val="Tahoma"/>
            <family val="2"/>
          </rPr>
          <t xml:space="preserve">
Antes =PROMEDIO('DATOS GENERALES'!A53:E53:'DATOS GENERALES'!F53:J53)-D44</t>
        </r>
      </text>
    </comment>
    <comment ref="G50" authorId="0" shapeId="0" xr:uid="{00000000-0006-0000-0400-000006000000}">
      <text>
        <r>
          <rPr>
            <b/>
            <sz val="9"/>
            <color indexed="81"/>
            <rFont val="Tahoma"/>
            <family val="2"/>
          </rPr>
          <t>Sistema de Calidad:</t>
        </r>
        <r>
          <rPr>
            <sz val="9"/>
            <color indexed="81"/>
            <rFont val="Tahoma"/>
            <family val="2"/>
          </rPr>
          <t xml:space="preserve">
Se realzia  ensayp expérimental enrte el peso y su variación en 60 S, con la pendiente y tomando en cuenta  que en promedio el proceso de  vertido se toma 15 S,  se calcula  el aporte en peso y finalmente  con la ecuaciónde volumen se  lleva  a cm</t>
        </r>
        <r>
          <rPr>
            <vertAlign val="superscript"/>
            <sz val="9"/>
            <color indexed="81"/>
            <rFont val="Tahoma"/>
            <family val="2"/>
          </rPr>
          <t>3</t>
        </r>
      </text>
    </comment>
    <comment ref="B53" authorId="2" shapeId="0" xr:uid="{00000000-0006-0000-0400-000007000000}">
      <text>
        <r>
          <rPr>
            <b/>
            <sz val="9"/>
            <color indexed="81"/>
            <rFont val="Tahoma"/>
            <family val="2"/>
          </rPr>
          <t>Diego Vera:</t>
        </r>
        <r>
          <rPr>
            <sz val="9"/>
            <color indexed="81"/>
            <rFont val="Tahoma"/>
            <family val="2"/>
          </rPr>
          <t xml:space="preserve">
Solo cuando las mediciones dependen de la lectura directa del volumen de salida_ Ej. Buretas</t>
        </r>
      </text>
    </comment>
    <comment ref="B54" authorId="2" shapeId="0" xr:uid="{00000000-0006-0000-0400-000008000000}">
      <text>
        <r>
          <rPr>
            <b/>
            <sz val="9"/>
            <color indexed="81"/>
            <rFont val="Tahoma"/>
            <family val="2"/>
          </rPr>
          <t>Diego Vera:</t>
        </r>
        <r>
          <rPr>
            <sz val="9"/>
            <color indexed="81"/>
            <rFont val="Tahoma"/>
            <family val="2"/>
          </rPr>
          <t xml:space="preserve">
Cuando el Eq es mecanico de vol_ Variable
</t>
        </r>
      </text>
    </comment>
    <comment ref="B56" authorId="3" shapeId="0" xr:uid="{00000000-0006-0000-0400-000009000000}">
      <text>
        <r>
          <rPr>
            <b/>
            <sz val="9"/>
            <color indexed="81"/>
            <rFont val="Tahoma"/>
            <family val="2"/>
          </rPr>
          <t xml:space="preserve">Aplica para pipetas con camara de aire
</t>
        </r>
      </text>
    </comment>
    <comment ref="G59" authorId="2" shapeId="0" xr:uid="{00000000-0006-0000-0400-00000A000000}">
      <text>
        <r>
          <rPr>
            <b/>
            <sz val="9"/>
            <color indexed="81"/>
            <rFont val="Tahoma"/>
            <family val="2"/>
          </rPr>
          <t>Diego Vera:</t>
        </r>
        <r>
          <rPr>
            <sz val="9"/>
            <color indexed="81"/>
            <rFont val="Tahoma"/>
            <family val="2"/>
          </rPr>
          <t xml:space="preserve">
DKD-R8-1</t>
        </r>
      </text>
    </comment>
    <comment ref="G76" authorId="0" shapeId="0" xr:uid="{00000000-0006-0000-0400-00000B000000}">
      <text>
        <r>
          <rPr>
            <b/>
            <sz val="9"/>
            <color indexed="81"/>
            <rFont val="Tahoma"/>
            <family val="2"/>
          </rPr>
          <t>Sistema de Calidad:</t>
        </r>
        <r>
          <rPr>
            <sz val="9"/>
            <color indexed="81"/>
            <rFont val="Tahoma"/>
            <family val="2"/>
          </rPr>
          <t xml:space="preserve">
Se realzia  ensayp expérimental enrte el peso y su variación en 60 S, con la pendiente y tomando en cuenta  que en promedio el proceso de  vertido se toma 15 S,  se calcula  el aporte en peso y finalmente  con la ecuaciónde volumen se  lleva  a cm</t>
        </r>
        <r>
          <rPr>
            <vertAlign val="superscript"/>
            <sz val="9"/>
            <color indexed="81"/>
            <rFont val="Tahoma"/>
            <family val="2"/>
          </rPr>
          <t>3</t>
        </r>
      </text>
    </comment>
    <comment ref="G81" authorId="1" shapeId="0" xr:uid="{00000000-0006-0000-0400-00000C000000}">
      <text>
        <r>
          <rPr>
            <b/>
            <sz val="9"/>
            <color indexed="81"/>
            <rFont val="Tahoma"/>
            <family val="2"/>
          </rPr>
          <t>Julian Charry:</t>
        </r>
        <r>
          <rPr>
            <sz val="9"/>
            <color indexed="81"/>
            <rFont val="Tahoma"/>
            <family val="2"/>
          </rPr>
          <t xml:space="preserve">
TOMADO DE LA GIA  SIM, NUMERAL  7,1,2,3
</t>
        </r>
      </text>
    </comment>
    <comment ref="E83" authorId="0" shapeId="0" xr:uid="{00000000-0006-0000-0400-00000D000000}">
      <text>
        <r>
          <rPr>
            <b/>
            <sz val="9"/>
            <color indexed="81"/>
            <rFont val="Tahoma"/>
            <family val="2"/>
          </rPr>
          <t>Sistema de Calidad:</t>
        </r>
        <r>
          <rPr>
            <sz val="9"/>
            <color indexed="81"/>
            <rFont val="Tahoma"/>
            <family val="2"/>
          </rPr>
          <t xml:space="preserve">
Guía Técnica sobre Trazabilidad Metrológica e Incertidumbre de medida en los Servicios de Calibración de Recipientes Volumétricos por el Método Gravimétrico</t>
        </r>
      </text>
    </comment>
    <comment ref="B107" authorId="2" shapeId="0" xr:uid="{00000000-0006-0000-0400-00000E000000}">
      <text>
        <r>
          <rPr>
            <b/>
            <sz val="9"/>
            <color indexed="81"/>
            <rFont val="Tahoma"/>
            <family val="2"/>
          </rPr>
          <t>Diego Vera:</t>
        </r>
        <r>
          <rPr>
            <sz val="9"/>
            <color indexed="81"/>
            <rFont val="Tahoma"/>
            <family val="2"/>
          </rPr>
          <t xml:space="preserve">
u(t) Agua y Pova)
</t>
        </r>
      </text>
    </comment>
    <comment ref="G107" authorId="2" shapeId="0" xr:uid="{00000000-0006-0000-0400-00000F000000}">
      <text>
        <r>
          <rPr>
            <b/>
            <sz val="9"/>
            <color indexed="81"/>
            <rFont val="Tahoma"/>
            <family val="2"/>
          </rPr>
          <t>Diego Vera:</t>
        </r>
        <r>
          <rPr>
            <sz val="9"/>
            <color indexed="81"/>
            <rFont val="Tahoma"/>
            <family val="2"/>
          </rPr>
          <t xml:space="preserve">
Antes =PROMEDIO('DATOS GENERALES'!A53:E53:'DATOS GENERALES'!F53:J53)-D44</t>
        </r>
      </text>
    </comment>
    <comment ref="G111" authorId="0" shapeId="0" xr:uid="{00000000-0006-0000-0400-000010000000}">
      <text>
        <r>
          <rPr>
            <b/>
            <sz val="9"/>
            <color indexed="81"/>
            <rFont val="Tahoma"/>
            <family val="2"/>
          </rPr>
          <t>Sistema de Calidad:</t>
        </r>
        <r>
          <rPr>
            <sz val="9"/>
            <color indexed="81"/>
            <rFont val="Tahoma"/>
            <family val="2"/>
          </rPr>
          <t xml:space="preserve">
Se realzia  ensayp expérimental enrte el peso y su variación en 60 S, con la pendiente y tomando en cuenta  que en promedio el proceso de  vertido se toma 15 S,  se calcula  el aporte en peso y finalmente  con la ecuaciónde volumen se  lleva  a cm</t>
        </r>
        <r>
          <rPr>
            <vertAlign val="superscript"/>
            <sz val="9"/>
            <color indexed="81"/>
            <rFont val="Tahoma"/>
            <family val="2"/>
          </rPr>
          <t>3</t>
        </r>
      </text>
    </comment>
    <comment ref="B117" authorId="3" shapeId="0" xr:uid="{00000000-0006-0000-0400-000011000000}">
      <text>
        <r>
          <rPr>
            <b/>
            <sz val="9"/>
            <color indexed="81"/>
            <rFont val="Tahoma"/>
            <family val="2"/>
          </rPr>
          <t xml:space="preserve">Aplica para pipetas con camara de aire
</t>
        </r>
      </text>
    </comment>
    <comment ref="G120" authorId="2" shapeId="0" xr:uid="{00000000-0006-0000-0400-000012000000}">
      <text>
        <r>
          <rPr>
            <b/>
            <sz val="9"/>
            <color indexed="81"/>
            <rFont val="Tahoma"/>
            <family val="2"/>
          </rPr>
          <t>Diego Vera:</t>
        </r>
        <r>
          <rPr>
            <sz val="9"/>
            <color indexed="81"/>
            <rFont val="Tahoma"/>
            <family val="2"/>
          </rPr>
          <t xml:space="preserve">
DKD-R8-1</t>
        </r>
      </text>
    </comment>
    <comment ref="G142" authorId="1" shapeId="0" xr:uid="{00000000-0006-0000-0400-000013000000}">
      <text>
        <r>
          <rPr>
            <b/>
            <sz val="9"/>
            <color indexed="81"/>
            <rFont val="Tahoma"/>
            <family val="2"/>
          </rPr>
          <t>Julian Charry:</t>
        </r>
        <r>
          <rPr>
            <sz val="9"/>
            <color indexed="81"/>
            <rFont val="Tahoma"/>
            <family val="2"/>
          </rPr>
          <t xml:space="preserve">
TOMADO DE LA GIA  SIM, NUMERAL  7,1,2,3
</t>
        </r>
      </text>
    </comment>
    <comment ref="E144" authorId="0" shapeId="0" xr:uid="{00000000-0006-0000-0400-000014000000}">
      <text>
        <r>
          <rPr>
            <b/>
            <sz val="9"/>
            <color indexed="81"/>
            <rFont val="Tahoma"/>
            <family val="2"/>
          </rPr>
          <t>Sistema de Calidad:</t>
        </r>
        <r>
          <rPr>
            <sz val="9"/>
            <color indexed="81"/>
            <rFont val="Tahoma"/>
            <family val="2"/>
          </rPr>
          <t xml:space="preserve">
Guía Técnica sobre Trazabilidad Metrológica e Incertidumbre de medida en los Servicios de Calibración de Recipientes Volumétricos por el Método Gravimétrico</t>
        </r>
      </text>
    </comment>
    <comment ref="B168" authorId="2" shapeId="0" xr:uid="{00000000-0006-0000-0400-000015000000}">
      <text>
        <r>
          <rPr>
            <b/>
            <sz val="9"/>
            <color indexed="81"/>
            <rFont val="Tahoma"/>
            <family val="2"/>
          </rPr>
          <t>Diego Vera:</t>
        </r>
        <r>
          <rPr>
            <sz val="9"/>
            <color indexed="81"/>
            <rFont val="Tahoma"/>
            <family val="2"/>
          </rPr>
          <t xml:space="preserve">
u(t) Agua y Pova)
</t>
        </r>
      </text>
    </comment>
    <comment ref="G168" authorId="2" shapeId="0" xr:uid="{00000000-0006-0000-0400-000016000000}">
      <text>
        <r>
          <rPr>
            <b/>
            <sz val="9"/>
            <color indexed="81"/>
            <rFont val="Tahoma"/>
            <family val="2"/>
          </rPr>
          <t>Diego Vera:</t>
        </r>
        <r>
          <rPr>
            <sz val="9"/>
            <color indexed="81"/>
            <rFont val="Tahoma"/>
            <family val="2"/>
          </rPr>
          <t xml:space="preserve">
Antes =PROMEDIO('DATOS GENERALES'!A53:E53:'DATOS GENERALES'!F53:J53)-D44</t>
        </r>
      </text>
    </comment>
    <comment ref="G172" authorId="0" shapeId="0" xr:uid="{00000000-0006-0000-0400-000017000000}">
      <text>
        <r>
          <rPr>
            <b/>
            <sz val="9"/>
            <color indexed="81"/>
            <rFont val="Tahoma"/>
            <family val="2"/>
          </rPr>
          <t>Sistema de Calidad:</t>
        </r>
        <r>
          <rPr>
            <sz val="9"/>
            <color indexed="81"/>
            <rFont val="Tahoma"/>
            <family val="2"/>
          </rPr>
          <t xml:space="preserve">
Se realzia  ensayp expérimental enrte el peso y su variación en 60 S, con la pendiente y tomando en cuenta  que en promedio el proceso de  vertido se toma 15 S,  se calcula  el aporte en peso y finalmente  con la ecuaciónde volumen se  lleva  a cm</t>
        </r>
        <r>
          <rPr>
            <vertAlign val="superscript"/>
            <sz val="9"/>
            <color indexed="81"/>
            <rFont val="Tahoma"/>
            <family val="2"/>
          </rPr>
          <t>3</t>
        </r>
      </text>
    </comment>
    <comment ref="B178" authorId="3" shapeId="0" xr:uid="{00000000-0006-0000-0400-000018000000}">
      <text>
        <r>
          <rPr>
            <b/>
            <sz val="9"/>
            <color indexed="81"/>
            <rFont val="Tahoma"/>
            <family val="2"/>
          </rPr>
          <t xml:space="preserve">Aplica para pipetas con camara de aire
</t>
        </r>
      </text>
    </comment>
    <comment ref="G181" authorId="2" shapeId="0" xr:uid="{00000000-0006-0000-0400-000019000000}">
      <text>
        <r>
          <rPr>
            <b/>
            <sz val="9"/>
            <color indexed="81"/>
            <rFont val="Tahoma"/>
            <family val="2"/>
          </rPr>
          <t>Diego Vera:</t>
        </r>
        <r>
          <rPr>
            <sz val="9"/>
            <color indexed="81"/>
            <rFont val="Tahoma"/>
            <family val="2"/>
          </rPr>
          <t xml:space="preserve">
DKD-R8-1</t>
        </r>
      </text>
    </comment>
    <comment ref="B239" authorId="3" shapeId="0" xr:uid="{00000000-0006-0000-0400-00001A000000}">
      <text>
        <r>
          <rPr>
            <b/>
            <sz val="9"/>
            <color indexed="81"/>
            <rFont val="Tahoma"/>
            <family val="2"/>
          </rPr>
          <t xml:space="preserve">Aplica para pipetas con camara de aire
</t>
        </r>
      </text>
    </comment>
    <comment ref="G242" authorId="2" shapeId="0" xr:uid="{00000000-0006-0000-0400-00001B000000}">
      <text>
        <r>
          <rPr>
            <b/>
            <sz val="9"/>
            <color indexed="81"/>
            <rFont val="Tahoma"/>
            <family val="2"/>
          </rPr>
          <t>Diego Vera:</t>
        </r>
        <r>
          <rPr>
            <sz val="9"/>
            <color indexed="81"/>
            <rFont val="Tahoma"/>
            <family val="2"/>
          </rPr>
          <t xml:space="preserve">
DKD-R8-1</t>
        </r>
      </text>
    </comment>
    <comment ref="B300" authorId="3" shapeId="0" xr:uid="{00000000-0006-0000-0400-00001C000000}">
      <text>
        <r>
          <rPr>
            <b/>
            <sz val="9"/>
            <color indexed="81"/>
            <rFont val="Tahoma"/>
            <family val="2"/>
          </rPr>
          <t xml:space="preserve">Aplica para pipetas con camara de aire
</t>
        </r>
      </text>
    </comment>
    <comment ref="G303" authorId="2" shapeId="0" xr:uid="{00000000-0006-0000-0400-00001D000000}">
      <text>
        <r>
          <rPr>
            <b/>
            <sz val="9"/>
            <color indexed="81"/>
            <rFont val="Tahoma"/>
            <family val="2"/>
          </rPr>
          <t>Diego Vera:</t>
        </r>
        <r>
          <rPr>
            <sz val="9"/>
            <color indexed="81"/>
            <rFont val="Tahoma"/>
            <family val="2"/>
          </rPr>
          <t xml:space="preserve">
DKD-R8-1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Gestion</author>
  </authors>
  <commentList>
    <comment ref="F14" authorId="0" shapeId="0" xr:uid="{00000000-0006-0000-0700-000001000000}">
      <text>
        <r>
          <rPr>
            <b/>
            <sz val="9"/>
            <color indexed="81"/>
            <rFont val="Tahoma"/>
            <family val="2"/>
          </rPr>
          <t>Gestion:</t>
        </r>
        <r>
          <rPr>
            <sz val="9"/>
            <color indexed="81"/>
            <rFont val="Tahoma"/>
            <family val="2"/>
          </rPr>
          <t xml:space="preserve">
este valor debe estar corregido según certificado 
</t>
        </r>
      </text>
    </comment>
    <comment ref="F115" authorId="0" shapeId="0" xr:uid="{00000000-0006-0000-0700-000002000000}">
      <text>
        <r>
          <rPr>
            <b/>
            <sz val="9"/>
            <color indexed="81"/>
            <rFont val="Tahoma"/>
            <family val="2"/>
          </rPr>
          <t>Gestion:</t>
        </r>
        <r>
          <rPr>
            <sz val="9"/>
            <color indexed="81"/>
            <rFont val="Tahoma"/>
            <family val="2"/>
          </rPr>
          <t xml:space="preserve">
este valor debe estar corregido según certificado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Sistema de Calidad</author>
  </authors>
  <commentList>
    <comment ref="N12" authorId="0" shapeId="0" xr:uid="{00000000-0006-0000-0800-000001000000}">
      <text>
        <r>
          <rPr>
            <b/>
            <sz val="9"/>
            <color indexed="81"/>
            <rFont val="Tahoma"/>
            <family val="2"/>
          </rPr>
          <t>Sistema de Calidad:</t>
        </r>
        <r>
          <rPr>
            <sz val="9"/>
            <color indexed="81"/>
            <rFont val="Tahoma"/>
            <family val="2"/>
          </rPr>
          <t xml:space="preserve">
SE COLOCA LA INCERTIDUMBRE DE LA MASA UTILIZADA YA QUE EL METROLOGO COLOCO UN VALOR MENOR </t>
        </r>
      </text>
    </comment>
    <comment ref="N13" authorId="0" shapeId="0" xr:uid="{00000000-0006-0000-0800-000002000000}">
      <text>
        <r>
          <rPr>
            <b/>
            <sz val="9"/>
            <color indexed="81"/>
            <rFont val="Tahoma"/>
            <family val="2"/>
          </rPr>
          <t>Sistema de Calidad:</t>
        </r>
        <r>
          <rPr>
            <sz val="9"/>
            <color indexed="81"/>
            <rFont val="Tahoma"/>
            <family val="2"/>
          </rPr>
          <t xml:space="preserve">
SE COLOCA LA INCERTIDUMBRE DE LA MASA UTILIZADA YA QUE EL METROLOGO COLOCO UN VALOR MENOR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Sistema de Calidad</author>
  </authors>
  <commentList>
    <comment ref="B2" authorId="0" shapeId="0" xr:uid="{00000000-0006-0000-0900-000001000000}">
      <text>
        <r>
          <rPr>
            <b/>
            <sz val="9"/>
            <color indexed="81"/>
            <rFont val="Tahoma"/>
            <family val="2"/>
          </rPr>
          <t>Sistema de Calidad:</t>
        </r>
        <r>
          <rPr>
            <sz val="9"/>
            <color indexed="81"/>
            <rFont val="Tahoma"/>
            <family val="2"/>
          </rPr>
          <t xml:space="preserve">
Confirmar si es el equipo </t>
        </r>
      </text>
    </comment>
    <comment ref="B3" authorId="0" shapeId="0" xr:uid="{00000000-0006-0000-0900-000002000000}">
      <text>
        <r>
          <rPr>
            <b/>
            <sz val="9"/>
            <color indexed="81"/>
            <rFont val="Tahoma"/>
            <family val="2"/>
          </rPr>
          <t>Sistema de Calidad:</t>
        </r>
        <r>
          <rPr>
            <sz val="9"/>
            <color indexed="81"/>
            <rFont val="Tahoma"/>
            <family val="2"/>
          </rPr>
          <t xml:space="preserve">
Confirmar si es el equipo 
</t>
        </r>
      </text>
    </comment>
    <comment ref="B4" authorId="0" shapeId="0" xr:uid="{00000000-0006-0000-0900-000003000000}">
      <text>
        <r>
          <rPr>
            <b/>
            <sz val="9"/>
            <color indexed="81"/>
            <rFont val="Tahoma"/>
            <family val="2"/>
          </rPr>
          <t>Sistema de Calidad:</t>
        </r>
        <r>
          <rPr>
            <sz val="9"/>
            <color indexed="81"/>
            <rFont val="Tahoma"/>
            <family val="2"/>
          </rPr>
          <t xml:space="preserve">
Confirmar si es el equipo </t>
        </r>
      </text>
    </comment>
    <comment ref="B5" authorId="0" shapeId="0" xr:uid="{00000000-0006-0000-0900-000004000000}">
      <text>
        <r>
          <rPr>
            <b/>
            <sz val="9"/>
            <color indexed="81"/>
            <rFont val="Tahoma"/>
            <family val="2"/>
          </rPr>
          <t>Sistema de Calidad:</t>
        </r>
        <r>
          <rPr>
            <sz val="9"/>
            <color indexed="81"/>
            <rFont val="Tahoma"/>
            <family val="2"/>
          </rPr>
          <t xml:space="preserve">
Confirmar si es el equipo </t>
        </r>
      </text>
    </comment>
    <comment ref="G10" authorId="0" shapeId="0" xr:uid="{00000000-0006-0000-0900-000005000000}">
      <text>
        <r>
          <rPr>
            <b/>
            <sz val="9"/>
            <color indexed="81"/>
            <rFont val="Tahoma"/>
            <family val="2"/>
          </rPr>
          <t>Sistema de Calidad:</t>
        </r>
        <r>
          <rPr>
            <sz val="9"/>
            <color indexed="81"/>
            <rFont val="Tahoma"/>
            <family val="2"/>
          </rPr>
          <t xml:space="preserve">
valor dado por el fabricante </t>
        </r>
      </text>
    </comment>
    <comment ref="G17" authorId="0" shapeId="0" xr:uid="{00000000-0006-0000-0900-000006000000}">
      <text>
        <r>
          <rPr>
            <b/>
            <sz val="9"/>
            <color indexed="81"/>
            <rFont val="Tahoma"/>
            <family val="2"/>
          </rPr>
          <t>Sistema de Calidad:</t>
        </r>
        <r>
          <rPr>
            <sz val="9"/>
            <color indexed="81"/>
            <rFont val="Tahoma"/>
            <family val="2"/>
          </rPr>
          <t xml:space="preserve">
valor dado por el fabricante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<sst xmlns="http://schemas.openxmlformats.org/spreadsheetml/2006/main" count="3552" uniqueCount="799">
  <si>
    <t>Descripción</t>
  </si>
  <si>
    <t>Dirección:</t>
  </si>
  <si>
    <t>Código</t>
  </si>
  <si>
    <t>Cliente:</t>
  </si>
  <si>
    <t>Fecha de calibración:</t>
  </si>
  <si>
    <t>Ciudad:</t>
  </si>
  <si>
    <t>Nombre:</t>
  </si>
  <si>
    <t>Certificado de calibración No.</t>
  </si>
  <si>
    <t>% hr</t>
  </si>
  <si>
    <t>Observaciones</t>
  </si>
  <si>
    <t>No</t>
  </si>
  <si>
    <t>Fabricante:</t>
  </si>
  <si>
    <t>Código:</t>
  </si>
  <si>
    <t>N.A</t>
  </si>
  <si>
    <t>Si</t>
  </si>
  <si>
    <t>Trazabilidad</t>
  </si>
  <si>
    <t>Mediciones</t>
  </si>
  <si>
    <t>Información del cliente</t>
  </si>
  <si>
    <t>Información del instrumento</t>
  </si>
  <si>
    <t>Características metrológicas del instrumento</t>
  </si>
  <si>
    <t>Instrumento</t>
  </si>
  <si>
    <t>No. serie:</t>
  </si>
  <si>
    <t>Unidades</t>
  </si>
  <si>
    <t>°C</t>
  </si>
  <si>
    <t>Cumple</t>
  </si>
  <si>
    <t>Evaluación visual de las características de funcionamiento instrumento</t>
  </si>
  <si>
    <t>Características a evaluar:</t>
  </si>
  <si>
    <t>Finales:</t>
  </si>
  <si>
    <t>Humedad relativa [% hr]</t>
  </si>
  <si>
    <t>Iniciales:</t>
  </si>
  <si>
    <t>Magnitud</t>
  </si>
  <si>
    <t>Aprobado por:</t>
  </si>
  <si>
    <t>Calibrate by</t>
  </si>
  <si>
    <t>Approved by</t>
  </si>
  <si>
    <t>Nombres</t>
  </si>
  <si>
    <t>Cargos</t>
  </si>
  <si>
    <t>Metrólogo</t>
  </si>
  <si>
    <t>CERTIFICADO DE CALIBRACIÓN</t>
  </si>
  <si>
    <t>CERTIFICADO No:</t>
  </si>
  <si>
    <t>Solicitante:</t>
  </si>
  <si>
    <t>Ubicación:</t>
  </si>
  <si>
    <t>Fecha de recepción:</t>
  </si>
  <si>
    <t>FIRMAS AUTORIZADAS</t>
  </si>
  <si>
    <t>Autorized Signatures</t>
  </si>
  <si>
    <t>Issue Date</t>
  </si>
  <si>
    <t>Método de calibración utilizado:</t>
  </si>
  <si>
    <t>Procedimiento de calibración:</t>
  </si>
  <si>
    <t>Condiciones ambientales durante la calibración:</t>
  </si>
  <si>
    <t>Temperatura del aire:</t>
  </si>
  <si>
    <t>Estimación de incertidumbre:</t>
  </si>
  <si>
    <t>Certificado No.</t>
  </si>
  <si>
    <t>Observaciones:</t>
  </si>
  <si>
    <t>Final de este certificado</t>
  </si>
  <si>
    <t>Director Técnico</t>
  </si>
  <si>
    <t>Volumen</t>
  </si>
  <si>
    <t>Clase</t>
  </si>
  <si>
    <t>Temperatura      [°C]</t>
  </si>
  <si>
    <t>Tipo de material:</t>
  </si>
  <si>
    <t>Temperatura de referencia:</t>
  </si>
  <si>
    <t>Coeficiente de expansión:</t>
  </si>
  <si>
    <t>Mediciones realizadas</t>
  </si>
  <si>
    <t>hPa</t>
  </si>
  <si>
    <t>Densidad pesas</t>
  </si>
  <si>
    <t>Valor Nominal</t>
  </si>
  <si>
    <t>Resultado de las  mediciones</t>
  </si>
  <si>
    <t>Balanza</t>
  </si>
  <si>
    <t>Certificado</t>
  </si>
  <si>
    <t>g</t>
  </si>
  <si>
    <t>Incertidumbre expandida</t>
  </si>
  <si>
    <t>g/cm3</t>
  </si>
  <si>
    <t>Factor de cobertura [k]</t>
  </si>
  <si>
    <t>Página 2 de 2</t>
  </si>
  <si>
    <t>Página 1 de 2</t>
  </si>
  <si>
    <t>Lectura de la balanza / recipiente vacío [g]</t>
  </si>
  <si>
    <t>Lectura de la balanza / recipiente con agua [g]</t>
  </si>
  <si>
    <t>Temperatura del agua [°C]</t>
  </si>
  <si>
    <r>
      <t>Densidad del aire [g /cm</t>
    </r>
    <r>
      <rPr>
        <vertAlign val="superscript"/>
        <sz val="9"/>
        <rFont val="Calibri"/>
        <family val="2"/>
        <scheme val="minor"/>
      </rPr>
      <t>3</t>
    </r>
    <r>
      <rPr>
        <sz val="9"/>
        <rFont val="Calibri"/>
        <family val="2"/>
        <scheme val="minor"/>
      </rPr>
      <t>]</t>
    </r>
  </si>
  <si>
    <r>
      <t>Densidad del agua            [g /cm</t>
    </r>
    <r>
      <rPr>
        <vertAlign val="superscript"/>
        <sz val="9"/>
        <rFont val="Calibri"/>
        <family val="2"/>
        <scheme val="minor"/>
      </rPr>
      <t>3</t>
    </r>
    <r>
      <rPr>
        <sz val="9"/>
        <rFont val="Calibri"/>
        <family val="2"/>
        <scheme val="minor"/>
      </rPr>
      <t>]</t>
    </r>
  </si>
  <si>
    <t>EMP:</t>
  </si>
  <si>
    <t>temperatura inicial</t>
  </si>
  <si>
    <t>temperatura final</t>
  </si>
  <si>
    <t>Humedad inicial</t>
  </si>
  <si>
    <t>Humedad final</t>
  </si>
  <si>
    <t>CONSTANTES</t>
  </si>
  <si>
    <t>DATOS EQUIPOS DE MEDICIÓN</t>
  </si>
  <si>
    <t>a1</t>
  </si>
  <si>
    <t>a2</t>
  </si>
  <si>
    <t>Humedad</t>
  </si>
  <si>
    <t>a3</t>
  </si>
  <si>
    <t>Presión atmosférica</t>
  </si>
  <si>
    <t>Presión atmosférica inicial</t>
  </si>
  <si>
    <t>Presión atmosférica final</t>
  </si>
  <si>
    <t>a4</t>
  </si>
  <si>
    <r>
      <t>kg/m</t>
    </r>
    <r>
      <rPr>
        <b/>
        <sz val="11"/>
        <color theme="1"/>
        <rFont val="Calibri"/>
        <family val="2"/>
      </rPr>
      <t>³</t>
    </r>
  </si>
  <si>
    <r>
      <t>g/cm</t>
    </r>
    <r>
      <rPr>
        <b/>
        <sz val="11"/>
        <color theme="1"/>
        <rFont val="Calibri"/>
        <family val="2"/>
      </rPr>
      <t>³</t>
    </r>
  </si>
  <si>
    <t xml:space="preserve">DATOS DE ENTRADA EQUIPOS EMPLEADOS PARA LA CALIBRACION </t>
  </si>
  <si>
    <t>PATRON UTILIZADO</t>
  </si>
  <si>
    <t xml:space="preserve">IDENTIFICACIÓN </t>
  </si>
  <si>
    <t xml:space="preserve">UNIDADES </t>
  </si>
  <si>
    <t xml:space="preserve">CORECCION SEGÚN CERTIFICADO </t>
  </si>
  <si>
    <t>UNIDADADES</t>
  </si>
  <si>
    <t xml:space="preserve">INCERTIDUMBRE EXPANDIDA SEGÚN CERTIFICADO </t>
  </si>
  <si>
    <t xml:space="preserve">OBSERVACIONES </t>
  </si>
  <si>
    <t xml:space="preserve">BALANZA PARA MEDICION CARGA MÍNIMA </t>
  </si>
  <si>
    <t xml:space="preserve">BALANZA PARA MEDICION CARGA MÁXIMA </t>
  </si>
  <si>
    <t xml:space="preserve">TERMÓMETRO PARA MEDICION EN EL AGUA </t>
  </si>
  <si>
    <t>⁰C</t>
  </si>
  <si>
    <t xml:space="preserve">HIGROMETRO PAR MEDICION DE HUMEDAD RELATIVA </t>
  </si>
  <si>
    <t>%Hr</t>
  </si>
  <si>
    <t xml:space="preserve">BARÓMETRO </t>
  </si>
  <si>
    <t xml:space="preserve">TERMOMETRO PARA MEDICION EN EL AIRE </t>
  </si>
  <si>
    <t>° C</t>
  </si>
  <si>
    <t>% HR</t>
  </si>
  <si>
    <t>mbar</t>
  </si>
  <si>
    <t>a5</t>
  </si>
  <si>
    <t>UNIDAD</t>
  </si>
  <si>
    <r>
      <t>° C</t>
    </r>
    <r>
      <rPr>
        <sz val="10"/>
        <rFont val="Calibri"/>
        <family val="2"/>
      </rPr>
      <t>²</t>
    </r>
  </si>
  <si>
    <r>
      <t>kg* m</t>
    </r>
    <r>
      <rPr>
        <sz val="10"/>
        <rFont val="Calibri"/>
        <family val="2"/>
      </rPr>
      <t>¯³</t>
    </r>
  </si>
  <si>
    <t xml:space="preserve">Temperatura del agua </t>
  </si>
  <si>
    <r>
      <t>S</t>
    </r>
    <r>
      <rPr>
        <sz val="10"/>
        <rFont val="Calibri"/>
        <family val="2"/>
      </rPr>
      <t>ₒ</t>
    </r>
  </si>
  <si>
    <r>
      <t>S</t>
    </r>
    <r>
      <rPr>
        <sz val="10"/>
        <rFont val="Calibri"/>
        <family val="2"/>
      </rPr>
      <t>₁</t>
    </r>
  </si>
  <si>
    <r>
      <t>kg*m</t>
    </r>
    <r>
      <rPr>
        <sz val="10"/>
        <rFont val="Calibri"/>
        <family val="2"/>
      </rPr>
      <t>¯³</t>
    </r>
  </si>
  <si>
    <r>
      <t>kg*m¯³* °C</t>
    </r>
    <r>
      <rPr>
        <sz val="10"/>
        <rFont val="Calibri"/>
        <family val="2"/>
      </rPr>
      <t>¯¹</t>
    </r>
  </si>
  <si>
    <t>p</t>
  </si>
  <si>
    <t>Kₒ</t>
  </si>
  <si>
    <t>K₁</t>
  </si>
  <si>
    <t>pₒ</t>
  </si>
  <si>
    <t>K₂</t>
  </si>
  <si>
    <t>Pa</t>
  </si>
  <si>
    <r>
      <t>Pa</t>
    </r>
    <r>
      <rPr>
        <sz val="10"/>
        <rFont val="Calibri"/>
        <family val="2"/>
      </rPr>
      <t>¯¹</t>
    </r>
  </si>
  <si>
    <r>
      <t>Pa</t>
    </r>
    <r>
      <rPr>
        <sz val="10"/>
        <rFont val="Calibri"/>
        <family val="2"/>
      </rPr>
      <t>¯</t>
    </r>
    <r>
      <rPr>
        <sz val="10"/>
        <rFont val="Arial"/>
        <family val="2"/>
      </rPr>
      <t>¹</t>
    </r>
  </si>
  <si>
    <r>
      <t>Pa</t>
    </r>
    <r>
      <rPr>
        <sz val="10"/>
        <rFont val="Calibri"/>
        <family val="2"/>
      </rPr>
      <t>¯</t>
    </r>
    <r>
      <rPr>
        <sz val="10"/>
        <rFont val="Arial"/>
        <family val="2"/>
      </rPr>
      <t>¹*°C</t>
    </r>
    <r>
      <rPr>
        <sz val="10"/>
        <rFont val="Calibri"/>
        <family val="2"/>
      </rPr>
      <t>¯¹</t>
    </r>
  </si>
  <si>
    <r>
      <t>Pa¯¹*°C</t>
    </r>
    <r>
      <rPr>
        <sz val="10"/>
        <rFont val="Calibri"/>
        <family val="2"/>
      </rPr>
      <t>¯²</t>
    </r>
  </si>
  <si>
    <t xml:space="preserve">CHEQUEO PRELIMINAR DE LA BALANZA </t>
  </si>
  <si>
    <t xml:space="preserve">INDICACIÓN </t>
  </si>
  <si>
    <t xml:space="preserve">EQUIVALENTE EN PESAS </t>
  </si>
  <si>
    <t xml:space="preserve">CARGA MÍNIMA </t>
  </si>
  <si>
    <t xml:space="preserve">PESO DEL RECIPIENTE LLENO ESTIMADO </t>
  </si>
  <si>
    <t xml:space="preserve">CARGA MÁXIMA </t>
  </si>
  <si>
    <t xml:space="preserve">VERIFICACION EN CARGA MINIMA </t>
  </si>
  <si>
    <t xml:space="preserve">VERIFICACION EN CARGA MAXIMA  </t>
  </si>
  <si>
    <t>DESVIACION ESTANDAR</t>
  </si>
  <si>
    <t xml:space="preserve">PROMEDIO </t>
  </si>
  <si>
    <t xml:space="preserve">DESVEST </t>
  </si>
  <si>
    <r>
      <t>C</t>
    </r>
    <r>
      <rPr>
        <vertAlign val="subscript"/>
        <sz val="10"/>
        <rFont val="Arial"/>
        <family val="2"/>
      </rPr>
      <t>mp</t>
    </r>
    <r>
      <rPr>
        <sz val="10"/>
        <rFont val="Arial"/>
        <family val="2"/>
      </rPr>
      <t>A</t>
    </r>
  </si>
  <si>
    <t>kg* m¯³</t>
  </si>
  <si>
    <t xml:space="preserve">TEMPERATURA DEL AGUA </t>
  </si>
  <si>
    <t xml:space="preserve">DENSIDAD </t>
  </si>
  <si>
    <t>ESTÁNDAR</t>
  </si>
  <si>
    <t>TEMPERATURA</t>
  </si>
  <si>
    <t>INDICACIÓN</t>
  </si>
  <si>
    <t>ERROR LECTURA</t>
  </si>
  <si>
    <t>MAXÍMO ERROR PERMISIBLE</t>
  </si>
  <si>
    <t>µS /cm</t>
  </si>
  <si>
    <t>µS/ cm</t>
  </si>
  <si>
    <t>µS/cm</t>
  </si>
  <si>
    <t xml:space="preserve"> µS/cm</t>
  </si>
  <si>
    <t xml:space="preserve">CONDUCTIVIMETRO </t>
  </si>
  <si>
    <t xml:space="preserve">MARCA </t>
  </si>
  <si>
    <t xml:space="preserve">MODELO </t>
  </si>
  <si>
    <t xml:space="preserve">SERIE </t>
  </si>
  <si>
    <t xml:space="preserve">VALOR PROMEDIO INICIO/FINAL </t>
  </si>
  <si>
    <t>Temperatura del Aire</t>
  </si>
  <si>
    <t>a0</t>
  </si>
  <si>
    <r>
      <t>kg K hPa</t>
    </r>
    <r>
      <rPr>
        <sz val="11"/>
        <rFont val="Calibri"/>
        <family val="2"/>
      </rPr>
      <t>¯¹</t>
    </r>
    <r>
      <rPr>
        <sz val="11"/>
        <rFont val="Arial"/>
        <family val="2"/>
      </rPr>
      <t xml:space="preserve"> m</t>
    </r>
    <r>
      <rPr>
        <sz val="11"/>
        <rFont val="Calibri"/>
        <family val="2"/>
      </rPr>
      <t>¯³</t>
    </r>
  </si>
  <si>
    <r>
      <t>kg K m</t>
    </r>
    <r>
      <rPr>
        <sz val="11"/>
        <rFont val="Calibri"/>
        <family val="2"/>
      </rPr>
      <t>¯³</t>
    </r>
  </si>
  <si>
    <r>
      <t>° C</t>
    </r>
    <r>
      <rPr>
        <sz val="11"/>
        <rFont val="Calibri"/>
        <family val="2"/>
      </rPr>
      <t>¯¹</t>
    </r>
  </si>
  <si>
    <r>
      <t xml:space="preserve">hPa </t>
    </r>
    <r>
      <rPr>
        <sz val="11"/>
        <rFont val="Calibri"/>
        <family val="2"/>
      </rPr>
      <t>¯¹</t>
    </r>
  </si>
  <si>
    <t>Cmpa</t>
  </si>
  <si>
    <r>
      <t>C</t>
    </r>
    <r>
      <rPr>
        <sz val="8"/>
        <rFont val="Arial"/>
        <family val="2"/>
      </rPr>
      <t>mpa</t>
    </r>
  </si>
  <si>
    <r>
      <rPr>
        <sz val="24"/>
        <rFont val="Calibri"/>
        <family val="2"/>
      </rPr>
      <t>ῤ</t>
    </r>
    <r>
      <rPr>
        <sz val="8.5"/>
        <rFont val="Arial"/>
        <family val="2"/>
      </rPr>
      <t xml:space="preserve">air= </t>
    </r>
  </si>
  <si>
    <t>g/cm³</t>
  </si>
  <si>
    <t>Temperatura del aire [°C]</t>
  </si>
  <si>
    <t>presion Atmosferica hPa</t>
  </si>
  <si>
    <t>Humedad del aire [%]</t>
  </si>
  <si>
    <t>Condiciones ambientales corregidas</t>
  </si>
  <si>
    <t xml:space="preserve">Condiciones ambientales originales </t>
  </si>
  <si>
    <t>mL</t>
  </si>
  <si>
    <t>¿ La Lectura es legible ?</t>
  </si>
  <si>
    <t>¿ El instrumento presenta contaminación con partículas extrañas?</t>
  </si>
  <si>
    <t>Cesar Augusto Cobo Cabal</t>
  </si>
  <si>
    <t>Valor nominal</t>
  </si>
  <si>
    <t>Resolucion</t>
  </si>
  <si>
    <t xml:space="preserve">EVALUACION DE INCERTIDUMBRE </t>
  </si>
  <si>
    <t xml:space="preserve">No. </t>
  </si>
  <si>
    <t>Fuente de Informacion</t>
  </si>
  <si>
    <t>Magnitud de Entreda Xi Fuente de Incertidumbre</t>
  </si>
  <si>
    <t>Incertidumbre Origen</t>
  </si>
  <si>
    <t>Tipo de Distrubucion</t>
  </si>
  <si>
    <t>escertidumbre Estandar (Xi)</t>
  </si>
  <si>
    <t>Coeficiente de Sensebilidad Ci</t>
  </si>
  <si>
    <t>contribucion ui (y)^2</t>
  </si>
  <si>
    <t>Grados de Libertad
V</t>
  </si>
  <si>
    <t>Contribucion ui (y) 
ml</t>
  </si>
  <si>
    <t>Ui ⁴</t>
  </si>
  <si>
    <t>Valor estimado
Xi</t>
  </si>
  <si>
    <t>Volumen Calibrado a 20 °C</t>
  </si>
  <si>
    <t>Masa de agua (g)</t>
  </si>
  <si>
    <t>Lectura recipiente lleno</t>
  </si>
  <si>
    <t>Lectura recipiente vacio</t>
  </si>
  <si>
    <t>1.1</t>
  </si>
  <si>
    <t>1.2</t>
  </si>
  <si>
    <t>Ecuacion</t>
  </si>
  <si>
    <t>Termometro de aire (°C)</t>
  </si>
  <si>
    <t>calibracion</t>
  </si>
  <si>
    <t>Humedad (%)</t>
  </si>
  <si>
    <t>2.1</t>
  </si>
  <si>
    <t>2.2</t>
  </si>
  <si>
    <t>2.3</t>
  </si>
  <si>
    <t>2.4</t>
  </si>
  <si>
    <t>Presion (hPa)</t>
  </si>
  <si>
    <t>gradiente (hPa)</t>
  </si>
  <si>
    <t>Gradiente (%)</t>
  </si>
  <si>
    <t>Gradiente (°C)</t>
  </si>
  <si>
    <t>Ecuacion (g/cm³)</t>
  </si>
  <si>
    <t>3.1</t>
  </si>
  <si>
    <r>
      <t>Densidad Masas (g/cm</t>
    </r>
    <r>
      <rPr>
        <sz val="10"/>
        <rFont val="Calibri"/>
        <family val="2"/>
      </rPr>
      <t>³</t>
    </r>
    <r>
      <rPr>
        <sz val="8.5"/>
        <rFont val="Arial"/>
        <family val="2"/>
      </rPr>
      <t>)</t>
    </r>
  </si>
  <si>
    <t>Temperatura dispositivo (°C)</t>
  </si>
  <si>
    <t>gradiente  entre  Ter. Agua y Ter de aire</t>
  </si>
  <si>
    <t>Coef. Cubico de Expansión (1/°C)</t>
  </si>
  <si>
    <t xml:space="preserve">Mediciones </t>
  </si>
  <si>
    <t>Intrumento</t>
  </si>
  <si>
    <t>Medicion</t>
  </si>
  <si>
    <t>Fabricante</t>
  </si>
  <si>
    <t xml:space="preserve">Informacion Fabricante </t>
  </si>
  <si>
    <r>
      <t>g/cm</t>
    </r>
    <r>
      <rPr>
        <sz val="10"/>
        <rFont val="Calibri"/>
        <family val="2"/>
      </rPr>
      <t>³</t>
    </r>
  </si>
  <si>
    <t>%</t>
  </si>
  <si>
    <r>
      <t>cm</t>
    </r>
    <r>
      <rPr>
        <sz val="10"/>
        <rFont val="Calibri"/>
        <family val="2"/>
      </rPr>
      <t>³</t>
    </r>
  </si>
  <si>
    <t xml:space="preserve">Rectangular </t>
  </si>
  <si>
    <t>normal, k=2</t>
  </si>
  <si>
    <t>Rectangular %</t>
  </si>
  <si>
    <t>Tipo B</t>
  </si>
  <si>
    <t>Tipo A</t>
  </si>
  <si>
    <r>
      <t>cm</t>
    </r>
    <r>
      <rPr>
        <sz val="10"/>
        <rFont val="Calibri"/>
        <family val="2"/>
      </rPr>
      <t>³</t>
    </r>
    <r>
      <rPr>
        <sz val="8.5"/>
        <rFont val="Arial"/>
        <family val="2"/>
      </rPr>
      <t>/g</t>
    </r>
  </si>
  <si>
    <r>
      <t>cm</t>
    </r>
    <r>
      <rPr>
        <sz val="10"/>
        <rFont val="Calibri"/>
        <family val="2"/>
      </rPr>
      <t>³</t>
    </r>
    <r>
      <rPr>
        <sz val="8.5"/>
        <rFont val="Arial"/>
        <family val="2"/>
      </rPr>
      <t>/°C</t>
    </r>
  </si>
  <si>
    <r>
      <t>cm</t>
    </r>
    <r>
      <rPr>
        <sz val="10"/>
        <rFont val="Calibri"/>
        <family val="2"/>
      </rPr>
      <t>³</t>
    </r>
    <r>
      <rPr>
        <sz val="8.5"/>
        <rFont val="Arial"/>
        <family val="2"/>
      </rPr>
      <t>/%</t>
    </r>
  </si>
  <si>
    <r>
      <t>cm</t>
    </r>
    <r>
      <rPr>
        <sz val="10"/>
        <rFont val="Calibri"/>
        <family val="2"/>
      </rPr>
      <t>³</t>
    </r>
    <r>
      <rPr>
        <sz val="8.5"/>
        <rFont val="Arial"/>
        <family val="2"/>
      </rPr>
      <t>/hPa</t>
    </r>
  </si>
  <si>
    <r>
      <t>cm</t>
    </r>
    <r>
      <rPr>
        <sz val="10"/>
        <rFont val="Calibri"/>
        <family val="2"/>
      </rPr>
      <t>³</t>
    </r>
    <r>
      <rPr>
        <sz val="8.5"/>
        <rFont val="Arial"/>
        <family val="2"/>
      </rPr>
      <t>/(g/cm</t>
    </r>
    <r>
      <rPr>
        <sz val="8.5"/>
        <rFont val="Calibri"/>
        <family val="2"/>
      </rPr>
      <t>³</t>
    </r>
    <r>
      <rPr>
        <sz val="7.25"/>
        <rFont val="Arial"/>
        <family val="2"/>
      </rPr>
      <t>)</t>
    </r>
  </si>
  <si>
    <t>Termometro de Agua (°C)</t>
  </si>
  <si>
    <t>Incertidumbre estandar combinada</t>
  </si>
  <si>
    <t>Cte</t>
  </si>
  <si>
    <t>a2Ta+a3*P</t>
  </si>
  <si>
    <t>Exp(a2Ta+a3*P)</t>
  </si>
  <si>
    <t>273,15+ta</t>
  </si>
  <si>
    <t>v EF</t>
  </si>
  <si>
    <t>U Exp</t>
  </si>
  <si>
    <t>Lugar de calibración:</t>
  </si>
  <si>
    <t xml:space="preserve">La calibración se realizó en las instalaciones de </t>
  </si>
  <si>
    <t>lugar de calibración:</t>
  </si>
  <si>
    <t>Humedad relativa:</t>
  </si>
  <si>
    <t>Marca</t>
  </si>
  <si>
    <t>Ohaus</t>
  </si>
  <si>
    <t>Promedio lectura de la balanza / recipiente lleno [g]</t>
  </si>
  <si>
    <t>INCERTIDUMBRE</t>
  </si>
  <si>
    <t>Evaporizacion y salpicaduras</t>
  </si>
  <si>
    <t>Rectangular</t>
  </si>
  <si>
    <t>g/s</t>
  </si>
  <si>
    <t>Coordinador Calidad</t>
  </si>
  <si>
    <t>Carlos Alberto Carrejo</t>
  </si>
  <si>
    <t>N.A.</t>
  </si>
  <si>
    <r>
      <rPr>
        <sz val="10"/>
        <rFont val="Calibri"/>
        <family val="2"/>
      </rPr>
      <t>µ</t>
    </r>
    <r>
      <rPr>
        <sz val="13"/>
        <rFont val="Calibri"/>
        <family val="2"/>
      </rPr>
      <t>L</t>
    </r>
  </si>
  <si>
    <t>L</t>
  </si>
  <si>
    <t xml:space="preserve">Balanza semimicro </t>
  </si>
  <si>
    <t>Control del cambio</t>
  </si>
  <si>
    <t>Versión</t>
  </si>
  <si>
    <t>Descripción del cambio</t>
  </si>
  <si>
    <t>Responsable</t>
  </si>
  <si>
    <t>Fecha de Aprobación</t>
  </si>
  <si>
    <t>Hasta</t>
  </si>
  <si>
    <t xml:space="preserve">Tecservice S.A.S. Laboratorio de Volumen </t>
  </si>
  <si>
    <t>Modelo:</t>
  </si>
  <si>
    <t>CV %</t>
  </si>
  <si>
    <t>TEC-LAB-TEM-11</t>
  </si>
  <si>
    <t>Oakton</t>
  </si>
  <si>
    <t>E %</t>
  </si>
  <si>
    <t xml:space="preserve">UNIDAD </t>
  </si>
  <si>
    <t>ANTES DE AJUSTE</t>
  </si>
  <si>
    <t>DESPUES DE AJUSTE</t>
  </si>
  <si>
    <t xml:space="preserve">RESOLUCIÓN </t>
  </si>
  <si>
    <t xml:space="preserve">PESO DEL RECIPIENTE VACIO </t>
  </si>
  <si>
    <t>DATOS PARA PRUEBA DE BALANZA</t>
  </si>
  <si>
    <t>ITEMS</t>
  </si>
  <si>
    <t>RANGO BAJO</t>
  </si>
  <si>
    <t>RANGO ALTO</t>
  </si>
  <si>
    <t xml:space="preserve">ERROR MAXIMOS PERMITIDOS LINEALIDAD O EXAPTITUD </t>
  </si>
  <si>
    <t>RANGO BAJO (0,001 g hasta 80 g)</t>
  </si>
  <si>
    <t>RANGO ALTO 80 g hasta 220 g)</t>
  </si>
  <si>
    <t>CUMPLIMIENTO</t>
  </si>
  <si>
    <t>ANALISIS POR EXAPTITUD EN (g)</t>
  </si>
  <si>
    <t>ERROR MAXIMOS PERMITIDOS REPETIBILIDAD</t>
  </si>
  <si>
    <t>RANGO BAJO (0,001 g hasta 20 g)</t>
  </si>
  <si>
    <t>RANGO ALTO 20 g hasta 220 g)</t>
  </si>
  <si>
    <t>ANALISIS POR REPETIBILIDAD (g)</t>
  </si>
  <si>
    <t xml:space="preserve">PESO DEL RECIPIENTE VACIO  </t>
  </si>
  <si>
    <t>+/- 3,0</t>
  </si>
  <si>
    <t>VALOR MAXIMO DE MEDIDA DEL AGUA</t>
  </si>
  <si>
    <t>CODIGO</t>
  </si>
  <si>
    <t>Hora final</t>
  </si>
  <si>
    <t xml:space="preserve">Hora inicial </t>
  </si>
  <si>
    <t>INCERTIDUMBRE MASAS DE VERIFICACION</t>
  </si>
  <si>
    <t>Características Metrológicas del instrumento de medida</t>
  </si>
  <si>
    <t>HASTA 220 g</t>
  </si>
  <si>
    <t>HASTA 50 g</t>
  </si>
  <si>
    <t>Incertidumbre</t>
  </si>
  <si>
    <t>Error</t>
  </si>
  <si>
    <t>Certificado según peso usado</t>
  </si>
  <si>
    <t>Numero de certificado</t>
  </si>
  <si>
    <t>Rango</t>
  </si>
  <si>
    <t>certificado usado</t>
  </si>
  <si>
    <t xml:space="preserve">Incertidumbre lineal usada </t>
  </si>
  <si>
    <t>Incertidumbre excentricidad</t>
  </si>
  <si>
    <t xml:space="preserve">Incertidumbre estandar tipo A, </t>
  </si>
  <si>
    <t xml:space="preserve">CONSTANTES </t>
  </si>
  <si>
    <t>Realizado por:</t>
  </si>
  <si>
    <t xml:space="preserve">Cesar Augusto Cobo </t>
  </si>
  <si>
    <t>µL</t>
  </si>
  <si>
    <t>Promedio temperatura del agua 
[°C]</t>
  </si>
  <si>
    <t>TEC-LAB-BA-04</t>
  </si>
  <si>
    <t>Temperatura del dispositivo.</t>
  </si>
  <si>
    <t>Temperatura inicial [°C]</t>
  </si>
  <si>
    <t>Temperatura final [°C]</t>
  </si>
  <si>
    <t>Delta de temperatura [°C]</t>
  </si>
  <si>
    <t>TERMOMETRO PARA MEDICION DE LA TEMPERATURA DEL EQUIPOS DE ENSAYO</t>
  </si>
  <si>
    <t>Bases de ajuste:</t>
  </si>
  <si>
    <t>Base de Ajuste:</t>
  </si>
  <si>
    <t>Expulsar (Ex)</t>
  </si>
  <si>
    <t>Contener (In)</t>
  </si>
  <si>
    <t>Tipo de punta:</t>
  </si>
  <si>
    <t>Liquido de ensayo:</t>
  </si>
  <si>
    <t>Liquido de Ensayo:</t>
  </si>
  <si>
    <t>Agua Des-ionizada grado 3</t>
  </si>
  <si>
    <t>Variación</t>
  </si>
  <si>
    <t xml:space="preserve">Material </t>
  </si>
  <si>
    <t xml:space="preserve">Vidrio Borosilicato 3.3 </t>
  </si>
  <si>
    <t xml:space="preserve">Vidrio Borosilicato 5.0 </t>
  </si>
  <si>
    <t xml:space="preserve">Vidrio soda lime </t>
  </si>
  <si>
    <t xml:space="preserve">Plástico (polipropileno) </t>
  </si>
  <si>
    <t xml:space="preserve">Acero inoxidable 316 </t>
  </si>
  <si>
    <r>
      <t>Promedio densidad del aire 
[g /cm</t>
    </r>
    <r>
      <rPr>
        <vertAlign val="superscript"/>
        <sz val="10"/>
        <rFont val="Calibri"/>
        <family val="2"/>
        <scheme val="minor"/>
      </rPr>
      <t>3</t>
    </r>
    <r>
      <rPr>
        <sz val="10"/>
        <rFont val="Calibri"/>
        <family val="2"/>
        <scheme val="minor"/>
      </rPr>
      <t>]</t>
    </r>
  </si>
  <si>
    <t>Coeficiente de Sensibilidad Ci</t>
  </si>
  <si>
    <t>incertidumbre Estandar (Xi)</t>
  </si>
  <si>
    <t>,</t>
  </si>
  <si>
    <t>El equipo fue calibrado utilizando el método gravimétrico, el cual consiste en determinar  el volumen de agua contenida o entregada por el recipiente.</t>
  </si>
  <si>
    <t>TEC-LAB-TEM-24</t>
  </si>
  <si>
    <t>TEC-LAB-BA-07</t>
  </si>
  <si>
    <t>HASTA 1200 g</t>
  </si>
  <si>
    <t>temperatura  del aire (g/cm3)</t>
  </si>
  <si>
    <t>linealidad</t>
  </si>
  <si>
    <t>desviacion estandar</t>
  </si>
  <si>
    <t>fabricante</t>
  </si>
  <si>
    <t>desves fabricante (g)</t>
  </si>
  <si>
    <t>cm³</t>
  </si>
  <si>
    <t>deriva</t>
  </si>
  <si>
    <t>mediciones</t>
  </si>
  <si>
    <t xml:space="preserve">Acero inoxidable 304 </t>
  </si>
  <si>
    <t>Calibracion  recipiente vacio</t>
  </si>
  <si>
    <t>Calibracion  recipiente lleno</t>
  </si>
  <si>
    <t>Diego Vera</t>
  </si>
  <si>
    <t xml:space="preserve">Plástico (poli carbonato) </t>
  </si>
  <si>
    <t xml:space="preserve">Plástico (poli estireno) </t>
  </si>
  <si>
    <t>Boro 3,3 (BRAND GMBH)</t>
  </si>
  <si>
    <t>AR-Glas (BRAND GMBH)</t>
  </si>
  <si>
    <t>PP (BRAND GMBH)</t>
  </si>
  <si>
    <t>PMP (BRAND GMBH)</t>
  </si>
  <si>
    <t>PFA (BRAND GMBH)</t>
  </si>
  <si>
    <t>Method EURAMET cg-21   /CENAM</t>
  </si>
  <si>
    <t xml:space="preserve">se colocan líneas en las casillas en blanco, se incluyen mas puntos, las condiciones se cambian de inicial y final a máximo y mínimo, los errores de e% y cv %  se colocan para valor nominal </t>
  </si>
  <si>
    <t>Se anexó tipo de agua, se describe si el equipo es para contener o expulsar, tipo de punta, Error sistemático [%],Coeficiente de variación [%]</t>
  </si>
  <si>
    <t>Se ajustaron los cálculos de estimación de incertidumbre según lo indicado en norma NTC/ISO 8655:2014 en los numerales 8.3, 8.6 y anexo B es la norma ISO/TR 20461:2000</t>
  </si>
  <si>
    <t>Certifícate of calibration</t>
  </si>
  <si>
    <t>Certifícate number</t>
  </si>
  <si>
    <t>Resolución:</t>
  </si>
  <si>
    <t>LC-PR-16  Procedimiento calibración para equipos volumétricos accionados mediante pistón, norma NTC-ISO 8655-6</t>
  </si>
  <si>
    <t>código</t>
  </si>
  <si>
    <t>descripción</t>
  </si>
  <si>
    <t>Termo higrómetro barómetro digital</t>
  </si>
  <si>
    <t>Termómetro digital</t>
  </si>
  <si>
    <t>Mínima</t>
  </si>
  <si>
    <t>Máxima</t>
  </si>
  <si>
    <t>Error sistemático [%]</t>
  </si>
  <si>
    <t>Coeficiente de variación [%]</t>
  </si>
  <si>
    <t>Magnitud de Entrada Xi Fuente de Incertidumbre</t>
  </si>
  <si>
    <r>
      <t>temperatura densidad  del agua (g/cm</t>
    </r>
    <r>
      <rPr>
        <sz val="10"/>
        <rFont val="Calibri"/>
        <family val="2"/>
      </rPr>
      <t>³</t>
    </r>
    <r>
      <rPr>
        <sz val="8.5"/>
        <rFont val="Arial"/>
        <family val="2"/>
      </rPr>
      <t>)</t>
    </r>
  </si>
  <si>
    <r>
      <t>g/cm</t>
    </r>
    <r>
      <rPr>
        <vertAlign val="superscript"/>
        <sz val="10"/>
        <color rgb="FF00B050"/>
        <rFont val="Calibri"/>
        <family val="2"/>
        <scheme val="minor"/>
      </rPr>
      <t>3</t>
    </r>
  </si>
  <si>
    <t>%E</t>
  </si>
  <si>
    <t>Datos para Graficas</t>
  </si>
  <si>
    <r>
      <t>U</t>
    </r>
    <r>
      <rPr>
        <vertAlign val="subscript"/>
        <sz val="11"/>
        <color theme="1"/>
        <rFont val="Calibri"/>
        <family val="2"/>
        <scheme val="minor"/>
      </rPr>
      <t>exp</t>
    </r>
  </si>
  <si>
    <r>
      <t xml:space="preserve"> Promedio densidad del agua  [g /cm</t>
    </r>
    <r>
      <rPr>
        <vertAlign val="superscript"/>
        <sz val="10"/>
        <rFont val="Calibri"/>
        <family val="2"/>
        <scheme val="minor"/>
      </rPr>
      <t>3</t>
    </r>
    <r>
      <rPr>
        <sz val="10"/>
        <rFont val="Calibri"/>
        <family val="2"/>
        <scheme val="minor"/>
      </rPr>
      <t>]</t>
    </r>
  </si>
  <si>
    <t>Promedio lectura de la balanza / recipiente vacío  [g]</t>
  </si>
  <si>
    <t xml:space="preserve"> </t>
  </si>
  <si>
    <t xml:space="preserve">  </t>
  </si>
  <si>
    <r>
      <t>Coeficiente de expansión [°C</t>
    </r>
    <r>
      <rPr>
        <vertAlign val="superscript"/>
        <sz val="10"/>
        <rFont val="Calibri"/>
        <family val="2"/>
        <scheme val="minor"/>
      </rPr>
      <t>-1</t>
    </r>
    <r>
      <rPr>
        <sz val="10"/>
        <rFont val="Calibri"/>
        <family val="2"/>
        <scheme val="minor"/>
      </rPr>
      <t>]:</t>
    </r>
  </si>
  <si>
    <t>Firmado Digitalmente</t>
  </si>
  <si>
    <t>Se implementa uso de firma digital</t>
  </si>
  <si>
    <t>Fabricante:*</t>
  </si>
  <si>
    <t>Identificación:*</t>
  </si>
  <si>
    <t>Número de serie:*</t>
  </si>
  <si>
    <t>Ubicación:*</t>
  </si>
  <si>
    <t>Modelo:*</t>
  </si>
  <si>
    <t>Instrumento:*</t>
  </si>
  <si>
    <t>TEC-LAB-PTHRI-01</t>
  </si>
  <si>
    <t>Control Company</t>
  </si>
  <si>
    <t>Dirección: *</t>
  </si>
  <si>
    <t>Este certificado es emitido de acuerdo con los requerimientos de la norma ISO/IEC 17025:2017 (Requisitos generales  para  la  competencia de los  laboratorios de ensayo y calibración). El usuario es responsable de la calibración de sus instrumentos a intervalos apropiados.</t>
  </si>
  <si>
    <t>CÓDIGO (1)</t>
  </si>
  <si>
    <t>MAGNITUD (2)</t>
  </si>
  <si>
    <t>SEDE (3)</t>
  </si>
  <si>
    <t>INTERVALO DE MEDICIÓN (4)</t>
  </si>
  <si>
    <t>INSTRUMENTO A CALIBRAR (5)</t>
  </si>
  <si>
    <t>INCERTIDUMBRE EXPANDIDA DE MEDIDA (6)</t>
  </si>
  <si>
    <t>INSTRUMENTOS, EQUIPOS PATRONES UTLIZADOS (7)</t>
  </si>
  <si>
    <t>DF6</t>
  </si>
  <si>
    <t>Avenida 2FN No 54N-15  local 4 - Centro Comercial Pacará; Cali, Valle del Cauca, Colombia.</t>
  </si>
  <si>
    <r>
      <t xml:space="preserve">10 µL &lt; </t>
    </r>
    <r>
      <rPr>
        <i/>
        <sz val="12"/>
        <rFont val="Century Gothic"/>
        <family val="2"/>
      </rPr>
      <t>V</t>
    </r>
    <r>
      <rPr>
        <sz val="12"/>
        <rFont val="Century Gothic"/>
        <family val="2"/>
      </rPr>
      <t xml:space="preserve"> ≤ 1000 µL</t>
    </r>
  </si>
  <si>
    <t>Pipetas Accionadas a pistón</t>
  </si>
  <si>
    <t>Instrumento de pesaje con capacidad máxima de 120 g y d = 0,01 mg
Termómetro digital con d = 0,01 °C</t>
  </si>
  <si>
    <t>Pipetas, buretas y dispensadores accionados a pistón.</t>
  </si>
  <si>
    <t>0,81 µL</t>
  </si>
  <si>
    <t>Balones aforados
Probetas
Picnómetros 
Buretas de vidrio
Pipetas de vidrio</t>
  </si>
  <si>
    <r>
      <t xml:space="preserve">5 mL &lt; </t>
    </r>
    <r>
      <rPr>
        <i/>
        <sz val="12"/>
        <rFont val="Century Gothic"/>
        <family val="2"/>
      </rPr>
      <t>V</t>
    </r>
    <r>
      <rPr>
        <sz val="12"/>
        <rFont val="Century Gothic"/>
        <family val="2"/>
      </rPr>
      <t xml:space="preserve"> ≤ 100 mL</t>
    </r>
  </si>
  <si>
    <t>Instrumento de pesaje con capacidad máxima de 120 g y d = 0,01 mg
Instrumento de pesaje con capacidad máxima de 220 g y d = 0,1 mg
Termómetro digital con d = 0,01 °C</t>
  </si>
  <si>
    <t>Balones aforados
Probetas</t>
  </si>
  <si>
    <t>Instrumento de pesaje con capacidad máxima de 1200 g y d = 1 mg
Termómetro digital con d = 0,01 °C</t>
  </si>
  <si>
    <t>Instrumento de pesaje con capacidad máxima de 1200 g y d = 1 mg
Instrumento de pesaje con capacidad máxima de 60 kg y d = 0,1 g
Termómetro digital con d = 0,01 °C</t>
  </si>
  <si>
    <t>CMC</t>
  </si>
  <si>
    <t>v</t>
  </si>
  <si>
    <t>CMC (min)</t>
  </si>
  <si>
    <t xml:space="preserve">F  CALIBRACIÓN </t>
  </si>
  <si>
    <t>Jean Pier Bolaños</t>
  </si>
  <si>
    <t>Esta calibración es  trazable al Sistema  Internacional de Unidades (SI),  a  través  de  una  cadena  ininterrumpida  de comparaciones, cada eslabón de la cadena esta documentado y la incertidumbre de medición ha sido estimada en cada paso.</t>
  </si>
  <si>
    <t>Pequeños volúmenes (hasta 5 L)</t>
  </si>
  <si>
    <t>pH</t>
  </si>
  <si>
    <t>5 pH a 7pH</t>
  </si>
  <si>
    <t>pH Referencia</t>
  </si>
  <si>
    <t>INDICACIÓN pH</t>
  </si>
  <si>
    <t>5 pH  a 7 pH</t>
  </si>
  <si>
    <t>Proxima Cal</t>
  </si>
  <si>
    <t>Este  certificado  expresa  fielmente  el  resultado  de  las  mediciones  realizadas única y exclusivamente al instrumento bajo calibración, aquí relacionado. No podrá ser reproducido parcialmente sin la debida autorización del emisor, excepto cuando se reproduce en su totalidad.</t>
  </si>
  <si>
    <t>TEC-LAB-BA-08</t>
  </si>
  <si>
    <t>Bascula</t>
  </si>
  <si>
    <t>Mettler Toledo</t>
  </si>
  <si>
    <t>TEC-LAB-BA-05</t>
  </si>
  <si>
    <t>Control company</t>
  </si>
  <si>
    <t>0,27 µL</t>
  </si>
  <si>
    <t>3,4 µL</t>
  </si>
  <si>
    <t>25 µL</t>
  </si>
  <si>
    <t>0,81 mL</t>
  </si>
  <si>
    <t>17 µL</t>
  </si>
  <si>
    <t xml:space="preserve">Proceso de calibración y manejo </t>
  </si>
  <si>
    <t>Incertidumbre por resolución del instrumento</t>
  </si>
  <si>
    <t>Reproducibilidad</t>
  </si>
  <si>
    <t>VERSIÓN</t>
  </si>
  <si>
    <t>DESCRIPCIÓN DE LOS CAMBIOS</t>
  </si>
  <si>
    <t>FECHA APROBACIÓN</t>
  </si>
  <si>
    <t>090-21  Se actualiza encabezados de acuerdo con el Procedimiento  control de documentos y registros GP-PR-01 V7</t>
  </si>
  <si>
    <t>Se realiza revisión del documento, se actualiza fecha y responsables. No se genera cambios significativos.</t>
  </si>
  <si>
    <t>Regla de Decisión ?</t>
  </si>
  <si>
    <t>Conservadora</t>
  </si>
  <si>
    <t>Especificar probabilidad de Conformidad ?</t>
  </si>
  <si>
    <t>Regla</t>
  </si>
  <si>
    <t>Simple</t>
  </si>
  <si>
    <t xml:space="preserve">      ← Seleccionar</t>
  </si>
  <si>
    <t>Conformidad</t>
  </si>
  <si>
    <t>Conformidad:</t>
  </si>
  <si>
    <t>Datos del Cliente:</t>
  </si>
  <si>
    <t>Datos del Instrumento:</t>
  </si>
  <si>
    <t>Número de páginas del certificado incluyendo anexos: Dos (2)</t>
  </si>
  <si>
    <r>
      <t>°C</t>
    </r>
    <r>
      <rPr>
        <vertAlign val="superscript"/>
        <sz val="12"/>
        <color theme="1"/>
        <rFont val="Calibri"/>
        <family val="2"/>
        <scheme val="minor"/>
      </rPr>
      <t>-1</t>
    </r>
  </si>
  <si>
    <t>CD286-23.  Se actualiza pie de pagina, con nueva dirección por cambio de sede, de acuerdo con el procedimiento  control de documentos y registros GQ-PR-01.</t>
  </si>
  <si>
    <t>Equipo</t>
  </si>
  <si>
    <t>Valor nominal  (g)</t>
  </si>
  <si>
    <t>Valor Promedio de la  Indicacion del Instrumento  (g )</t>
  </si>
  <si>
    <t>± Incertidumbre excentricidad (g)</t>
  </si>
  <si>
    <t>Certificado No</t>
  </si>
  <si>
    <t xml:space="preserve">Fecha de calibración </t>
  </si>
  <si>
    <t>F. Proxima</t>
  </si>
  <si>
    <t>Calibrado Por</t>
  </si>
  <si>
    <t>Intervalo</t>
  </si>
  <si>
    <t>0 a 50 g</t>
  </si>
  <si>
    <t>Tecservice S.A.S</t>
  </si>
  <si>
    <t>Descripción:</t>
  </si>
  <si>
    <t>Marca:</t>
  </si>
  <si>
    <t>calibrado por:</t>
  </si>
  <si>
    <t>certificado No:</t>
  </si>
  <si>
    <t>fecha de calibración:</t>
  </si>
  <si>
    <t>Prox. Calibracion:</t>
  </si>
  <si>
    <t>Tesla</t>
  </si>
  <si>
    <t>TEC-LAB-PTHRI-03</t>
  </si>
  <si>
    <t>0 a 210 g</t>
  </si>
  <si>
    <t>0 a 1200 g</t>
  </si>
  <si>
    <t xml:space="preserve">Balanza </t>
  </si>
  <si>
    <t>Mettler</t>
  </si>
  <si>
    <t>0 a 8100 g</t>
  </si>
  <si>
    <t>0 a 30000 g</t>
  </si>
  <si>
    <t>VALOR NOMINAL (g)</t>
  </si>
  <si>
    <t>K</t>
  </si>
  <si>
    <t>TM704-23A</t>
  </si>
  <si>
    <t>TM705-23A</t>
  </si>
  <si>
    <t>56948-C</t>
  </si>
  <si>
    <t>-0,000028</t>
  </si>
  <si>
    <t>0,000033</t>
  </si>
  <si>
    <t>-0,000039</t>
  </si>
  <si>
    <t>0,000039</t>
  </si>
  <si>
    <t>-0,000047</t>
  </si>
  <si>
    <t>0,000067</t>
  </si>
  <si>
    <t>-0,000073</t>
  </si>
  <si>
    <t>0,000054</t>
  </si>
  <si>
    <t>-0,000081</t>
  </si>
  <si>
    <t>0,000082</t>
  </si>
  <si>
    <t>-0,000102</t>
  </si>
  <si>
    <t>0,000089</t>
  </si>
  <si>
    <t>-0,00012</t>
  </si>
  <si>
    <t>0,00012</t>
  </si>
  <si>
    <t>-0,000132</t>
  </si>
  <si>
    <t>0,000105</t>
  </si>
  <si>
    <t>-0,000130</t>
  </si>
  <si>
    <t>0,000133</t>
  </si>
  <si>
    <t>-0,000067</t>
  </si>
  <si>
    <t>0,000097</t>
  </si>
  <si>
    <t>-0,00013</t>
  </si>
  <si>
    <t>0,00022</t>
  </si>
  <si>
    <t>-0,00018</t>
  </si>
  <si>
    <t>0,00023</t>
  </si>
  <si>
    <t>-0,00024</t>
  </si>
  <si>
    <t>0,00025</t>
  </si>
  <si>
    <t>-0,00020</t>
  </si>
  <si>
    <t>0,00026</t>
  </si>
  <si>
    <t>-0,00029</t>
  </si>
  <si>
    <t>-0,00034</t>
  </si>
  <si>
    <t>0,00030</t>
  </si>
  <si>
    <t>-0,00038</t>
  </si>
  <si>
    <t>0,00031</t>
  </si>
  <si>
    <t>0,00034</t>
  </si>
  <si>
    <t>-0,00019</t>
  </si>
  <si>
    <t>T. Agua</t>
  </si>
  <si>
    <t>T. Aire</t>
  </si>
  <si>
    <t>Hr</t>
  </si>
  <si>
    <t>Limites</t>
  </si>
  <si>
    <t>P Atm</t>
  </si>
  <si>
    <t>Revisado OK</t>
  </si>
  <si>
    <t>Humedad del aire</t>
  </si>
  <si>
    <t>Presion del Aire</t>
  </si>
  <si>
    <t>Dif. Tem Medio_Pipeta aire</t>
  </si>
  <si>
    <t>Temperatura del Agua.</t>
  </si>
  <si>
    <t>Tiangular</t>
  </si>
  <si>
    <t>Incertidumbre estandar tipo A, (Repetibilidad)</t>
  </si>
  <si>
    <t>Colchon de aire</t>
  </si>
  <si>
    <t>Deriva termometro</t>
  </si>
  <si>
    <t>gradiente  entre  Ter. Agua y Pova</t>
  </si>
  <si>
    <t>Revisar</t>
  </si>
  <si>
    <t>Coeficiente cubico de expansión térmica 𝜸 (1/°C)</t>
  </si>
  <si>
    <t>Certifícate of calibración</t>
  </si>
  <si>
    <t>2-Los  resultados  contenidos  en  el  presente  certificado  se  refieren  al  momento  y  condiciones  en que se realizaron las mediciones. El laboratorio  de  Metrología  de  TecService' S.A.S, no  se  responsabiliza  de  los  perjuicios  que  puedan  derivarse   del  uso  inadecuado del instrumento calibrado.</t>
  </si>
  <si>
    <t>4- * Información suministrada por el cliente.  El  laboratorio  de  Metrología de TecService' S.A.S, no se responsabiliza de los perjuicios que puedan derivarse  por la información consignada en este certificado y que fue suministrada por el cliente.</t>
  </si>
  <si>
    <t>Se actualiza versión de acreditacion de la norma ISO/IEC 17025 : 2005 a ISO/IEC 17025 : 2017</t>
  </si>
  <si>
    <t>Se Incluye descargo de responsabilidad por la información suministrada por el cliente, Se modifica la descripción de  la norma NTC/ ISO/ IEC 17025:2017 a solo ISO/ IEC 17025:2017. Se actualiza la versión de logo ONAC.</t>
  </si>
  <si>
    <t>CD-260-22: Se actualiza Declaración :  se cambia de "No podrá ser reproducido total o parcialmente sin la debida autorización del emisor" a "No podrá ser reproducido parcialmente sin la debida autorización del emisor, excepto cuando se reproduce en su totalidad."</t>
  </si>
  <si>
    <t>Se condicionaron las cifras decimales del error a reportar, al numero de decimales resultantes del ajuste de las cifras significativas de la incertidumbre. Se realiza resalto visual en color amarillo sobre los campos que se deben revisar en la plantilla referentes a cifras significativas y cifras decimales, una vez revisados se quita el resalto.</t>
  </si>
  <si>
    <t>coeficiente de kell</t>
  </si>
  <si>
    <t>Variable</t>
  </si>
  <si>
    <t>Fijo</t>
  </si>
  <si>
    <t>Micropipeta</t>
  </si>
  <si>
    <t>Bureta</t>
  </si>
  <si>
    <t>Dispensador</t>
  </si>
  <si>
    <t>Pipeta</t>
  </si>
  <si>
    <t>Pipeta multicanal</t>
  </si>
  <si>
    <t>Micropipeta Multicanal</t>
  </si>
  <si>
    <t>Ajustar ?</t>
  </si>
  <si>
    <t xml:space="preserve"> V Ajuste</t>
  </si>
  <si>
    <t>Se ajusto pie de pagina</t>
  </si>
  <si>
    <t>Se adiccion metrologo L Rios</t>
  </si>
  <si>
    <r>
      <t xml:space="preserve">1000 µL &lt; </t>
    </r>
    <r>
      <rPr>
        <i/>
        <sz val="12"/>
        <rFont val="Century Gothic"/>
        <family val="2"/>
      </rPr>
      <t>V</t>
    </r>
    <r>
      <rPr>
        <sz val="12"/>
        <rFont val="Century Gothic"/>
        <family val="2"/>
      </rPr>
      <t xml:space="preserve"> ≤ 5000 µL</t>
    </r>
  </si>
  <si>
    <t>1 µL</t>
  </si>
  <si>
    <t>1,1 µL</t>
  </si>
  <si>
    <r>
      <t xml:space="preserve">5 mL &lt; </t>
    </r>
    <r>
      <rPr>
        <i/>
        <sz val="12"/>
        <color theme="0" tint="-0.34998626667073579"/>
        <rFont val="Century Gothic"/>
        <family val="2"/>
      </rPr>
      <t>V</t>
    </r>
    <r>
      <rPr>
        <sz val="12"/>
        <color theme="0" tint="-0.34998626667073579"/>
        <rFont val="Century Gothic"/>
        <family val="2"/>
      </rPr>
      <t xml:space="preserve"> ≤ 100 mL</t>
    </r>
  </si>
  <si>
    <r>
      <t xml:space="preserve">1 mL &lt; </t>
    </r>
    <r>
      <rPr>
        <i/>
        <sz val="12"/>
        <color rgb="FF0070C0"/>
        <rFont val="Century Gothic"/>
        <family val="2"/>
      </rPr>
      <t>V</t>
    </r>
    <r>
      <rPr>
        <sz val="12"/>
        <color rgb="FF0070C0"/>
        <rFont val="Century Gothic"/>
        <family val="2"/>
      </rPr>
      <t xml:space="preserve"> ≤ 5 mL</t>
    </r>
  </si>
  <si>
    <r>
      <t xml:space="preserve">5000 µL &lt; </t>
    </r>
    <r>
      <rPr>
        <i/>
        <sz val="12"/>
        <color rgb="FF0070C0"/>
        <rFont val="Century Gothic"/>
        <family val="2"/>
      </rPr>
      <t>V</t>
    </r>
    <r>
      <rPr>
        <sz val="12"/>
        <color rgb="FF0070C0"/>
        <rFont val="Century Gothic"/>
        <family val="2"/>
      </rPr>
      <t xml:space="preserve"> ≤ 100000 µL</t>
    </r>
  </si>
  <si>
    <r>
      <t xml:space="preserve">1 mL &lt; </t>
    </r>
    <r>
      <rPr>
        <i/>
        <sz val="12"/>
        <color theme="0" tint="-0.34998626667073579"/>
        <rFont val="Century Gothic"/>
        <family val="2"/>
      </rPr>
      <t>V</t>
    </r>
    <r>
      <rPr>
        <sz val="12"/>
        <color theme="0" tint="-0.34998626667073579"/>
        <rFont val="Century Gothic"/>
        <family val="2"/>
      </rPr>
      <t xml:space="preserve"> ≤ 100 mL</t>
    </r>
  </si>
  <si>
    <r>
      <t xml:space="preserve">1 mL ≤ </t>
    </r>
    <r>
      <rPr>
        <i/>
        <sz val="12"/>
        <color theme="0" tint="-0.34998626667073579"/>
        <rFont val="Century Gothic"/>
        <family val="2"/>
      </rPr>
      <t>V</t>
    </r>
    <r>
      <rPr>
        <sz val="12"/>
        <color theme="0" tint="-0.34998626667073579"/>
        <rFont val="Century Gothic"/>
        <family val="2"/>
      </rPr>
      <t xml:space="preserve"> ≤ 5 mL</t>
    </r>
  </si>
  <si>
    <r>
      <t xml:space="preserve">100 mL &lt; </t>
    </r>
    <r>
      <rPr>
        <i/>
        <sz val="12"/>
        <color theme="0" tint="-0.34998626667073579"/>
        <rFont val="Century Gothic"/>
        <family val="2"/>
      </rPr>
      <t>V</t>
    </r>
    <r>
      <rPr>
        <sz val="12"/>
        <color theme="0" tint="-0.34998626667073579"/>
        <rFont val="Century Gothic"/>
        <family val="2"/>
      </rPr>
      <t xml:space="preserve"> ≤ 1000 mL</t>
    </r>
  </si>
  <si>
    <r>
      <t xml:space="preserve">1000 mL &lt; </t>
    </r>
    <r>
      <rPr>
        <i/>
        <sz val="12"/>
        <color theme="0" tint="-0.34998626667073579"/>
        <rFont val="Century Gothic"/>
        <family val="2"/>
      </rPr>
      <t>V</t>
    </r>
    <r>
      <rPr>
        <sz val="12"/>
        <color theme="0" tint="-0.34998626667073579"/>
        <rFont val="Century Gothic"/>
        <family val="2"/>
      </rPr>
      <t xml:space="preserve"> ≤ 5000 mL</t>
    </r>
  </si>
  <si>
    <t>TUR</t>
  </si>
  <si>
    <t>Incertidumbre por setting</t>
  </si>
  <si>
    <t>DKD</t>
  </si>
  <si>
    <t>Contribución por el proceso de calibración y manejo de la pipeta</t>
  </si>
  <si>
    <t>¿Las mediciones dependen de la lectura directa del volumen de salida? Ej. Buretas</t>
  </si>
  <si>
    <t>TEC-LAB-TEM-33</t>
  </si>
  <si>
    <t>TLM-T-2258</t>
  </si>
  <si>
    <t>TEC-LAB-TH-01</t>
  </si>
  <si>
    <t>Termo higrómetro digital</t>
  </si>
  <si>
    <t>Full Gauge</t>
  </si>
  <si>
    <t>TLM-TH-1859C</t>
  </si>
  <si>
    <t>Resolucion 1</t>
  </si>
  <si>
    <t>Resolucion 2</t>
  </si>
  <si>
    <t xml:space="preserve">FECHA DE LA PROXIMA  CALIBRACIÓN </t>
  </si>
  <si>
    <t>RESOLUCIÓN BAJO</t>
  </si>
  <si>
    <t xml:space="preserve">RESOLUCIÓN ALTA </t>
  </si>
  <si>
    <t>INCERTIDUMBRE EXPANDIDA SEGÚN CERTIFICADO  BAJA</t>
  </si>
  <si>
    <t>INCERTIDUMBRE EXPANDIDA SEGÚN CERTIFICADO ALTA</t>
  </si>
  <si>
    <t>calibrado por</t>
  </si>
  <si>
    <t>certificado No</t>
  </si>
  <si>
    <t xml:space="preserve">fecha de calibración </t>
  </si>
  <si>
    <t>coeficientes</t>
  </si>
  <si>
    <t>W0 [ g ]</t>
  </si>
  <si>
    <t>W1 [ g ]</t>
  </si>
  <si>
    <t>p(x)</t>
  </si>
  <si>
    <t>u (x)</t>
  </si>
  <si>
    <t>c0</t>
  </si>
  <si>
    <t>L no corregida</t>
  </si>
  <si>
    <t>L corregida</t>
  </si>
  <si>
    <t>Correccion</t>
  </si>
  <si>
    <t>Incetidumbre</t>
  </si>
  <si>
    <t>L1</t>
  </si>
  <si>
    <t>L2</t>
  </si>
  <si>
    <t>L3</t>
  </si>
  <si>
    <t>L4</t>
  </si>
  <si>
    <t>L5</t>
  </si>
  <si>
    <t>L6</t>
  </si>
  <si>
    <t>L7</t>
  </si>
  <si>
    <t>L8</t>
  </si>
  <si>
    <t>L9</t>
  </si>
  <si>
    <t>L10</t>
  </si>
  <si>
    <t>L11</t>
  </si>
  <si>
    <t>L12</t>
  </si>
  <si>
    <t>TEC-LAB-BA-07_</t>
  </si>
  <si>
    <t>Promedio</t>
  </si>
  <si>
    <t>Min</t>
  </si>
  <si>
    <t>Max</t>
  </si>
  <si>
    <t>densidad  del aire (g/cm³)</t>
  </si>
  <si>
    <t>Kell</t>
  </si>
  <si>
    <t>TANAKA</t>
  </si>
  <si>
    <t>Deriva</t>
  </si>
  <si>
    <t>Cal X</t>
  </si>
  <si>
    <t>Cal X-1</t>
  </si>
  <si>
    <t>Cal X-2</t>
  </si>
  <si>
    <r>
      <t>Densidad  del agua (g/cm</t>
    </r>
    <r>
      <rPr>
        <sz val="10"/>
        <rFont val="Calibri"/>
        <family val="2"/>
      </rPr>
      <t>³</t>
    </r>
    <r>
      <rPr>
        <sz val="8.5"/>
        <rFont val="Arial"/>
        <family val="2"/>
      </rPr>
      <t>)</t>
    </r>
  </si>
  <si>
    <t>CIPM</t>
  </si>
  <si>
    <t>Límite de tolerancia superior único</t>
  </si>
  <si>
    <t>=</t>
  </si>
  <si>
    <t>Pc</t>
  </si>
  <si>
    <t>Intervalos de tolerancia bilaterales con FDP normales</t>
  </si>
  <si>
    <t>Otro Info</t>
  </si>
  <si>
    <t>https://youtu.be/WtRRT4YwAyM?si=vyZ179gciL1UpRil</t>
  </si>
  <si>
    <t xml:space="preserve">Minuto </t>
  </si>
  <si>
    <t xml:space="preserve"> 2:01:45 </t>
  </si>
  <si>
    <t>PC</t>
  </si>
  <si>
    <t>Valor de referencia</t>
  </si>
  <si>
    <t>EMP</t>
  </si>
  <si>
    <t>Tu</t>
  </si>
  <si>
    <t>TL</t>
  </si>
  <si>
    <t>y</t>
  </si>
  <si>
    <t>u</t>
  </si>
  <si>
    <t>U</t>
  </si>
  <si>
    <t>k</t>
  </si>
  <si>
    <t>Pcu</t>
  </si>
  <si>
    <t>PcL</t>
  </si>
  <si>
    <t>Ztu</t>
  </si>
  <si>
    <t xml:space="preserve">ZTL </t>
  </si>
  <si>
    <t>s</t>
  </si>
  <si>
    <t>Prueba con datos de calibraciones</t>
  </si>
  <si>
    <t>Indicación</t>
  </si>
  <si>
    <t>Corrección</t>
  </si>
  <si>
    <t>uc</t>
  </si>
  <si>
    <t>100 ul</t>
  </si>
  <si>
    <t xml:space="preserve"> con w=0</t>
  </si>
  <si>
    <t>uL</t>
  </si>
  <si>
    <t>Volumen calculado</t>
  </si>
  <si>
    <t>con w=U</t>
  </si>
  <si>
    <t>Se hace con  Tu y TL siempre, de lo contario castigas el sistema</t>
  </si>
  <si>
    <t>Au</t>
  </si>
  <si>
    <t>AL</t>
  </si>
  <si>
    <t>Cuando lo haces con los limites solo consideras que los valores medicos esten dentro de dichos límites, pero el % de aceptación o de falsa axeptación se calucula siempre con  Tu y TL (EMP)</t>
  </si>
  <si>
    <t>TVO441-24A</t>
  </si>
  <si>
    <t>Pipeta Piston</t>
  </si>
  <si>
    <t>5 mL</t>
  </si>
  <si>
    <t>TVO439-24A</t>
  </si>
  <si>
    <t>MATRAZ 100 ml</t>
  </si>
  <si>
    <t>TVO318-24A</t>
  </si>
  <si>
    <t>MATRAZ 2000 ml</t>
  </si>
  <si>
    <t>TVO467-24A</t>
  </si>
  <si>
    <t>TVO430-24A</t>
  </si>
  <si>
    <t>Error máximo permitido Aleatorio</t>
  </si>
  <si>
    <t>Sistematico</t>
  </si>
  <si>
    <t>Aleatorio</t>
  </si>
  <si>
    <r>
      <t xml:space="preserve">Maxima </t>
    </r>
    <r>
      <rPr>
        <strike/>
        <sz val="11"/>
        <color theme="1"/>
        <rFont val="Calibri"/>
        <family val="2"/>
        <scheme val="minor"/>
      </rPr>
      <t xml:space="preserve"> Pc</t>
    </r>
    <r>
      <rPr>
        <sz val="11"/>
        <color theme="1"/>
        <rFont val="Calibri"/>
        <family val="2"/>
        <scheme val="minor"/>
      </rPr>
      <t xml:space="preserve"> =</t>
    </r>
  </si>
  <si>
    <t>Lim inf</t>
  </si>
  <si>
    <t>Lim Sup</t>
  </si>
  <si>
    <t>[EMP-U]</t>
  </si>
  <si>
    <t>[-EMP+U]</t>
  </si>
  <si>
    <t>[EMP]</t>
  </si>
  <si>
    <t>[-EMP]</t>
  </si>
  <si>
    <t>V+[EMP-U]</t>
  </si>
  <si>
    <t>V-[EMP-U]</t>
  </si>
  <si>
    <t>Regla Decisión Simple</t>
  </si>
  <si>
    <t>Regla Decisión Conservadora</t>
  </si>
  <si>
    <t>LES</t>
  </si>
  <si>
    <t>LEI</t>
  </si>
  <si>
    <t>PFA</t>
  </si>
  <si>
    <t>Pc :</t>
  </si>
  <si>
    <t>PNC :</t>
  </si>
  <si>
    <t>→</t>
  </si>
  <si>
    <t>Vigencia de calibración</t>
  </si>
  <si>
    <t>Calibrado Por:</t>
  </si>
  <si>
    <t>TEC-LAB-LI-01</t>
  </si>
  <si>
    <t>Pie de rey digital</t>
  </si>
  <si>
    <t>Mitutoyo</t>
  </si>
  <si>
    <t>Shahe</t>
  </si>
  <si>
    <t>L27531</t>
  </si>
  <si>
    <t>L28887</t>
  </si>
  <si>
    <t>SUMINCOL</t>
  </si>
  <si>
    <t>TEC-LAB-LI-02</t>
  </si>
  <si>
    <t>Vigencia</t>
  </si>
  <si>
    <t>Fecha Cal</t>
  </si>
  <si>
    <t>TU</t>
  </si>
  <si>
    <t>Contacto:</t>
  </si>
  <si>
    <t>Teléfono</t>
  </si>
  <si>
    <t>¿Tipo Selección Volumen ?</t>
  </si>
  <si>
    <t>¿ Colchón de Aire ?</t>
  </si>
  <si>
    <r>
      <t>Especificación:(</t>
    </r>
    <r>
      <rPr>
        <sz val="8"/>
        <rFont val="Arial"/>
        <family val="2"/>
      </rPr>
      <t>Norma, SOP. Manual Fab. etc.</t>
    </r>
    <r>
      <rPr>
        <sz val="10"/>
        <rFont val="Arial"/>
        <family val="2"/>
      </rPr>
      <t>)</t>
    </r>
    <r>
      <rPr>
        <sz val="10"/>
        <color rgb="FF00B050"/>
        <rFont val="Arial"/>
        <family val="2"/>
      </rPr>
      <t xml:space="preserve"> </t>
    </r>
    <r>
      <rPr>
        <sz val="10"/>
        <color rgb="FF00B050"/>
        <rFont val="Wingdings 3"/>
        <family val="1"/>
        <charset val="2"/>
      </rPr>
      <t>$</t>
    </r>
  </si>
  <si>
    <t>¿ El instrumento presenta partículas de agua ?</t>
  </si>
  <si>
    <t>¿ El instrumento esta despicado, quebrado o fisurado ?</t>
  </si>
  <si>
    <t>linealidad fabricante (g)</t>
  </si>
  <si>
    <t>perdida por evaporación (g)</t>
  </si>
  <si>
    <t>Presión atmosférica [hPa]</t>
  </si>
  <si>
    <t>Mínimas:</t>
  </si>
  <si>
    <t>Máximas:</t>
  </si>
  <si>
    <t>presión Atmosférica mbar</t>
  </si>
  <si>
    <t>Revisión Pesada</t>
  </si>
  <si>
    <t>Revisión temperatura del Agua</t>
  </si>
  <si>
    <t>Revisión temperatura Ambiente</t>
  </si>
  <si>
    <t>Revisión Humedad Relativa</t>
  </si>
  <si>
    <t>Revisión Presión Atm</t>
  </si>
  <si>
    <t>Liseth Dayana Ríos</t>
  </si>
  <si>
    <t>Sin Colchón Aire</t>
  </si>
  <si>
    <t>Colchón Aire</t>
  </si>
  <si>
    <t>Acero al Carbón</t>
  </si>
  <si>
    <t>se agregan la toma de datos para la temperatura del instrumento, el Delta de temperatura entre la temperatura máxima y la mínima, se adicionan condicionales para que se revise las condiciones ambientales cumpliendo con la  norma, base de ajuste y liquido de ensayo.</t>
  </si>
  <si>
    <t>Se actualiza versión de acreditación de la norma NTC/ ISO  17025 2005 a NTC/ ISO  17025 2017</t>
  </si>
  <si>
    <t>La incertidumbre expandida de la medición reportada se establece como la incertidumbre estándar de medición multiplicada por el factor de cobertura “k” y la probabilidad de cobertura, la cual debe ser aproximada al 95,45 % y no menor a este valor.</t>
  </si>
  <si>
    <t>Fecha de emisión</t>
  </si>
  <si>
    <t>TLM-P-3401</t>
  </si>
  <si>
    <t>cm³/g</t>
  </si>
  <si>
    <t>cm³/%</t>
  </si>
  <si>
    <t>cm³/hPa</t>
  </si>
  <si>
    <t>Densidad  del agua (g/cm³)</t>
  </si>
  <si>
    <t>cm³/°C</t>
  </si>
  <si>
    <t>Densidad Masas (g/cm³)</t>
  </si>
  <si>
    <t>cm³/(g/cm³)</t>
  </si>
  <si>
    <t>temperatura densidad  del agua (g/cm³)</t>
  </si>
  <si>
    <t>TLM-TH-1251</t>
  </si>
  <si>
    <t>Error (g)</t>
  </si>
  <si>
    <t xml:space="preserve"> Incertidumbre expandida (g)</t>
  </si>
  <si>
    <t>AL-</t>
  </si>
  <si>
    <t>EMP=TL</t>
  </si>
  <si>
    <t>TL-</t>
  </si>
  <si>
    <t>3- N.I. = No indica     N.A. = No Aplica     EMP = Error máximo permitido     AL= Limite de aceptación     TL=Limite de tolerancia</t>
  </si>
  <si>
    <t>Error máximo permitido Sistemático</t>
  </si>
  <si>
    <t>Descripción de la trazabilidad Metrológica</t>
  </si>
  <si>
    <t>1- Se identifican y registran, las especificaciones indicadas en el manual de operación del fabricante o las tolerancias del proceso asignadas por el cliente, siempre y cuando estas estén disponibles. Tecservice S.A.S. Realiza la declaración de conformidad de forma binaria (Cumple/No Cumple). Cuando es aplicada declaración de conformidad, si los resultados de calibración  se encuentren dentro de los límites de error permitido, se registran como "Cumple",en caso contrario se registran como "No Cumple". Su uso y aplicación quedan a criterio y responsabilidad del cliente. La regla de decisión utilizada para evaluación de conformidad en el presente certificado es:</t>
  </si>
  <si>
    <t>RESULTADOS DE LAS PRUEBAS DE CONDUCTIVIMETRO COMO SE ENCONTRO</t>
  </si>
  <si>
    <t>RESULTADOS DE LAS PRUEBAS DE CONDUCTIVIMETRO COMO SE DEJO</t>
  </si>
  <si>
    <t>VERIFICACION medidor de PH COMO SE ENCONTRO</t>
  </si>
  <si>
    <t>VERIFICACION medidor de PH COMO SE DEJO</t>
  </si>
  <si>
    <t>Peso recipiente Vol &lt; 100 uL :</t>
  </si>
  <si>
    <t>Recipiente Inadecuado por Peso Vacio</t>
  </si>
  <si>
    <t>Cambiar Recipiente de Pesada.</t>
  </si>
  <si>
    <t>CONTROL DE CAMBIOS</t>
  </si>
  <si>
    <t>CD356-24.  Se actualiza encabezados de acuerdo con el Procedimiento  control de documentos y registros GP-PR-01 por revision periodica de documentos</t>
  </si>
  <si>
    <t>CD299-24.  Se actualiza logo ONAC, Se adicionan campos para declaración de conformidad. Se adicionan semáforos de alerta y revisión,  para control de diligenciamiento de datos cubriendo todas las condiciones ambientales y temperatura de agua. Se adiciona en presupuesto de  incertidumbre componentes por efecto de colchón de aire y variación de temperatura del agua y el ítem.</t>
  </si>
  <si>
    <r>
      <rPr>
        <b/>
        <sz val="11"/>
        <color theme="1"/>
        <rFont val="Calibri"/>
        <family val="2"/>
        <scheme val="minor"/>
      </rPr>
      <t xml:space="preserve">CD366-24. </t>
    </r>
    <r>
      <rPr>
        <sz val="11"/>
        <color theme="1"/>
        <rFont val="Calibri"/>
        <family val="2"/>
        <scheme val="minor"/>
      </rPr>
      <t>Se habilitan campos para informar los EMP sistemático y coeficiente de variación en %. Se modifica observación 1, para dar mayor claridad a la forma como se informa la declaración de conformidad. En la descripción de la trazabilidad, se actualiza el termino "trazabilidad" a "trazabilidad metrológica". Se cambia el campo fecha de calibración por vigencia de calibración. Se deja visible en el certificado de calibracion el nombre del metrologo ejecutor de la calibracion. Se actualiza la grafica de resultados de medición incluyendo los EMP y limites de tolerancia.</t>
    </r>
  </si>
  <si>
    <t>TLM-T-3124</t>
  </si>
  <si>
    <t>PLANTILLA DE INCERTIDUMMBRE LC-FR-08 V4</t>
  </si>
  <si>
    <t>CD388-25</t>
  </si>
  <si>
    <t>Revisado Director Técnico,  2025-02-03 - Aprobado Gerente General, 2025-02-05</t>
  </si>
  <si>
    <t>TLM-P-4418</t>
  </si>
  <si>
    <t>TM465-25A</t>
  </si>
  <si>
    <t>TM466-25A</t>
  </si>
  <si>
    <t>TM467-25A</t>
  </si>
  <si>
    <t>TM463-25A</t>
  </si>
  <si>
    <t>TM464-25A</t>
  </si>
  <si>
    <t>CALIBRACIÓN DE EQUIPOS VOLUMÉTRICOS ACCIONADOS POR PISTON, LC-FR-60 V13</t>
  </si>
  <si>
    <t>CD438-25</t>
  </si>
  <si>
    <t>Revisado Director Técnico, 2025-09-20 - Aprobado Gerente General, 2025-09-22</t>
  </si>
  <si>
    <t>Intervalo de medición</t>
  </si>
  <si>
    <t>HANNA instruments</t>
  </si>
  <si>
    <t>HI 98308</t>
  </si>
  <si>
    <t>TEC-LAB-CDT-02</t>
  </si>
  <si>
    <t>X</t>
  </si>
  <si>
    <t>TVO005-26A</t>
  </si>
  <si>
    <t>Tecservice S.A.S.</t>
  </si>
  <si>
    <t>Av 4AN No. 45-56</t>
  </si>
  <si>
    <t>Cali</t>
  </si>
  <si>
    <t>Hector Fabio Carabali Herrera</t>
  </si>
  <si>
    <t>318 712 6566 - 602 654 0608</t>
  </si>
  <si>
    <t>BRAND</t>
  </si>
  <si>
    <t>Transferpette</t>
  </si>
  <si>
    <t>08Y7018</t>
  </si>
  <si>
    <t>TEC-LAB-V-03</t>
  </si>
  <si>
    <t>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</si>
</sst>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_(&quot;$&quot;\ * #,##0.00_);_(&quot;$&quot;\ * \(#,##0.00\);_(&quot;$&quot;\ * &quot;-&quot;??_);_(@_)"/>
    <numFmt numFmtId="165" formatCode="0.0"/>
    <numFmt numFmtId="166" formatCode="0.000"/>
    <numFmt numFmtId="167" formatCode="yyyy\-mm\-dd;@"/>
    <numFmt numFmtId="168" formatCode="0.00000"/>
    <numFmt numFmtId="169" formatCode="0.0000"/>
    <numFmt numFmtId="170" formatCode="0.000000"/>
    <numFmt numFmtId="171" formatCode="0.0E+00"/>
    <numFmt numFmtId="172" formatCode="0.000000000"/>
    <numFmt numFmtId="173" formatCode="0.00000000"/>
    <numFmt numFmtId="174" formatCode="0.0000E+00"/>
    <numFmt numFmtId="175" formatCode="0.000E+00"/>
    <numFmt numFmtId="176" formatCode="0.0000000"/>
    <numFmt numFmtId="177" formatCode="\±\ ##0.0000"/>
    <numFmt numFmtId="178" formatCode="0.00000E+00"/>
    <numFmt numFmtId="179" formatCode="0.000000E+00"/>
    <numFmt numFmtId="180" formatCode="0.00000000000000000"/>
    <numFmt numFmtId="181" formatCode="\±\ ##0.00000"/>
    <numFmt numFmtId="182" formatCode="yyyy\-mm\-dd"/>
    <numFmt numFmtId="183" formatCode="0.0000000000"/>
    <numFmt numFmtId="184" formatCode="0.0%"/>
    <numFmt numFmtId="185" formatCode="0.00000%"/>
    <numFmt numFmtId="186" formatCode="0.0000%"/>
  </numFmts>
  <fonts count="17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Calibri"/>
      <family val="2"/>
      <scheme val="minor"/>
    </font>
    <font>
      <b/>
      <sz val="10"/>
      <name val="Calibri"/>
      <family val="2"/>
      <scheme val="minor"/>
    </font>
    <font>
      <b/>
      <sz val="10.5"/>
      <color theme="1"/>
      <name val="Calibri"/>
      <family val="2"/>
      <scheme val="minor"/>
    </font>
    <font>
      <sz val="10.5"/>
      <color theme="1"/>
      <name val="Calibri"/>
      <family val="2"/>
      <scheme val="minor"/>
    </font>
    <font>
      <sz val="9"/>
      <name val="Calibri"/>
      <family val="2"/>
      <scheme val="minor"/>
    </font>
    <font>
      <sz val="8"/>
      <name val="Calibri"/>
      <family val="2"/>
      <scheme val="minor"/>
    </font>
    <font>
      <sz val="11"/>
      <name val="Calibri"/>
      <family val="2"/>
      <scheme val="minor"/>
    </font>
    <font>
      <sz val="12"/>
      <name val="Calibri"/>
      <family val="2"/>
      <scheme val="minor"/>
    </font>
    <font>
      <sz val="10"/>
      <color rgb="FFFF0000"/>
      <name val="Calibri"/>
      <family val="2"/>
      <scheme val="minor"/>
    </font>
    <font>
      <sz val="11"/>
      <color rgb="FFFF0000"/>
      <name val="Calibri"/>
      <family val="2"/>
      <scheme val="minor"/>
    </font>
    <font>
      <b/>
      <sz val="10"/>
      <color theme="1"/>
      <name val="Calibri"/>
      <family val="2"/>
      <scheme val="minor"/>
    </font>
    <font>
      <sz val="10"/>
      <color theme="1"/>
      <name val="Calibri"/>
      <family val="2"/>
      <scheme val="minor"/>
    </font>
    <font>
      <sz val="9"/>
      <color theme="1"/>
      <name val="Calibri"/>
      <family val="2"/>
      <scheme val="minor"/>
    </font>
    <font>
      <b/>
      <sz val="10"/>
      <color rgb="FFFF0000"/>
      <name val="Calibri"/>
      <family val="2"/>
      <scheme val="minor"/>
    </font>
    <font>
      <b/>
      <sz val="14"/>
      <color theme="1"/>
      <name val="Calibri"/>
      <family val="2"/>
      <scheme val="minor"/>
    </font>
    <font>
      <b/>
      <sz val="11"/>
      <color theme="1"/>
      <name val="Calibri"/>
      <family val="2"/>
      <scheme val="minor"/>
    </font>
    <font>
      <sz val="11"/>
      <color rgb="FF002060"/>
      <name val="Calibri"/>
      <family val="2"/>
      <scheme val="minor"/>
    </font>
    <font>
      <b/>
      <sz val="10"/>
      <name val="Arial"/>
      <family val="2"/>
    </font>
    <font>
      <sz val="13"/>
      <name val="Calibri"/>
      <family val="2"/>
      <scheme val="minor"/>
    </font>
    <font>
      <sz val="9"/>
      <color indexed="81"/>
      <name val="Tahoma"/>
      <family val="2"/>
    </font>
    <font>
      <b/>
      <sz val="9"/>
      <color indexed="81"/>
      <name val="Tahoma"/>
      <family val="2"/>
    </font>
    <font>
      <sz val="10"/>
      <color rgb="FFFF0000"/>
      <name val="Arial"/>
      <family val="2"/>
    </font>
    <font>
      <sz val="8"/>
      <name val="Arial"/>
      <family val="2"/>
    </font>
    <font>
      <vertAlign val="superscript"/>
      <sz val="10"/>
      <name val="Calibri"/>
      <family val="2"/>
      <scheme val="minor"/>
    </font>
    <font>
      <vertAlign val="superscript"/>
      <sz val="9"/>
      <name val="Calibri"/>
      <family val="2"/>
      <scheme val="minor"/>
    </font>
    <font>
      <i/>
      <sz val="11"/>
      <color theme="1"/>
      <name val="Calibri"/>
      <family val="2"/>
      <scheme val="minor"/>
    </font>
    <font>
      <b/>
      <sz val="11"/>
      <color rgb="FF002060"/>
      <name val="Calibri"/>
      <family val="2"/>
      <scheme val="minor"/>
    </font>
    <font>
      <b/>
      <sz val="11"/>
      <name val="Calibri"/>
      <family val="2"/>
      <scheme val="minor"/>
    </font>
    <font>
      <sz val="8"/>
      <color theme="1"/>
      <name val="Calibri"/>
      <family val="2"/>
      <scheme val="minor"/>
    </font>
    <font>
      <b/>
      <sz val="11"/>
      <color rgb="FF000000"/>
      <name val="Calibri"/>
      <family val="2"/>
      <scheme val="minor"/>
    </font>
    <font>
      <sz val="11"/>
      <color rgb="FF000000"/>
      <name val="Calibri"/>
      <family val="2"/>
      <scheme val="minor"/>
    </font>
    <font>
      <sz val="11"/>
      <color theme="1"/>
      <name val="Calibri"/>
      <family val="2"/>
    </font>
    <font>
      <b/>
      <sz val="22"/>
      <color theme="1"/>
      <name val="Calibri"/>
      <family val="2"/>
      <scheme val="minor"/>
    </font>
    <font>
      <b/>
      <sz val="11"/>
      <color theme="1"/>
      <name val="Calibri"/>
      <family val="2"/>
    </font>
    <font>
      <b/>
      <sz val="24"/>
      <color theme="1"/>
      <name val="Calibri"/>
      <family val="2"/>
      <scheme val="minor"/>
    </font>
    <font>
      <sz val="10"/>
      <name val="Calibri"/>
      <family val="2"/>
    </font>
    <font>
      <vertAlign val="subscript"/>
      <sz val="10"/>
      <name val="Arial"/>
      <family val="2"/>
    </font>
    <font>
      <b/>
      <sz val="12"/>
      <color indexed="8"/>
      <name val="Calibri"/>
      <family val="2"/>
      <scheme val="minor"/>
    </font>
    <font>
      <b/>
      <sz val="7"/>
      <color indexed="8"/>
      <name val="Calibri"/>
      <family val="2"/>
      <scheme val="minor"/>
    </font>
    <font>
      <b/>
      <sz val="8"/>
      <color indexed="8"/>
      <name val="Calibri"/>
      <family val="2"/>
      <scheme val="minor"/>
    </font>
    <font>
      <sz val="10"/>
      <color indexed="8"/>
      <name val="Calibri"/>
      <family val="2"/>
      <scheme val="minor"/>
    </font>
    <font>
      <sz val="11"/>
      <name val="Arial"/>
      <family val="2"/>
    </font>
    <font>
      <b/>
      <sz val="10"/>
      <color rgb="FF000000"/>
      <name val="Calibri"/>
      <family val="2"/>
      <scheme val="minor"/>
    </font>
    <font>
      <sz val="8.5"/>
      <name val="Arial"/>
      <family val="2"/>
    </font>
    <font>
      <sz val="11"/>
      <name val="Calibri"/>
      <family val="2"/>
    </font>
    <font>
      <sz val="24"/>
      <name val="Calibri"/>
      <family val="2"/>
    </font>
    <font>
      <sz val="8.5"/>
      <name val="Calibri"/>
      <family val="2"/>
    </font>
    <font>
      <sz val="7.25"/>
      <name val="Arial"/>
      <family val="2"/>
    </font>
    <font>
      <sz val="10"/>
      <color theme="1"/>
      <name val="Arial"/>
      <family val="2"/>
    </font>
    <font>
      <i/>
      <sz val="14"/>
      <color theme="6" tint="-0.249977111117893"/>
      <name val="Calibri"/>
      <family val="2"/>
      <scheme val="minor"/>
    </font>
    <font>
      <i/>
      <sz val="9"/>
      <color theme="6" tint="-0.249977111117893"/>
      <name val="Calibri"/>
      <family val="2"/>
      <scheme val="minor"/>
    </font>
    <font>
      <sz val="11"/>
      <color theme="6" tint="-0.249977111117893"/>
      <name val="Calibri"/>
      <family val="2"/>
      <scheme val="minor"/>
    </font>
    <font>
      <b/>
      <u/>
      <sz val="11"/>
      <color theme="6" tint="-0.249977111117893"/>
      <name val="Calibri"/>
      <family val="2"/>
      <scheme val="minor"/>
    </font>
    <font>
      <vertAlign val="superscript"/>
      <sz val="9"/>
      <color indexed="81"/>
      <name val="Tahoma"/>
      <family val="2"/>
    </font>
    <font>
      <sz val="13"/>
      <name val="Calibri"/>
      <family val="2"/>
    </font>
    <font>
      <sz val="10"/>
      <color theme="0"/>
      <name val="Calibri"/>
      <family val="2"/>
      <scheme val="minor"/>
    </font>
    <font>
      <sz val="10"/>
      <color theme="0"/>
      <name val="Arial"/>
      <family val="2"/>
    </font>
    <font>
      <i/>
      <sz val="11"/>
      <color theme="6" tint="-0.249977111117893"/>
      <name val="Calibri"/>
      <family val="2"/>
      <scheme val="minor"/>
    </font>
    <font>
      <i/>
      <sz val="12"/>
      <color theme="6" tint="-0.249977111117893"/>
      <name val="Calibri"/>
      <family val="2"/>
      <scheme val="minor"/>
    </font>
    <font>
      <sz val="10"/>
      <color rgb="FF000000"/>
      <name val="Arial"/>
      <family val="2"/>
    </font>
    <font>
      <b/>
      <sz val="48"/>
      <name val="Arial"/>
      <family val="2"/>
    </font>
    <font>
      <sz val="9"/>
      <color rgb="FF000000"/>
      <name val="Arial"/>
      <family val="2"/>
    </font>
    <font>
      <b/>
      <sz val="12"/>
      <color theme="1"/>
      <name val="Arial"/>
      <family val="2"/>
    </font>
    <font>
      <b/>
      <sz val="10"/>
      <color theme="1"/>
      <name val="Arial"/>
      <family val="2"/>
    </font>
    <font>
      <sz val="9"/>
      <color rgb="FF00B050"/>
      <name val="Calibri"/>
      <family val="2"/>
      <scheme val="minor"/>
    </font>
    <font>
      <sz val="10"/>
      <color rgb="FF00B050"/>
      <name val="Calibri"/>
      <family val="2"/>
      <scheme val="minor"/>
    </font>
    <font>
      <b/>
      <sz val="10"/>
      <color rgb="FF00B050"/>
      <name val="Calibri"/>
      <family val="2"/>
      <scheme val="minor"/>
    </font>
    <font>
      <vertAlign val="superscript"/>
      <sz val="10"/>
      <color rgb="FF00B050"/>
      <name val="Calibri"/>
      <family val="2"/>
      <scheme val="minor"/>
    </font>
    <font>
      <sz val="10.5"/>
      <color rgb="FF00B050"/>
      <name val="Calibri"/>
      <family val="2"/>
      <scheme val="minor"/>
    </font>
    <font>
      <vertAlign val="subscript"/>
      <sz val="11"/>
      <color theme="1"/>
      <name val="Calibri"/>
      <family val="2"/>
      <scheme val="minor"/>
    </font>
    <font>
      <sz val="11"/>
      <color rgb="FF7030A0"/>
      <name val="Calibri"/>
      <family val="2"/>
      <scheme val="minor"/>
    </font>
    <font>
      <b/>
      <sz val="11"/>
      <name val="Century Gothic"/>
      <family val="2"/>
    </font>
    <font>
      <sz val="12"/>
      <color theme="1"/>
      <name val="Century Gothic"/>
      <family val="2"/>
    </font>
    <font>
      <sz val="12"/>
      <name val="Century Gothic"/>
      <family val="2"/>
    </font>
    <font>
      <i/>
      <sz val="12"/>
      <name val="Century Gothic"/>
      <family val="2"/>
    </font>
    <font>
      <sz val="11"/>
      <color theme="0" tint="-0.34998626667073579"/>
      <name val="Calibri"/>
      <family val="2"/>
      <scheme val="minor"/>
    </font>
    <font>
      <sz val="10"/>
      <color rgb="FF0070C0"/>
      <name val="Arial"/>
      <family val="2"/>
    </font>
    <font>
      <sz val="12"/>
      <color rgb="FF0070C0"/>
      <name val="Century Gothic"/>
      <family val="2"/>
    </font>
    <font>
      <i/>
      <sz val="12"/>
      <color rgb="FF0070C0"/>
      <name val="Century Gothic"/>
      <family val="2"/>
    </font>
    <font>
      <sz val="12"/>
      <name val="Arial"/>
      <family val="2"/>
    </font>
    <font>
      <sz val="12"/>
      <color rgb="FF0070C0"/>
      <name val="Arial"/>
      <family val="2"/>
    </font>
    <font>
      <sz val="16"/>
      <name val="Calibri"/>
      <family val="2"/>
      <scheme val="minor"/>
    </font>
    <font>
      <b/>
      <u/>
      <sz val="16"/>
      <name val="Calibri"/>
      <family val="2"/>
      <scheme val="minor"/>
    </font>
    <font>
      <sz val="12"/>
      <color theme="1"/>
      <name val="Calibri"/>
      <family val="2"/>
      <scheme val="minor"/>
    </font>
    <font>
      <sz val="12"/>
      <color theme="1"/>
      <name val="Arial"/>
      <family val="2"/>
    </font>
    <font>
      <sz val="11"/>
      <color theme="1"/>
      <name val="Arial"/>
      <family val="2"/>
    </font>
    <font>
      <b/>
      <sz val="11"/>
      <color theme="1"/>
      <name val="Arial"/>
      <family val="2"/>
    </font>
    <font>
      <sz val="10"/>
      <color rgb="FF00B050"/>
      <name val="Arial"/>
      <family val="2"/>
    </font>
    <font>
      <sz val="10"/>
      <color rgb="FF00B050"/>
      <name val="Wingdings 3"/>
      <family val="1"/>
      <charset val="2"/>
    </font>
    <font>
      <sz val="8"/>
      <color rgb="FF00B050"/>
      <name val="Arial"/>
      <family val="2"/>
    </font>
    <font>
      <b/>
      <sz val="12"/>
      <name val="Calibri"/>
      <family val="2"/>
      <scheme val="minor"/>
    </font>
    <font>
      <b/>
      <sz val="12"/>
      <color theme="1"/>
      <name val="Calibri"/>
      <family val="2"/>
      <scheme val="minor"/>
    </font>
    <font>
      <b/>
      <sz val="8"/>
      <color theme="1"/>
      <name val="Calibri"/>
      <family val="2"/>
      <scheme val="minor"/>
    </font>
    <font>
      <sz val="12"/>
      <color rgb="FF002060"/>
      <name val="Calibri"/>
      <family val="2"/>
      <scheme val="minor"/>
    </font>
    <font>
      <vertAlign val="superscript"/>
      <sz val="12"/>
      <color theme="1"/>
      <name val="Calibri"/>
      <family val="2"/>
      <scheme val="minor"/>
    </font>
    <font>
      <sz val="11"/>
      <color theme="0"/>
      <name val="Arial"/>
      <family val="2"/>
    </font>
    <font>
      <sz val="12"/>
      <color theme="0" tint="-0.34998626667073579"/>
      <name val="Calibri"/>
      <family val="2"/>
      <scheme val="minor"/>
    </font>
    <font>
      <b/>
      <sz val="26"/>
      <name val="Calibri"/>
      <family val="2"/>
      <scheme val="minor"/>
    </font>
    <font>
      <b/>
      <sz val="20"/>
      <name val="Arial"/>
      <family val="2"/>
    </font>
    <font>
      <sz val="8"/>
      <name val="Arial"/>
      <family val="2"/>
    </font>
    <font>
      <sz val="10"/>
      <color rgb="FFFFFF00"/>
      <name val="Calibri"/>
      <family val="2"/>
      <scheme val="minor"/>
    </font>
    <font>
      <sz val="16"/>
      <color indexed="81"/>
      <name val="Tahoma"/>
      <family val="2"/>
    </font>
    <font>
      <sz val="20"/>
      <color indexed="81"/>
      <name val="Tahoma"/>
      <family val="2"/>
    </font>
    <font>
      <sz val="10"/>
      <color theme="0" tint="-0.34998626667073579"/>
      <name val="Arial"/>
      <family val="2"/>
    </font>
    <font>
      <sz val="12"/>
      <color theme="0" tint="-0.34998626667073579"/>
      <name val="Century Gothic"/>
      <family val="2"/>
    </font>
    <font>
      <i/>
      <sz val="12"/>
      <color theme="0" tint="-0.34998626667073579"/>
      <name val="Century Gothic"/>
      <family val="2"/>
    </font>
    <font>
      <sz val="12"/>
      <color theme="0" tint="-0.34998626667073579"/>
      <name val="Arial"/>
      <family val="2"/>
    </font>
    <font>
      <b/>
      <sz val="8"/>
      <color rgb="FFFF0000"/>
      <name val="Arial"/>
      <family val="2"/>
    </font>
    <font>
      <b/>
      <u/>
      <sz val="11"/>
      <color theme="1"/>
      <name val="Calibri"/>
      <family val="2"/>
      <scheme val="minor"/>
    </font>
    <font>
      <b/>
      <strike/>
      <sz val="11"/>
      <color theme="1"/>
      <name val="Calibri"/>
      <family val="2"/>
      <scheme val="minor"/>
    </font>
    <font>
      <strike/>
      <sz val="10"/>
      <name val="Arial"/>
      <family val="2"/>
    </font>
    <font>
      <strike/>
      <sz val="10"/>
      <name val="Calibri"/>
      <family val="2"/>
      <scheme val="minor"/>
    </font>
    <font>
      <strike/>
      <sz val="11"/>
      <color theme="1"/>
      <name val="Calibri"/>
      <family val="2"/>
    </font>
    <font>
      <sz val="10"/>
      <color rgb="FF7030A0"/>
      <name val="Arial"/>
      <family val="2"/>
    </font>
    <font>
      <sz val="11"/>
      <color theme="0"/>
      <name val="Calibri"/>
      <family val="2"/>
      <scheme val="minor"/>
    </font>
    <font>
      <strike/>
      <sz val="18"/>
      <color theme="1"/>
      <name val="Calibri"/>
      <family val="2"/>
      <scheme val="minor"/>
    </font>
    <font>
      <u/>
      <sz val="11"/>
      <color theme="10"/>
      <name val="Calibri"/>
      <family val="2"/>
      <scheme val="minor"/>
    </font>
    <font>
      <strike/>
      <sz val="11"/>
      <color theme="1"/>
      <name val="Calibri"/>
      <family val="2"/>
      <scheme val="minor"/>
    </font>
    <font>
      <sz val="11"/>
      <color theme="1"/>
      <name val="Symbol"/>
      <family val="1"/>
      <charset val="2"/>
    </font>
    <font>
      <b/>
      <sz val="11"/>
      <color rgb="FFFF0000"/>
      <name val="Calibri"/>
      <family val="2"/>
      <scheme val="minor"/>
    </font>
    <font>
      <sz val="10"/>
      <name val="Arial"/>
      <family val="2"/>
    </font>
    <font>
      <sz val="12"/>
      <color theme="1"/>
      <name val="Tahoma"/>
      <family val="2"/>
    </font>
    <font>
      <sz val="14"/>
      <color theme="1"/>
      <name val="Calibri"/>
      <family val="2"/>
      <scheme val="minor"/>
    </font>
    <font>
      <sz val="10"/>
      <color theme="0" tint="-0.14999847407452621"/>
      <name val="Arial"/>
      <family val="2"/>
    </font>
    <font>
      <b/>
      <sz val="14"/>
      <name val="Arial"/>
      <family val="2"/>
    </font>
    <font>
      <sz val="8"/>
      <color theme="0"/>
      <name val="Arial"/>
      <family val="2"/>
    </font>
    <font>
      <b/>
      <sz val="8"/>
      <color theme="0"/>
      <name val="Arial"/>
      <family val="2"/>
    </font>
    <font>
      <b/>
      <sz val="26"/>
      <color theme="0"/>
      <name val="Calibri"/>
      <family val="2"/>
      <scheme val="minor"/>
    </font>
    <font>
      <b/>
      <sz val="16"/>
      <name val="Arial"/>
      <family val="2"/>
    </font>
    <font>
      <b/>
      <sz val="12"/>
      <color rgb="FF002060"/>
      <name val="Arial"/>
      <family val="2"/>
    </font>
    <font>
      <b/>
      <sz val="11"/>
      <color rgb="FF002060"/>
      <name val="Arial"/>
      <family val="2"/>
    </font>
    <font>
      <sz val="9"/>
      <color theme="1"/>
      <name val="Arial"/>
      <family val="2"/>
    </font>
  </fonts>
  <fills count="2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bgColor indexed="26"/>
      </patternFill>
    </fill>
    <fill>
      <patternFill patternType="solid">
        <fgColor rgb="FFFF00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3" tint="0.79998168889431442"/>
        <bgColor indexed="64"/>
      </patternFill>
    </fill>
    <fill>
      <patternFill patternType="solid">
        <fgColor theme="1" tint="0.49998474074526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rgb="FF00B05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00FF00"/>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rgb="FF002060"/>
        <bgColor indexed="64"/>
      </patternFill>
    </fill>
    <fill>
      <patternFill patternType="solid">
        <fgColor theme="8" tint="0.59999389629810485"/>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diagonal/>
    </border>
    <border>
      <left/>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top style="thin">
        <color indexed="64"/>
      </top>
      <bottom style="hair">
        <color indexed="64"/>
      </bottom>
      <diagonal/>
    </border>
    <border>
      <left style="medium">
        <color indexed="64"/>
      </left>
      <right style="medium">
        <color indexed="64"/>
      </right>
      <top/>
      <bottom/>
      <diagonal/>
    </border>
    <border>
      <left style="medium">
        <color indexed="64"/>
      </left>
      <right style="dotted">
        <color indexed="64"/>
      </right>
      <top style="dotted">
        <color indexed="64"/>
      </top>
      <bottom style="thin">
        <color indexed="64"/>
      </bottom>
      <diagonal/>
    </border>
  </borders>
  <cellStyleXfs count="45">
    <xf numFmtId="0" fontId="0" fillId="0" borderId="0"/>
    <xf numFmtId="0" fontId="38" fillId="0" borderId="0"/>
    <xf numFmtId="164" fontId="38" fillId="0" borderId="0" applyFont="0" applyFill="0" applyBorder="0" applyAlignment="0" applyProtection="0"/>
    <xf numFmtId="0" fontId="37" fillId="0" borderId="0"/>
    <xf numFmtId="0" fontId="31" fillId="0" borderId="0"/>
    <xf numFmtId="0" fontId="39" fillId="0" borderId="0"/>
    <xf numFmtId="0" fontId="31" fillId="0" borderId="0"/>
    <xf numFmtId="164" fontId="31" fillId="0" borderId="0" applyFont="0" applyFill="0" applyBorder="0" applyAlignment="0" applyProtection="0"/>
    <xf numFmtId="0" fontId="31" fillId="0" borderId="0"/>
    <xf numFmtId="0" fontId="20" fillId="0" borderId="0"/>
    <xf numFmtId="164" fontId="20" fillId="0" borderId="0" applyFont="0" applyFill="0" applyBorder="0" applyAlignment="0" applyProtection="0"/>
    <xf numFmtId="0" fontId="20" fillId="0" borderId="0"/>
    <xf numFmtId="0" fontId="19" fillId="0" borderId="0"/>
    <xf numFmtId="164" fontId="19" fillId="0" borderId="0" applyFont="0" applyFill="0" applyBorder="0" applyAlignment="0" applyProtection="0"/>
    <xf numFmtId="0" fontId="19" fillId="0" borderId="0"/>
    <xf numFmtId="0" fontId="19" fillId="0" borderId="0"/>
    <xf numFmtId="0" fontId="19" fillId="0" borderId="0"/>
    <xf numFmtId="164" fontId="19" fillId="0" borderId="0" applyFont="0" applyFill="0" applyBorder="0" applyAlignment="0" applyProtection="0"/>
    <xf numFmtId="0" fontId="19" fillId="0" borderId="0"/>
    <xf numFmtId="0" fontId="14" fillId="0" borderId="0"/>
    <xf numFmtId="0" fontId="10" fillId="0" borderId="0"/>
    <xf numFmtId="0" fontId="156" fillId="0" borderId="0" applyNumberFormat="0" applyFill="0" applyBorder="0" applyAlignment="0" applyProtection="0"/>
    <xf numFmtId="9" fontId="10" fillId="0" borderId="0" applyFont="0" applyFill="0" applyBorder="0" applyAlignment="0" applyProtection="0"/>
    <xf numFmtId="9" fontId="160" fillId="0" borderId="0" applyFont="0" applyFill="0" applyBorder="0" applyAlignment="0" applyProtection="0"/>
    <xf numFmtId="9" fontId="39"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cellStyleXfs>
  <cellXfs count="1751">
    <xf numFmtId="0" fontId="0" fillId="0" borderId="0" xfId="0"/>
    <xf numFmtId="0" fontId="39" fillId="0" borderId="0" xfId="0" applyFont="1"/>
    <xf numFmtId="0" fontId="51" fillId="2" borderId="0" xfId="0" applyFont="1" applyFill="1"/>
    <xf numFmtId="0" fontId="40" fillId="2" borderId="0" xfId="0" applyFont="1" applyFill="1"/>
    <xf numFmtId="0" fontId="40" fillId="2" borderId="0" xfId="0" applyFont="1" applyFill="1" applyAlignment="1">
      <alignment horizontal="left"/>
    </xf>
    <xf numFmtId="165" fontId="58" fillId="4" borderId="0" xfId="0" applyNumberFormat="1" applyFont="1" applyFill="1" applyAlignment="1">
      <alignment horizontal="right" vertical="center" wrapText="1"/>
    </xf>
    <xf numFmtId="171" fontId="46" fillId="4" borderId="0" xfId="0" applyNumberFormat="1" applyFont="1" applyFill="1" applyAlignment="1">
      <alignment horizontal="right" vertical="center" wrapText="1"/>
    </xf>
    <xf numFmtId="166" fontId="58" fillId="4" borderId="0" xfId="0" applyNumberFormat="1" applyFont="1" applyFill="1" applyAlignment="1">
      <alignment horizontal="left" vertical="center" wrapText="1"/>
    </xf>
    <xf numFmtId="165" fontId="58" fillId="4" borderId="0" xfId="0" applyNumberFormat="1" applyFont="1" applyFill="1" applyAlignment="1">
      <alignment horizontal="right" wrapText="1"/>
    </xf>
    <xf numFmtId="0" fontId="58" fillId="4" borderId="0" xfId="0" applyFont="1" applyFill="1" applyAlignment="1">
      <alignment horizontal="center" vertical="center" wrapText="1"/>
    </xf>
    <xf numFmtId="0" fontId="58" fillId="2" borderId="0" xfId="0" applyFont="1" applyFill="1" applyAlignment="1">
      <alignment vertical="center" wrapText="1"/>
    </xf>
    <xf numFmtId="0" fontId="58" fillId="2" borderId="0" xfId="0" applyFont="1" applyFill="1" applyAlignment="1">
      <alignment horizontal="right" wrapText="1"/>
    </xf>
    <xf numFmtId="165" fontId="58" fillId="4" borderId="0" xfId="0" applyNumberFormat="1" applyFont="1" applyFill="1" applyAlignment="1">
      <alignment horizontal="center" vertical="center" wrapText="1"/>
    </xf>
    <xf numFmtId="169" fontId="58" fillId="4" borderId="0" xfId="0" applyNumberFormat="1" applyFont="1" applyFill="1" applyAlignment="1">
      <alignment horizontal="center" vertical="center" wrapText="1"/>
    </xf>
    <xf numFmtId="0" fontId="36" fillId="2" borderId="0" xfId="1" applyFont="1" applyFill="1"/>
    <xf numFmtId="0" fontId="36" fillId="2" borderId="0" xfId="1" applyFont="1" applyFill="1" applyAlignment="1">
      <alignment horizontal="left"/>
    </xf>
    <xf numFmtId="0" fontId="52" fillId="2" borderId="0" xfId="1" applyFont="1" applyFill="1"/>
    <xf numFmtId="0" fontId="68" fillId="2" borderId="0" xfId="1" applyFont="1" applyFill="1"/>
    <xf numFmtId="0" fontId="36" fillId="2" borderId="0" xfId="1" applyFont="1" applyFill="1" applyAlignment="1">
      <alignment vertical="center"/>
    </xf>
    <xf numFmtId="0" fontId="0" fillId="6" borderId="29" xfId="0" applyFill="1" applyBorder="1"/>
    <xf numFmtId="0" fontId="0" fillId="6" borderId="20" xfId="0" applyFill="1" applyBorder="1"/>
    <xf numFmtId="0" fontId="69" fillId="6" borderId="20" xfId="0" applyFont="1" applyFill="1" applyBorder="1" applyAlignment="1">
      <alignment vertical="center"/>
    </xf>
    <xf numFmtId="0" fontId="0" fillId="6" borderId="35" xfId="0" applyFill="1" applyBorder="1"/>
    <xf numFmtId="0" fontId="0" fillId="6" borderId="30" xfId="0" applyFill="1" applyBorder="1"/>
    <xf numFmtId="0" fontId="70" fillId="6" borderId="1" xfId="0" applyFont="1" applyFill="1" applyBorder="1"/>
    <xf numFmtId="0" fontId="0" fillId="7" borderId="1" xfId="0" applyFill="1" applyBorder="1"/>
    <xf numFmtId="0" fontId="71" fillId="6" borderId="31" xfId="0" applyFont="1" applyFill="1" applyBorder="1"/>
    <xf numFmtId="0" fontId="0" fillId="6" borderId="1" xfId="0" applyFill="1" applyBorder="1"/>
    <xf numFmtId="0" fontId="0" fillId="6" borderId="31" xfId="0" applyFill="1" applyBorder="1"/>
    <xf numFmtId="0" fontId="70" fillId="0" borderId="0" xfId="0" applyFont="1"/>
    <xf numFmtId="0" fontId="0" fillId="6" borderId="41" xfId="0" applyFill="1" applyBorder="1"/>
    <xf numFmtId="0" fontId="0" fillId="6" borderId="32" xfId="0" applyFill="1" applyBorder="1"/>
    <xf numFmtId="0" fontId="0" fillId="6" borderId="33" xfId="0" applyFill="1" applyBorder="1"/>
    <xf numFmtId="0" fontId="0" fillId="6" borderId="37" xfId="0" applyFill="1" applyBorder="1"/>
    <xf numFmtId="168" fontId="72" fillId="7" borderId="33" xfId="0" applyNumberFormat="1" applyFont="1" applyFill="1" applyBorder="1"/>
    <xf numFmtId="0" fontId="55" fillId="6" borderId="38" xfId="0" applyFont="1" applyFill="1" applyBorder="1"/>
    <xf numFmtId="0" fontId="55" fillId="0" borderId="0" xfId="0" applyFont="1"/>
    <xf numFmtId="11" fontId="0" fillId="0" borderId="0" xfId="0" applyNumberFormat="1"/>
    <xf numFmtId="0" fontId="0" fillId="6" borderId="44" xfId="0" applyFill="1" applyBorder="1"/>
    <xf numFmtId="0" fontId="74" fillId="0" borderId="0" xfId="0" applyFont="1"/>
    <xf numFmtId="0" fontId="55" fillId="6" borderId="26" xfId="0" applyFont="1" applyFill="1" applyBorder="1"/>
    <xf numFmtId="0" fontId="0" fillId="6" borderId="34" xfId="0" applyFill="1" applyBorder="1"/>
    <xf numFmtId="0" fontId="57" fillId="6" borderId="20" xfId="0" applyFont="1" applyFill="1" applyBorder="1"/>
    <xf numFmtId="0" fontId="39" fillId="7" borderId="10" xfId="0" applyFont="1" applyFill="1" applyBorder="1" applyAlignment="1">
      <alignment horizontal="center"/>
    </xf>
    <xf numFmtId="0" fontId="39" fillId="7" borderId="45" xfId="0" applyFont="1" applyFill="1" applyBorder="1" applyAlignment="1">
      <alignment horizontal="center"/>
    </xf>
    <xf numFmtId="0" fontId="0" fillId="6" borderId="46" xfId="0" applyFill="1" applyBorder="1"/>
    <xf numFmtId="0" fontId="0" fillId="6" borderId="45" xfId="0" applyFill="1" applyBorder="1"/>
    <xf numFmtId="0" fontId="39" fillId="7" borderId="1" xfId="0" applyFont="1" applyFill="1" applyBorder="1" applyAlignment="1">
      <alignment horizontal="center"/>
    </xf>
    <xf numFmtId="0" fontId="39" fillId="6" borderId="30" xfId="0" applyFont="1" applyFill="1" applyBorder="1"/>
    <xf numFmtId="173" fontId="72" fillId="7" borderId="33" xfId="0" applyNumberFormat="1" applyFont="1" applyFill="1" applyBorder="1"/>
    <xf numFmtId="168" fontId="0" fillId="0" borderId="0" xfId="0" applyNumberFormat="1"/>
    <xf numFmtId="173" fontId="0" fillId="0" borderId="0" xfId="0" applyNumberFormat="1"/>
    <xf numFmtId="3" fontId="0" fillId="0" borderId="0" xfId="0" applyNumberFormat="1"/>
    <xf numFmtId="174" fontId="0" fillId="0" borderId="0" xfId="0" applyNumberFormat="1"/>
    <xf numFmtId="0" fontId="0" fillId="3" borderId="0" xfId="0" applyFill="1"/>
    <xf numFmtId="1" fontId="0" fillId="0" borderId="0" xfId="0" applyNumberFormat="1"/>
    <xf numFmtId="0" fontId="0" fillId="0" borderId="1" xfId="0" applyBorder="1"/>
    <xf numFmtId="165" fontId="0" fillId="0" borderId="0" xfId="0" applyNumberFormat="1"/>
    <xf numFmtId="0" fontId="55" fillId="0" borderId="0" xfId="0" applyFont="1" applyAlignment="1">
      <alignment wrapText="1"/>
    </xf>
    <xf numFmtId="0" fontId="0" fillId="0" borderId="47" xfId="0" applyBorder="1"/>
    <xf numFmtId="0" fontId="0" fillId="0" borderId="45" xfId="0" applyBorder="1"/>
    <xf numFmtId="0" fontId="57" fillId="9" borderId="20" xfId="0" applyFont="1" applyFill="1" applyBorder="1"/>
    <xf numFmtId="0" fontId="69" fillId="9" borderId="20" xfId="0" applyFont="1" applyFill="1" applyBorder="1" applyAlignment="1">
      <alignment vertical="center"/>
    </xf>
    <xf numFmtId="0" fontId="0" fillId="9" borderId="20" xfId="0" applyFill="1" applyBorder="1"/>
    <xf numFmtId="0" fontId="0" fillId="9" borderId="30" xfId="0" applyFill="1" applyBorder="1"/>
    <xf numFmtId="0" fontId="39" fillId="9" borderId="46" xfId="0" applyFont="1" applyFill="1" applyBorder="1"/>
    <xf numFmtId="0" fontId="0" fillId="9" borderId="46" xfId="0" applyFill="1" applyBorder="1"/>
    <xf numFmtId="0" fontId="39" fillId="9" borderId="10" xfId="0" applyFont="1" applyFill="1" applyBorder="1" applyAlignment="1">
      <alignment horizontal="center"/>
    </xf>
    <xf numFmtId="0" fontId="39" fillId="9" borderId="45" xfId="0" applyFont="1" applyFill="1" applyBorder="1" applyAlignment="1">
      <alignment horizontal="center"/>
    </xf>
    <xf numFmtId="0" fontId="39" fillId="9" borderId="1" xfId="0" applyFont="1" applyFill="1" applyBorder="1" applyAlignment="1">
      <alignment horizontal="center"/>
    </xf>
    <xf numFmtId="0" fontId="39" fillId="9" borderId="41" xfId="0" applyFont="1" applyFill="1" applyBorder="1" applyAlignment="1">
      <alignment horizontal="center"/>
    </xf>
    <xf numFmtId="0" fontId="71" fillId="9" borderId="31" xfId="0" applyFont="1" applyFill="1" applyBorder="1"/>
    <xf numFmtId="0" fontId="0" fillId="9" borderId="31" xfId="0" applyFill="1" applyBorder="1"/>
    <xf numFmtId="0" fontId="0" fillId="9" borderId="44" xfId="0" applyFill="1" applyBorder="1"/>
    <xf numFmtId="0" fontId="0" fillId="9" borderId="34" xfId="0" applyFill="1" applyBorder="1"/>
    <xf numFmtId="169" fontId="72" fillId="5" borderId="38" xfId="0" applyNumberFormat="1" applyFont="1" applyFill="1" applyBorder="1"/>
    <xf numFmtId="165" fontId="0" fillId="0" borderId="30" xfId="0" applyNumberFormat="1" applyBorder="1" applyAlignment="1">
      <alignment horizontal="center" vertical="center"/>
    </xf>
    <xf numFmtId="169" fontId="0" fillId="0" borderId="31" xfId="0" applyNumberFormat="1" applyBorder="1" applyAlignment="1">
      <alignment horizontal="center" vertical="center"/>
    </xf>
    <xf numFmtId="169" fontId="0" fillId="0" borderId="34" xfId="0" applyNumberFormat="1" applyBorder="1" applyAlignment="1">
      <alignment horizontal="center" vertical="center"/>
    </xf>
    <xf numFmtId="165" fontId="0" fillId="0" borderId="48" xfId="0" applyNumberFormat="1" applyBorder="1" applyAlignment="1">
      <alignment horizontal="center" vertical="center"/>
    </xf>
    <xf numFmtId="169" fontId="0" fillId="0" borderId="49" xfId="0" applyNumberFormat="1" applyBorder="1" applyAlignment="1">
      <alignment horizontal="center" vertical="center"/>
    </xf>
    <xf numFmtId="0" fontId="39" fillId="9" borderId="42" xfId="0" applyFont="1" applyFill="1" applyBorder="1" applyAlignment="1">
      <alignment horizontal="center" vertical="center" wrapText="1"/>
    </xf>
    <xf numFmtId="0" fontId="39" fillId="9" borderId="43" xfId="0" applyFont="1" applyFill="1" applyBorder="1" applyAlignment="1">
      <alignment horizontal="center" vertical="center"/>
    </xf>
    <xf numFmtId="0" fontId="39" fillId="6" borderId="29" xfId="0" applyFont="1" applyFill="1" applyBorder="1" applyAlignment="1">
      <alignment horizontal="center" vertical="center"/>
    </xf>
    <xf numFmtId="0" fontId="50" fillId="6" borderId="19" xfId="0" applyFont="1" applyFill="1" applyBorder="1" applyAlignment="1">
      <alignment horizontal="center" vertical="center"/>
    </xf>
    <xf numFmtId="0" fontId="41" fillId="6" borderId="1" xfId="0" applyFont="1" applyFill="1" applyBorder="1" applyAlignment="1">
      <alignment horizontal="center" vertical="center"/>
    </xf>
    <xf numFmtId="0" fontId="82" fillId="6" borderId="20" xfId="0" applyFont="1" applyFill="1" applyBorder="1" applyAlignment="1">
      <alignment horizontal="center" vertical="center"/>
    </xf>
    <xf numFmtId="0" fontId="41" fillId="6" borderId="20" xfId="0" applyFont="1" applyFill="1" applyBorder="1" applyAlignment="1">
      <alignment horizontal="center" vertical="center" wrapText="1"/>
    </xf>
    <xf numFmtId="0" fontId="39" fillId="6" borderId="1" xfId="0" applyFont="1" applyFill="1" applyBorder="1"/>
    <xf numFmtId="0" fontId="81" fillId="0" borderId="1" xfId="0" applyFont="1" applyBorder="1"/>
    <xf numFmtId="0" fontId="39" fillId="0" borderId="1" xfId="0" applyFont="1" applyBorder="1"/>
    <xf numFmtId="0" fontId="39" fillId="6" borderId="37" xfId="0" applyFont="1" applyFill="1" applyBorder="1"/>
    <xf numFmtId="170" fontId="0" fillId="7" borderId="4" xfId="0" applyNumberFormat="1" applyFill="1" applyBorder="1"/>
    <xf numFmtId="173" fontId="0" fillId="7" borderId="4" xfId="0" applyNumberFormat="1" applyFill="1" applyBorder="1"/>
    <xf numFmtId="172" fontId="72" fillId="7" borderId="33" xfId="0" applyNumberFormat="1" applyFont="1" applyFill="1" applyBorder="1"/>
    <xf numFmtId="165" fontId="0" fillId="7" borderId="1" xfId="0" applyNumberFormat="1" applyFill="1" applyBorder="1"/>
    <xf numFmtId="0" fontId="55" fillId="3" borderId="0" xfId="0" applyFont="1" applyFill="1"/>
    <xf numFmtId="0" fontId="55" fillId="3" borderId="0" xfId="0" applyFont="1" applyFill="1" applyAlignment="1">
      <alignment wrapText="1"/>
    </xf>
    <xf numFmtId="0" fontId="39" fillId="0" borderId="15" xfId="0" applyFont="1" applyBorder="1" applyAlignment="1">
      <alignment horizontal="center" vertical="center"/>
    </xf>
    <xf numFmtId="0" fontId="0" fillId="0" borderId="15" xfId="0" applyBorder="1" applyAlignment="1">
      <alignment horizontal="center" vertical="center"/>
    </xf>
    <xf numFmtId="0" fontId="39" fillId="0" borderId="0" xfId="0" applyFont="1" applyAlignment="1">
      <alignment horizontal="right"/>
    </xf>
    <xf numFmtId="0" fontId="0" fillId="0" borderId="0" xfId="0" applyAlignment="1">
      <alignment horizontal="center"/>
    </xf>
    <xf numFmtId="0" fontId="39" fillId="0" borderId="0" xfId="0" applyFont="1" applyAlignment="1">
      <alignment horizontal="center"/>
    </xf>
    <xf numFmtId="0" fontId="0" fillId="0" borderId="0" xfId="0" applyAlignment="1">
      <alignment horizontal="center" vertical="center"/>
    </xf>
    <xf numFmtId="0" fontId="39" fillId="0" borderId="0" xfId="0" applyFont="1" applyAlignment="1">
      <alignment horizontal="center" vertical="center"/>
    </xf>
    <xf numFmtId="2" fontId="44" fillId="2" borderId="4" xfId="0" applyNumberFormat="1" applyFont="1" applyFill="1" applyBorder="1" applyAlignment="1" applyProtection="1">
      <alignment vertical="center" wrapText="1"/>
      <protection locked="0"/>
    </xf>
    <xf numFmtId="2" fontId="44" fillId="2" borderId="10" xfId="0" applyNumberFormat="1" applyFont="1" applyFill="1" applyBorder="1" applyAlignment="1" applyProtection="1">
      <alignment vertical="center" wrapText="1"/>
      <protection locked="0"/>
    </xf>
    <xf numFmtId="165" fontId="44" fillId="2" borderId="4" xfId="0" applyNumberFormat="1" applyFont="1" applyFill="1" applyBorder="1" applyAlignment="1">
      <alignment vertical="center"/>
    </xf>
    <xf numFmtId="165" fontId="44" fillId="2" borderId="10" xfId="0" applyNumberFormat="1" applyFont="1" applyFill="1" applyBorder="1" applyAlignment="1">
      <alignment vertical="center"/>
    </xf>
    <xf numFmtId="2" fontId="44" fillId="2" borderId="4" xfId="0" applyNumberFormat="1" applyFont="1" applyFill="1" applyBorder="1" applyAlignment="1" applyProtection="1">
      <alignment vertical="center"/>
      <protection locked="0"/>
    </xf>
    <xf numFmtId="2" fontId="44" fillId="2" borderId="10" xfId="0" applyNumberFormat="1" applyFont="1" applyFill="1" applyBorder="1" applyAlignment="1" applyProtection="1">
      <alignment vertical="center"/>
      <protection locked="0"/>
    </xf>
    <xf numFmtId="2" fontId="40" fillId="2" borderId="4" xfId="0" applyNumberFormat="1" applyFont="1" applyFill="1" applyBorder="1" applyProtection="1">
      <protection locked="0"/>
    </xf>
    <xf numFmtId="0" fontId="40" fillId="2" borderId="10" xfId="0" applyFont="1" applyFill="1" applyBorder="1" applyProtection="1">
      <protection locked="0"/>
    </xf>
    <xf numFmtId="0" fontId="40" fillId="2" borderId="4" xfId="0" applyFont="1" applyFill="1" applyBorder="1" applyProtection="1">
      <protection locked="0"/>
    </xf>
    <xf numFmtId="11" fontId="39" fillId="0" borderId="0" xfId="0" applyNumberFormat="1" applyFont="1"/>
    <xf numFmtId="171" fontId="88" fillId="0" borderId="0" xfId="0" applyNumberFormat="1" applyFont="1"/>
    <xf numFmtId="0" fontId="88" fillId="0" borderId="0" xfId="0" applyFont="1"/>
    <xf numFmtId="171" fontId="88" fillId="0" borderId="16" xfId="0" applyNumberFormat="1" applyFont="1" applyBorder="1"/>
    <xf numFmtId="175" fontId="88" fillId="0" borderId="0" xfId="0" applyNumberFormat="1" applyFont="1"/>
    <xf numFmtId="0" fontId="40" fillId="2" borderId="0" xfId="0" applyFont="1" applyFill="1" applyAlignment="1">
      <alignment vertical="center"/>
    </xf>
    <xf numFmtId="171" fontId="0" fillId="0" borderId="0" xfId="0" applyNumberFormat="1"/>
    <xf numFmtId="175" fontId="0" fillId="0" borderId="0" xfId="0" applyNumberFormat="1"/>
    <xf numFmtId="171" fontId="0" fillId="0" borderId="16" xfId="0" applyNumberFormat="1" applyBorder="1"/>
    <xf numFmtId="0" fontId="0" fillId="0" borderId="16" xfId="0" applyBorder="1"/>
    <xf numFmtId="165" fontId="39" fillId="0" borderId="0" xfId="0" applyNumberFormat="1" applyFont="1"/>
    <xf numFmtId="171" fontId="39" fillId="0" borderId="0" xfId="0" applyNumberFormat="1" applyFont="1"/>
    <xf numFmtId="175" fontId="39" fillId="0" borderId="0" xfId="0" applyNumberFormat="1" applyFont="1"/>
    <xf numFmtId="2" fontId="0" fillId="0" borderId="0" xfId="0" applyNumberFormat="1"/>
    <xf numFmtId="0" fontId="0" fillId="2" borderId="0" xfId="0" applyFill="1"/>
    <xf numFmtId="0" fontId="77" fillId="0" borderId="0" xfId="0" applyFont="1" applyAlignment="1">
      <alignment wrapText="1"/>
    </xf>
    <xf numFmtId="0" fontId="78" fillId="0" borderId="0" xfId="0" applyFont="1" applyAlignment="1">
      <alignment horizontal="center" wrapText="1"/>
    </xf>
    <xf numFmtId="1" fontId="80" fillId="0" borderId="0" xfId="0" applyNumberFormat="1" applyFont="1" applyAlignment="1">
      <alignment horizontal="center" vertical="center" wrapText="1"/>
    </xf>
    <xf numFmtId="0" fontId="40" fillId="2" borderId="6" xfId="0" applyFont="1" applyFill="1" applyBorder="1"/>
    <xf numFmtId="0" fontId="40" fillId="2" borderId="0" xfId="0" applyFont="1" applyFill="1" applyAlignment="1">
      <alignment horizontal="center" vertical="center"/>
    </xf>
    <xf numFmtId="0" fontId="48" fillId="2" borderId="0" xfId="0" applyFont="1" applyFill="1"/>
    <xf numFmtId="0" fontId="48" fillId="2" borderId="0" xfId="0" applyFont="1" applyFill="1" applyAlignment="1">
      <alignment vertical="center"/>
    </xf>
    <xf numFmtId="0" fontId="40" fillId="2" borderId="0" xfId="0" applyFont="1" applyFill="1" applyAlignment="1">
      <alignment wrapText="1"/>
    </xf>
    <xf numFmtId="2" fontId="40" fillId="2" borderId="0" xfId="0" applyNumberFormat="1" applyFont="1" applyFill="1" applyAlignment="1">
      <alignment horizontal="center"/>
    </xf>
    <xf numFmtId="169" fontId="40" fillId="2" borderId="0" xfId="0" applyNumberFormat="1" applyFont="1" applyFill="1" applyAlignment="1">
      <alignment horizontal="center"/>
    </xf>
    <xf numFmtId="0" fontId="44" fillId="2" borderId="0" xfId="0" applyFont="1" applyFill="1" applyAlignment="1">
      <alignment horizontal="left" vertical="center" wrapText="1"/>
    </xf>
    <xf numFmtId="0" fontId="45" fillId="2" borderId="0" xfId="0" applyFont="1" applyFill="1" applyAlignment="1">
      <alignment horizontal="left" vertical="center" wrapText="1"/>
    </xf>
    <xf numFmtId="0" fontId="53" fillId="2" borderId="0" xfId="0" applyFont="1" applyFill="1"/>
    <xf numFmtId="0" fontId="41" fillId="2" borderId="0" xfId="0" applyFont="1" applyFill="1" applyAlignment="1">
      <alignment horizontal="left" wrapText="1"/>
    </xf>
    <xf numFmtId="0" fontId="75" fillId="2" borderId="0" xfId="0" applyFont="1" applyFill="1"/>
    <xf numFmtId="0" fontId="35" fillId="2" borderId="0" xfId="1" applyFont="1" applyFill="1"/>
    <xf numFmtId="0" fontId="35" fillId="2" borderId="0" xfId="1" applyFont="1" applyFill="1" applyAlignment="1">
      <alignment horizontal="left"/>
    </xf>
    <xf numFmtId="0" fontId="40" fillId="2" borderId="3" xfId="0" applyFont="1" applyFill="1" applyBorder="1" applyProtection="1">
      <protection locked="0"/>
    </xf>
    <xf numFmtId="0" fontId="44" fillId="2" borderId="17" xfId="0" applyFont="1" applyFill="1" applyBorder="1" applyAlignment="1" applyProtection="1">
      <alignment horizontal="left" vertical="center" wrapText="1"/>
      <protection locked="0"/>
    </xf>
    <xf numFmtId="0" fontId="44" fillId="2" borderId="3" xfId="0" applyFont="1" applyFill="1" applyBorder="1" applyAlignment="1" applyProtection="1">
      <alignment horizontal="left" vertical="center" wrapText="1"/>
      <protection locked="0"/>
    </xf>
    <xf numFmtId="0" fontId="45" fillId="2" borderId="3" xfId="0" applyFont="1" applyFill="1" applyBorder="1" applyAlignment="1" applyProtection="1">
      <alignment horizontal="left" vertical="center" wrapText="1"/>
      <protection locked="0"/>
    </xf>
    <xf numFmtId="0" fontId="45" fillId="2" borderId="11" xfId="0" applyFont="1" applyFill="1" applyBorder="1" applyAlignment="1" applyProtection="1">
      <alignment horizontal="left" vertical="center" wrapText="1"/>
      <protection locked="0"/>
    </xf>
    <xf numFmtId="0" fontId="40" fillId="0" borderId="0" xfId="0" applyFont="1"/>
    <xf numFmtId="0" fontId="0" fillId="0" borderId="0" xfId="0" applyProtection="1">
      <protection locked="0"/>
    </xf>
    <xf numFmtId="0" fontId="0" fillId="0" borderId="0" xfId="0" applyAlignment="1">
      <alignment horizontal="left"/>
    </xf>
    <xf numFmtId="0" fontId="0" fillId="0" borderId="0" xfId="0" applyAlignment="1">
      <alignment vertical="center"/>
    </xf>
    <xf numFmtId="0" fontId="96" fillId="0" borderId="0" xfId="0" applyFont="1"/>
    <xf numFmtId="0" fontId="77" fillId="10" borderId="2" xfId="0" applyFont="1" applyFill="1" applyBorder="1"/>
    <xf numFmtId="0" fontId="78" fillId="11" borderId="1" xfId="0" applyFont="1" applyFill="1" applyBorder="1" applyAlignment="1">
      <alignment horizontal="center" vertical="center"/>
    </xf>
    <xf numFmtId="0" fontId="0" fillId="10" borderId="1" xfId="0" applyFill="1" applyBorder="1"/>
    <xf numFmtId="168" fontId="0" fillId="0" borderId="1" xfId="0" applyNumberFormat="1" applyBorder="1" applyAlignment="1">
      <alignment horizontal="right"/>
    </xf>
    <xf numFmtId="176" fontId="0" fillId="0" borderId="1" xfId="0" applyNumberFormat="1" applyBorder="1" applyAlignment="1">
      <alignment horizontal="right"/>
    </xf>
    <xf numFmtId="0" fontId="0" fillId="12" borderId="1" xfId="0" applyFill="1" applyBorder="1"/>
    <xf numFmtId="0" fontId="39" fillId="12" borderId="1" xfId="0" applyFont="1" applyFill="1" applyBorder="1" applyAlignment="1">
      <alignment horizontal="center" vertical="center"/>
    </xf>
    <xf numFmtId="0" fontId="0" fillId="12" borderId="1" xfId="0" applyFill="1" applyBorder="1" applyAlignment="1">
      <alignment horizontal="center"/>
    </xf>
    <xf numFmtId="168" fontId="0" fillId="0" borderId="1" xfId="0" applyNumberFormat="1" applyBorder="1"/>
    <xf numFmtId="0" fontId="39" fillId="12" borderId="1" xfId="0" applyFont="1" applyFill="1" applyBorder="1"/>
    <xf numFmtId="0" fontId="78" fillId="12" borderId="1" xfId="0" applyFont="1" applyFill="1" applyBorder="1" applyAlignment="1">
      <alignment horizontal="center" vertical="center" wrapText="1"/>
    </xf>
    <xf numFmtId="0" fontId="78" fillId="12" borderId="1" xfId="0" applyFont="1" applyFill="1" applyBorder="1" applyAlignment="1">
      <alignment horizontal="center" vertical="center"/>
    </xf>
    <xf numFmtId="0" fontId="79" fillId="12" borderId="1" xfId="0" applyFont="1" applyFill="1" applyBorder="1" applyAlignment="1">
      <alignment horizontal="center" wrapText="1"/>
    </xf>
    <xf numFmtId="0" fontId="79" fillId="12" borderId="1" xfId="0" applyFont="1" applyFill="1" applyBorder="1" applyAlignment="1">
      <alignment horizontal="center" vertical="center"/>
    </xf>
    <xf numFmtId="0" fontId="0" fillId="11" borderId="1" xfId="0" applyFill="1" applyBorder="1"/>
    <xf numFmtId="165" fontId="80" fillId="0" borderId="0" xfId="0" applyNumberFormat="1" applyFont="1" applyAlignment="1">
      <alignment horizontal="center" vertical="center" wrapText="1"/>
    </xf>
    <xf numFmtId="165" fontId="40" fillId="0" borderId="0" xfId="0" applyNumberFormat="1" applyFont="1" applyAlignment="1">
      <alignment horizontal="center"/>
    </xf>
    <xf numFmtId="2" fontId="80" fillId="0" borderId="0" xfId="0" applyNumberFormat="1" applyFont="1" applyAlignment="1">
      <alignment horizontal="center" vertical="center" wrapText="1"/>
    </xf>
    <xf numFmtId="49" fontId="80" fillId="0" borderId="0" xfId="0" applyNumberFormat="1" applyFont="1" applyAlignment="1">
      <alignment horizontal="center" vertical="center" wrapText="1"/>
    </xf>
    <xf numFmtId="0" fontId="39" fillId="11" borderId="1" xfId="0" applyFont="1" applyFill="1" applyBorder="1"/>
    <xf numFmtId="0" fontId="40" fillId="2" borderId="47" xfId="0" applyFont="1" applyFill="1" applyBorder="1"/>
    <xf numFmtId="0" fontId="40" fillId="2" borderId="0" xfId="0" applyFont="1" applyFill="1" applyAlignment="1">
      <alignment horizontal="center"/>
    </xf>
    <xf numFmtId="0" fontId="40" fillId="2" borderId="1" xfId="0" applyFont="1" applyFill="1" applyBorder="1"/>
    <xf numFmtId="0" fontId="49" fillId="2" borderId="0" xfId="0" applyFont="1" applyFill="1"/>
    <xf numFmtId="0" fontId="41" fillId="2" borderId="0" xfId="0" applyFont="1" applyFill="1" applyProtection="1">
      <protection locked="0"/>
    </xf>
    <xf numFmtId="0" fontId="43" fillId="11" borderId="41" xfId="0" applyFont="1" applyFill="1" applyBorder="1" applyAlignment="1">
      <alignment horizontal="center" vertical="center"/>
    </xf>
    <xf numFmtId="0" fontId="40" fillId="11" borderId="41" xfId="0" applyFont="1" applyFill="1" applyBorder="1" applyAlignment="1">
      <alignment horizontal="center" vertical="center"/>
    </xf>
    <xf numFmtId="0" fontId="50" fillId="10" borderId="0" xfId="0" applyFont="1" applyFill="1"/>
    <xf numFmtId="0" fontId="51" fillId="10" borderId="0" xfId="0" applyFont="1" applyFill="1"/>
    <xf numFmtId="0" fontId="52" fillId="11" borderId="0" xfId="0" applyFont="1" applyFill="1"/>
    <xf numFmtId="0" fontId="51" fillId="11" borderId="0" xfId="0" applyFont="1" applyFill="1"/>
    <xf numFmtId="0" fontId="40" fillId="11" borderId="1" xfId="0" applyFont="1" applyFill="1" applyBorder="1"/>
    <xf numFmtId="0" fontId="95" fillId="2" borderId="0" xfId="0" applyFont="1" applyFill="1" applyAlignment="1">
      <alignment vertical="center"/>
    </xf>
    <xf numFmtId="0" fontId="55" fillId="11" borderId="20" xfId="0" applyFont="1" applyFill="1" applyBorder="1" applyAlignment="1">
      <alignment horizontal="center" vertical="center" wrapText="1"/>
    </xf>
    <xf numFmtId="0" fontId="39" fillId="11" borderId="1" xfId="0" applyFont="1" applyFill="1" applyBorder="1" applyAlignment="1">
      <alignment wrapText="1"/>
    </xf>
    <xf numFmtId="0" fontId="39" fillId="11" borderId="1" xfId="0" applyFont="1" applyFill="1" applyBorder="1" applyAlignment="1">
      <alignment horizontal="center" vertical="center"/>
    </xf>
    <xf numFmtId="0" fontId="40" fillId="2" borderId="9" xfId="0" applyFont="1" applyFill="1" applyBorder="1" applyAlignment="1">
      <alignment horizontal="center"/>
    </xf>
    <xf numFmtId="168" fontId="40" fillId="2" borderId="0" xfId="0" applyNumberFormat="1" applyFont="1" applyFill="1" applyAlignment="1">
      <alignment horizontal="center"/>
    </xf>
    <xf numFmtId="0" fontId="40" fillId="2" borderId="4" xfId="0" applyFont="1" applyFill="1" applyBorder="1" applyAlignment="1" applyProtection="1">
      <alignment horizontal="center" wrapText="1"/>
      <protection locked="0"/>
    </xf>
    <xf numFmtId="0" fontId="40" fillId="2" borderId="10" xfId="0" applyFont="1" applyFill="1" applyBorder="1" applyAlignment="1" applyProtection="1">
      <alignment horizontal="center" wrapText="1"/>
      <protection locked="0"/>
    </xf>
    <xf numFmtId="0" fontId="44" fillId="2" borderId="4" xfId="0" applyFont="1" applyFill="1" applyBorder="1" applyAlignment="1" applyProtection="1">
      <alignment horizontal="center" vertical="center" wrapText="1"/>
      <protection locked="0"/>
    </xf>
    <xf numFmtId="0" fontId="44" fillId="2" borderId="10" xfId="0" applyFont="1" applyFill="1" applyBorder="1" applyAlignment="1" applyProtection="1">
      <alignment horizontal="center" vertical="center" wrapText="1"/>
      <protection locked="0"/>
    </xf>
    <xf numFmtId="0" fontId="44" fillId="2" borderId="4" xfId="0" applyFont="1" applyFill="1" applyBorder="1" applyAlignment="1">
      <alignment horizontal="center" vertical="center" wrapText="1"/>
    </xf>
    <xf numFmtId="0" fontId="44" fillId="2" borderId="10" xfId="0" applyFont="1" applyFill="1" applyBorder="1" applyAlignment="1">
      <alignment horizontal="center" vertical="center" wrapText="1"/>
    </xf>
    <xf numFmtId="0" fontId="39" fillId="11" borderId="1" xfId="0" applyFont="1" applyFill="1" applyBorder="1" applyAlignment="1">
      <alignment horizontal="center" vertical="center" wrapText="1"/>
    </xf>
    <xf numFmtId="0" fontId="0" fillId="0" borderId="1" xfId="0" applyBorder="1" applyAlignment="1">
      <alignment vertical="center"/>
    </xf>
    <xf numFmtId="0" fontId="39" fillId="10" borderId="0" xfId="0" applyFont="1" applyFill="1" applyAlignment="1">
      <alignment horizontal="center" vertical="center"/>
    </xf>
    <xf numFmtId="0" fontId="39" fillId="10" borderId="0" xfId="0" applyFont="1" applyFill="1" applyAlignment="1">
      <alignment horizontal="center" vertical="center" wrapText="1"/>
    </xf>
    <xf numFmtId="0" fontId="39" fillId="10" borderId="0" xfId="0" applyFont="1" applyFill="1" applyAlignment="1">
      <alignment vertical="center" wrapText="1"/>
    </xf>
    <xf numFmtId="0" fontId="0" fillId="10" borderId="12" xfId="0" applyFill="1" applyBorder="1" applyAlignment="1">
      <alignment horizontal="center" vertical="center"/>
    </xf>
    <xf numFmtId="0" fontId="0" fillId="10" borderId="13" xfId="0" applyFill="1" applyBorder="1"/>
    <xf numFmtId="0" fontId="0" fillId="10" borderId="14" xfId="0" applyFill="1" applyBorder="1"/>
    <xf numFmtId="0" fontId="0" fillId="11" borderId="15" xfId="0" applyFill="1" applyBorder="1" applyAlignment="1">
      <alignment horizontal="center" vertical="center"/>
    </xf>
    <xf numFmtId="0" fontId="0" fillId="11" borderId="0" xfId="0" applyFill="1"/>
    <xf numFmtId="0" fontId="0" fillId="11" borderId="16" xfId="0" applyFill="1" applyBorder="1"/>
    <xf numFmtId="0" fontId="39" fillId="11" borderId="0" xfId="0" applyFont="1" applyFill="1" applyAlignment="1">
      <alignment horizontal="right"/>
    </xf>
    <xf numFmtId="0" fontId="0" fillId="11" borderId="0" xfId="0" applyFill="1" applyAlignment="1">
      <alignment horizontal="center"/>
    </xf>
    <xf numFmtId="0" fontId="39" fillId="11" borderId="0" xfId="0" applyFont="1" applyFill="1" applyAlignment="1">
      <alignment horizontal="center"/>
    </xf>
    <xf numFmtId="11" fontId="0" fillId="11" borderId="0" xfId="0" applyNumberFormat="1" applyFill="1"/>
    <xf numFmtId="0" fontId="39" fillId="11" borderId="0" xfId="0" applyFont="1" applyFill="1" applyAlignment="1">
      <alignment horizontal="center" vertical="center"/>
    </xf>
    <xf numFmtId="171" fontId="0" fillId="11" borderId="0" xfId="0" applyNumberFormat="1" applyFill="1"/>
    <xf numFmtId="175" fontId="0" fillId="11" borderId="0" xfId="0" applyNumberFormat="1" applyFill="1"/>
    <xf numFmtId="171" fontId="0" fillId="11" borderId="16" xfId="0" applyNumberFormat="1" applyFill="1" applyBorder="1"/>
    <xf numFmtId="0" fontId="39" fillId="11" borderId="15" xfId="0" applyFont="1" applyFill="1" applyBorder="1" applyAlignment="1">
      <alignment horizontal="center" vertical="center"/>
    </xf>
    <xf numFmtId="0" fontId="0" fillId="11" borderId="0" xfId="0" applyFill="1" applyAlignment="1">
      <alignment horizontal="center" vertical="center"/>
    </xf>
    <xf numFmtId="0" fontId="0" fillId="11" borderId="17" xfId="0" applyFill="1" applyBorder="1" applyAlignment="1">
      <alignment horizontal="center" vertical="center"/>
    </xf>
    <xf numFmtId="0" fontId="0" fillId="11" borderId="3" xfId="0" applyFill="1" applyBorder="1"/>
    <xf numFmtId="0" fontId="39" fillId="11" borderId="3" xfId="0" applyFont="1" applyFill="1" applyBorder="1" applyAlignment="1">
      <alignment horizontal="right"/>
    </xf>
    <xf numFmtId="0" fontId="39" fillId="11" borderId="3" xfId="0" applyFont="1" applyFill="1" applyBorder="1" applyAlignment="1">
      <alignment horizontal="center"/>
    </xf>
    <xf numFmtId="11" fontId="0" fillId="11" borderId="3" xfId="0" applyNumberFormat="1" applyFill="1" applyBorder="1"/>
    <xf numFmtId="0" fontId="39" fillId="11" borderId="3" xfId="0" applyFont="1" applyFill="1" applyBorder="1" applyAlignment="1">
      <alignment horizontal="center" vertical="center"/>
    </xf>
    <xf numFmtId="0" fontId="39" fillId="10" borderId="13" xfId="0" applyFont="1" applyFill="1" applyBorder="1"/>
    <xf numFmtId="0" fontId="0" fillId="10" borderId="13" xfId="0" applyFill="1" applyBorder="1" applyAlignment="1">
      <alignment horizontal="center"/>
    </xf>
    <xf numFmtId="11" fontId="0" fillId="10" borderId="13" xfId="0" applyNumberFormat="1" applyFill="1" applyBorder="1"/>
    <xf numFmtId="0" fontId="0" fillId="10" borderId="13" xfId="0" applyFill="1" applyBorder="1" applyAlignment="1">
      <alignment horizontal="center" vertical="center"/>
    </xf>
    <xf numFmtId="11" fontId="88" fillId="13" borderId="0" xfId="0" applyNumberFormat="1" applyFont="1" applyFill="1"/>
    <xf numFmtId="0" fontId="39" fillId="11" borderId="0" xfId="0" applyFont="1" applyFill="1"/>
    <xf numFmtId="171" fontId="39" fillId="11" borderId="0" xfId="0" applyNumberFormat="1" applyFont="1" applyFill="1"/>
    <xf numFmtId="175" fontId="39" fillId="11" borderId="0" xfId="0" applyNumberFormat="1" applyFont="1" applyFill="1"/>
    <xf numFmtId="171" fontId="88" fillId="11" borderId="0" xfId="0" applyNumberFormat="1" applyFont="1" applyFill="1"/>
    <xf numFmtId="11" fontId="88" fillId="11" borderId="0" xfId="0" applyNumberFormat="1" applyFont="1" applyFill="1"/>
    <xf numFmtId="0" fontId="88" fillId="11" borderId="0" xfId="0" applyFont="1" applyFill="1"/>
    <xf numFmtId="171" fontId="88" fillId="11" borderId="16" xfId="0" applyNumberFormat="1" applyFont="1" applyFill="1" applyBorder="1"/>
    <xf numFmtId="175" fontId="88" fillId="11" borderId="0" xfId="0" applyNumberFormat="1" applyFont="1" applyFill="1"/>
    <xf numFmtId="0" fontId="88" fillId="11" borderId="3" xfId="0" applyFont="1" applyFill="1" applyBorder="1"/>
    <xf numFmtId="0" fontId="39" fillId="10" borderId="12" xfId="0" applyFont="1" applyFill="1" applyBorder="1" applyAlignment="1">
      <alignment horizontal="center" vertical="center"/>
    </xf>
    <xf numFmtId="0" fontId="88" fillId="10" borderId="13" xfId="0" applyFont="1" applyFill="1" applyBorder="1"/>
    <xf numFmtId="0" fontId="88" fillId="10" borderId="14" xfId="0" applyFont="1" applyFill="1" applyBorder="1"/>
    <xf numFmtId="0" fontId="0" fillId="10" borderId="22" xfId="0" applyFill="1" applyBorder="1" applyAlignment="1">
      <alignment horizontal="center" vertical="center"/>
    </xf>
    <xf numFmtId="0" fontId="39" fillId="10" borderId="23" xfId="0" applyFont="1" applyFill="1" applyBorder="1"/>
    <xf numFmtId="0" fontId="0" fillId="10" borderId="23" xfId="0" applyFill="1" applyBorder="1"/>
    <xf numFmtId="0" fontId="0" fillId="10" borderId="23" xfId="0" applyFill="1" applyBorder="1" applyAlignment="1">
      <alignment horizontal="center"/>
    </xf>
    <xf numFmtId="0" fontId="39" fillId="10" borderId="23" xfId="0" applyFont="1" applyFill="1" applyBorder="1" applyAlignment="1">
      <alignment horizontal="center"/>
    </xf>
    <xf numFmtId="175" fontId="0" fillId="10" borderId="23" xfId="0" applyNumberFormat="1" applyFill="1" applyBorder="1"/>
    <xf numFmtId="0" fontId="39" fillId="10" borderId="23" xfId="0" applyFont="1" applyFill="1" applyBorder="1" applyAlignment="1">
      <alignment horizontal="center" vertical="center"/>
    </xf>
    <xf numFmtId="171" fontId="39" fillId="10" borderId="23" xfId="0" applyNumberFormat="1" applyFont="1" applyFill="1" applyBorder="1"/>
    <xf numFmtId="175" fontId="39" fillId="10" borderId="23" xfId="0" applyNumberFormat="1" applyFont="1" applyFill="1" applyBorder="1"/>
    <xf numFmtId="0" fontId="0" fillId="10" borderId="24" xfId="0" applyFill="1" applyBorder="1"/>
    <xf numFmtId="0" fontId="61" fillId="10" borderId="23" xfId="0" applyFont="1" applyFill="1" applyBorder="1"/>
    <xf numFmtId="0" fontId="39" fillId="10" borderId="23" xfId="0" applyFont="1" applyFill="1" applyBorder="1" applyAlignment="1">
      <alignment horizontal="left"/>
    </xf>
    <xf numFmtId="0" fontId="0" fillId="10" borderId="23" xfId="0" applyFill="1" applyBorder="1" applyAlignment="1">
      <alignment wrapText="1"/>
    </xf>
    <xf numFmtId="11" fontId="0" fillId="10" borderId="23" xfId="0" applyNumberFormat="1" applyFill="1" applyBorder="1"/>
    <xf numFmtId="11" fontId="88" fillId="10" borderId="23" xfId="0" applyNumberFormat="1" applyFont="1" applyFill="1" applyBorder="1"/>
    <xf numFmtId="0" fontId="88" fillId="10" borderId="23" xfId="0" applyFont="1" applyFill="1" applyBorder="1"/>
    <xf numFmtId="175" fontId="88" fillId="10" borderId="24" xfId="0" applyNumberFormat="1" applyFont="1" applyFill="1" applyBorder="1"/>
    <xf numFmtId="11" fontId="88" fillId="10" borderId="13" xfId="0" applyNumberFormat="1" applyFont="1" applyFill="1" applyBorder="1"/>
    <xf numFmtId="11" fontId="88" fillId="10" borderId="24" xfId="0" applyNumberFormat="1" applyFont="1" applyFill="1" applyBorder="1"/>
    <xf numFmtId="168" fontId="0" fillId="10" borderId="23" xfId="0" applyNumberFormat="1" applyFill="1" applyBorder="1"/>
    <xf numFmtId="0" fontId="0" fillId="13" borderId="22" xfId="0" applyFill="1" applyBorder="1" applyAlignment="1">
      <alignment horizontal="center" vertical="center"/>
    </xf>
    <xf numFmtId="0" fontId="39" fillId="13" borderId="23" xfId="0" applyFont="1" applyFill="1" applyBorder="1" applyAlignment="1">
      <alignment horizontal="left"/>
    </xf>
    <xf numFmtId="0" fontId="0" fillId="13" borderId="23" xfId="0" applyFill="1" applyBorder="1"/>
    <xf numFmtId="0" fontId="39" fillId="13" borderId="23" xfId="0" applyFont="1" applyFill="1" applyBorder="1" applyAlignment="1">
      <alignment horizontal="center"/>
    </xf>
    <xf numFmtId="11" fontId="0" fillId="13" borderId="23" xfId="0" applyNumberFormat="1" applyFill="1" applyBorder="1"/>
    <xf numFmtId="0" fontId="39" fillId="13" borderId="23" xfId="0" applyFont="1" applyFill="1" applyBorder="1" applyAlignment="1">
      <alignment horizontal="center" vertical="center"/>
    </xf>
    <xf numFmtId="171" fontId="0" fillId="13" borderId="24" xfId="0" applyNumberFormat="1" applyFill="1" applyBorder="1"/>
    <xf numFmtId="168" fontId="0" fillId="13" borderId="24" xfId="0" applyNumberFormat="1" applyFill="1" applyBorder="1"/>
    <xf numFmtId="0" fontId="39" fillId="13" borderId="22" xfId="0" applyFont="1" applyFill="1" applyBorder="1"/>
    <xf numFmtId="0" fontId="0" fillId="13" borderId="22" xfId="0" applyFill="1" applyBorder="1"/>
    <xf numFmtId="166" fontId="39" fillId="13" borderId="24" xfId="0" applyNumberFormat="1" applyFont="1" applyFill="1" applyBorder="1"/>
    <xf numFmtId="0" fontId="0" fillId="0" borderId="12" xfId="0" applyBorder="1" applyAlignment="1">
      <alignment horizontal="center" vertical="center"/>
    </xf>
    <xf numFmtId="0" fontId="0" fillId="0" borderId="13" xfId="0" applyBorder="1"/>
    <xf numFmtId="0" fontId="0" fillId="0" borderId="14" xfId="0" applyBorder="1"/>
    <xf numFmtId="0" fontId="39" fillId="0" borderId="0" xfId="0" applyFont="1" applyAlignment="1">
      <alignment horizontal="left"/>
    </xf>
    <xf numFmtId="2" fontId="0" fillId="11" borderId="0" xfId="0" applyNumberFormat="1" applyFill="1"/>
    <xf numFmtId="2" fontId="39" fillId="0" borderId="13" xfId="0" applyNumberFormat="1" applyFont="1" applyBorder="1" applyAlignment="1">
      <alignment horizontal="center" vertical="center"/>
    </xf>
    <xf numFmtId="173" fontId="0" fillId="10" borderId="23" xfId="0" applyNumberFormat="1" applyFill="1" applyBorder="1"/>
    <xf numFmtId="1" fontId="0" fillId="13" borderId="24" xfId="0" applyNumberFormat="1" applyFill="1" applyBorder="1"/>
    <xf numFmtId="11" fontId="39" fillId="11" borderId="0" xfId="0" applyNumberFormat="1" applyFont="1" applyFill="1"/>
    <xf numFmtId="0" fontId="0" fillId="0" borderId="54" xfId="0" applyBorder="1"/>
    <xf numFmtId="173" fontId="40" fillId="2" borderId="0" xfId="0" applyNumberFormat="1" applyFont="1" applyFill="1"/>
    <xf numFmtId="3" fontId="40" fillId="2" borderId="0" xfId="0" applyNumberFormat="1" applyFont="1" applyFill="1"/>
    <xf numFmtId="170" fontId="0" fillId="13" borderId="24" xfId="0" applyNumberFormat="1" applyFill="1" applyBorder="1"/>
    <xf numFmtId="0" fontId="39" fillId="0" borderId="1" xfId="0" applyFont="1" applyBorder="1" applyAlignment="1" applyProtection="1">
      <alignment horizontal="center" vertical="center"/>
      <protection locked="0"/>
    </xf>
    <xf numFmtId="166" fontId="40" fillId="2" borderId="1" xfId="0" applyNumberFormat="1" applyFont="1" applyFill="1" applyBorder="1"/>
    <xf numFmtId="169" fontId="40" fillId="2" borderId="1" xfId="0" applyNumberFormat="1" applyFont="1" applyFill="1" applyBorder="1"/>
    <xf numFmtId="168" fontId="40" fillId="2" borderId="1" xfId="0" applyNumberFormat="1" applyFont="1" applyFill="1" applyBorder="1"/>
    <xf numFmtId="0" fontId="39" fillId="10" borderId="0" xfId="0" applyFont="1" applyFill="1" applyAlignment="1">
      <alignment horizontal="right"/>
    </xf>
    <xf numFmtId="0" fontId="39" fillId="10" borderId="0" xfId="0" applyFont="1" applyFill="1" applyAlignment="1">
      <alignment horizontal="center"/>
    </xf>
    <xf numFmtId="175" fontId="88" fillId="10" borderId="0" xfId="0" applyNumberFormat="1" applyFont="1" applyFill="1"/>
    <xf numFmtId="171" fontId="88" fillId="10" borderId="16" xfId="0" applyNumberFormat="1" applyFont="1" applyFill="1" applyBorder="1"/>
    <xf numFmtId="0" fontId="0" fillId="10" borderId="17" xfId="0" applyFill="1" applyBorder="1" applyAlignment="1">
      <alignment horizontal="center" vertical="center"/>
    </xf>
    <xf numFmtId="0" fontId="0" fillId="10" borderId="3" xfId="0" applyFill="1" applyBorder="1"/>
    <xf numFmtId="0" fontId="39" fillId="10" borderId="3" xfId="0" applyFont="1" applyFill="1" applyBorder="1" applyAlignment="1">
      <alignment horizontal="right"/>
    </xf>
    <xf numFmtId="0" fontId="39" fillId="10" borderId="3" xfId="0" applyFont="1" applyFill="1" applyBorder="1" applyAlignment="1">
      <alignment horizontal="center"/>
    </xf>
    <xf numFmtId="11" fontId="0" fillId="10" borderId="3" xfId="0" applyNumberFormat="1" applyFill="1" applyBorder="1"/>
    <xf numFmtId="0" fontId="39" fillId="10" borderId="3" xfId="0" applyFont="1" applyFill="1" applyBorder="1" applyAlignment="1">
      <alignment horizontal="center" vertical="center"/>
    </xf>
    <xf numFmtId="0" fontId="88" fillId="10" borderId="3" xfId="0" applyFont="1" applyFill="1" applyBorder="1"/>
    <xf numFmtId="0" fontId="40" fillId="2" borderId="15" xfId="0" applyFont="1" applyFill="1" applyBorder="1"/>
    <xf numFmtId="11" fontId="40" fillId="2" borderId="0" xfId="0" applyNumberFormat="1" applyFont="1" applyFill="1"/>
    <xf numFmtId="168" fontId="40" fillId="2" borderId="0" xfId="0" applyNumberFormat="1" applyFont="1" applyFill="1"/>
    <xf numFmtId="0" fontId="61" fillId="0" borderId="0" xfId="0" applyFont="1"/>
    <xf numFmtId="179" fontId="0" fillId="0" borderId="0" xfId="0" applyNumberFormat="1"/>
    <xf numFmtId="180" fontId="0" fillId="0" borderId="0" xfId="0" applyNumberFormat="1"/>
    <xf numFmtId="174" fontId="39" fillId="0" borderId="0" xfId="0" applyNumberFormat="1" applyFont="1"/>
    <xf numFmtId="170" fontId="40" fillId="2" borderId="1" xfId="0" applyNumberFormat="1" applyFont="1" applyFill="1" applyBorder="1"/>
    <xf numFmtId="168" fontId="39" fillId="11" borderId="0" xfId="0" applyNumberFormat="1" applyFont="1" applyFill="1"/>
    <xf numFmtId="174" fontId="88" fillId="10" borderId="23" xfId="0" applyNumberFormat="1" applyFont="1" applyFill="1" applyBorder="1"/>
    <xf numFmtId="166" fontId="0" fillId="0" borderId="0" xfId="0" applyNumberFormat="1"/>
    <xf numFmtId="0" fontId="39" fillId="10" borderId="0" xfId="0" applyFont="1" applyFill="1"/>
    <xf numFmtId="0" fontId="39" fillId="0" borderId="12" xfId="0" applyFont="1" applyBorder="1" applyAlignment="1">
      <alignment horizontal="center" vertical="center"/>
    </xf>
    <xf numFmtId="0" fontId="39" fillId="0" borderId="13" xfId="0" applyFont="1" applyBorder="1"/>
    <xf numFmtId="0" fontId="39" fillId="0" borderId="14" xfId="0" applyFont="1" applyBorder="1"/>
    <xf numFmtId="0" fontId="39" fillId="11" borderId="16" xfId="0" applyFont="1" applyFill="1" applyBorder="1"/>
    <xf numFmtId="0" fontId="39" fillId="0" borderId="16" xfId="0" applyFont="1" applyBorder="1"/>
    <xf numFmtId="173" fontId="39" fillId="11" borderId="0" xfId="0" applyNumberFormat="1" applyFont="1" applyFill="1"/>
    <xf numFmtId="175" fontId="39" fillId="11" borderId="16" xfId="0" applyNumberFormat="1" applyFont="1" applyFill="1" applyBorder="1"/>
    <xf numFmtId="176" fontId="39" fillId="0" borderId="0" xfId="0" applyNumberFormat="1" applyFont="1"/>
    <xf numFmtId="174" fontId="39" fillId="11" borderId="0" xfId="0" applyNumberFormat="1" applyFont="1" applyFill="1"/>
    <xf numFmtId="0" fontId="39" fillId="11" borderId="17" xfId="0" applyFont="1" applyFill="1" applyBorder="1" applyAlignment="1">
      <alignment horizontal="center" vertical="center"/>
    </xf>
    <xf numFmtId="0" fontId="39" fillId="11" borderId="3" xfId="0" applyFont="1" applyFill="1" applyBorder="1"/>
    <xf numFmtId="174" fontId="39" fillId="11" borderId="16" xfId="0" applyNumberFormat="1" applyFont="1" applyFill="1" applyBorder="1"/>
    <xf numFmtId="0" fontId="39" fillId="10" borderId="13" xfId="0" applyFont="1" applyFill="1" applyBorder="1" applyAlignment="1">
      <alignment horizontal="center"/>
    </xf>
    <xf numFmtId="11" fontId="39" fillId="10" borderId="13" xfId="0" applyNumberFormat="1" applyFont="1" applyFill="1" applyBorder="1"/>
    <xf numFmtId="0" fontId="39" fillId="10" borderId="13" xfId="0" applyFont="1" applyFill="1" applyBorder="1" applyAlignment="1">
      <alignment horizontal="center" vertical="center"/>
    </xf>
    <xf numFmtId="0" fontId="39" fillId="10" borderId="14" xfId="0" applyFont="1" applyFill="1" applyBorder="1"/>
    <xf numFmtId="171" fontId="39" fillId="0" borderId="16" xfId="0" applyNumberFormat="1" applyFont="1" applyBorder="1"/>
    <xf numFmtId="171" fontId="39" fillId="11" borderId="16" xfId="0" applyNumberFormat="1" applyFont="1" applyFill="1" applyBorder="1"/>
    <xf numFmtId="2" fontId="39" fillId="0" borderId="0" xfId="0" applyNumberFormat="1" applyFont="1"/>
    <xf numFmtId="11" fontId="39" fillId="11" borderId="3" xfId="0" applyNumberFormat="1" applyFont="1" applyFill="1" applyBorder="1"/>
    <xf numFmtId="165" fontId="39" fillId="10" borderId="13" xfId="0" applyNumberFormat="1" applyFont="1" applyFill="1" applyBorder="1"/>
    <xf numFmtId="178" fontId="39" fillId="11" borderId="16" xfId="0" applyNumberFormat="1" applyFont="1" applyFill="1" applyBorder="1"/>
    <xf numFmtId="1" fontId="39" fillId="10" borderId="13" xfId="0" applyNumberFormat="1" applyFont="1" applyFill="1" applyBorder="1"/>
    <xf numFmtId="178" fontId="39" fillId="11" borderId="0" xfId="0" applyNumberFormat="1" applyFont="1" applyFill="1"/>
    <xf numFmtId="0" fontId="39" fillId="2" borderId="0" xfId="0" applyFont="1" applyFill="1"/>
    <xf numFmtId="179" fontId="39" fillId="11" borderId="16" xfId="0" applyNumberFormat="1" applyFont="1" applyFill="1" applyBorder="1"/>
    <xf numFmtId="0" fontId="39" fillId="10" borderId="22" xfId="0" applyFont="1" applyFill="1" applyBorder="1" applyAlignment="1">
      <alignment horizontal="center" vertical="center"/>
    </xf>
    <xf numFmtId="0" fontId="39" fillId="10" borderId="24" xfId="0" applyFont="1" applyFill="1" applyBorder="1"/>
    <xf numFmtId="0" fontId="39" fillId="10" borderId="15" xfId="0" applyFont="1" applyFill="1" applyBorder="1" applyAlignment="1">
      <alignment horizontal="center" vertical="center"/>
    </xf>
    <xf numFmtId="11" fontId="39" fillId="10" borderId="0" xfId="0" applyNumberFormat="1" applyFont="1" applyFill="1"/>
    <xf numFmtId="174" fontId="39" fillId="10" borderId="0" xfId="0" applyNumberFormat="1" applyFont="1" applyFill="1"/>
    <xf numFmtId="178" fontId="88" fillId="10" borderId="23" xfId="0" applyNumberFormat="1" applyFont="1" applyFill="1" applyBorder="1"/>
    <xf numFmtId="174" fontId="0" fillId="10" borderId="23" xfId="0" applyNumberFormat="1" applyFill="1" applyBorder="1"/>
    <xf numFmtId="178" fontId="88" fillId="10" borderId="24" xfId="0" applyNumberFormat="1" applyFont="1" applyFill="1" applyBorder="1"/>
    <xf numFmtId="174" fontId="39" fillId="10" borderId="16" xfId="0" applyNumberFormat="1" applyFont="1" applyFill="1" applyBorder="1"/>
    <xf numFmtId="178" fontId="0" fillId="13" borderId="24" xfId="0" applyNumberFormat="1" applyFill="1" applyBorder="1"/>
    <xf numFmtId="178" fontId="88" fillId="0" borderId="0" xfId="0" applyNumberFormat="1" applyFont="1"/>
    <xf numFmtId="174" fontId="88" fillId="10" borderId="0" xfId="0" applyNumberFormat="1" applyFont="1" applyFill="1"/>
    <xf numFmtId="0" fontId="61" fillId="11" borderId="0" xfId="0" applyFont="1" applyFill="1"/>
    <xf numFmtId="0" fontId="36" fillId="2" borderId="0" xfId="1" applyFont="1" applyFill="1" applyProtection="1">
      <protection locked="0"/>
    </xf>
    <xf numFmtId="0" fontId="36" fillId="0" borderId="0" xfId="1" applyFont="1"/>
    <xf numFmtId="0" fontId="36" fillId="0" borderId="0" xfId="1" applyFont="1" applyAlignment="1">
      <alignment horizontal="left"/>
    </xf>
    <xf numFmtId="0" fontId="55" fillId="0" borderId="0" xfId="1" applyFont="1"/>
    <xf numFmtId="0" fontId="34" fillId="0" borderId="0" xfId="1" applyFont="1"/>
    <xf numFmtId="0" fontId="65" fillId="0" borderId="0" xfId="1" applyFont="1"/>
    <xf numFmtId="0" fontId="56" fillId="0" borderId="0" xfId="1" applyFont="1" applyAlignment="1">
      <alignment horizontal="left"/>
    </xf>
    <xf numFmtId="0" fontId="56" fillId="0" borderId="0" xfId="1" applyFont="1"/>
    <xf numFmtId="0" fontId="36" fillId="0" borderId="0" xfId="1" applyFont="1" applyAlignment="1">
      <alignment vertical="center" wrapText="1"/>
    </xf>
    <xf numFmtId="0" fontId="36" fillId="0" borderId="0" xfId="1" applyFont="1" applyAlignment="1">
      <alignment horizontal="left" vertical="center" wrapText="1"/>
    </xf>
    <xf numFmtId="0" fontId="36" fillId="0" borderId="0" xfId="1" applyFont="1" applyAlignment="1">
      <alignment horizontal="left" vertical="top" wrapText="1"/>
    </xf>
    <xf numFmtId="0" fontId="65" fillId="0" borderId="0" xfId="1" applyFont="1" applyAlignment="1">
      <alignment horizontal="left" vertical="top" wrapText="1"/>
    </xf>
    <xf numFmtId="0" fontId="36" fillId="0" borderId="0" xfId="1" applyFont="1" applyAlignment="1">
      <alignment vertical="top"/>
    </xf>
    <xf numFmtId="0" fontId="46" fillId="0" borderId="0" xfId="1" applyFont="1" applyAlignment="1">
      <alignment vertical="top" wrapText="1"/>
    </xf>
    <xf numFmtId="0" fontId="91" fillId="0" borderId="0" xfId="1" applyFont="1"/>
    <xf numFmtId="0" fontId="55" fillId="0" borderId="0" xfId="1" applyFont="1" applyAlignment="1">
      <alignment horizontal="left"/>
    </xf>
    <xf numFmtId="0" fontId="97" fillId="0" borderId="0" xfId="1" applyFont="1" applyAlignment="1">
      <alignment horizontal="left"/>
    </xf>
    <xf numFmtId="0" fontId="97" fillId="0" borderId="0" xfId="1" applyFont="1"/>
    <xf numFmtId="167" fontId="36" fillId="0" borderId="0" xfId="1" applyNumberFormat="1" applyFont="1" applyAlignment="1">
      <alignment horizontal="center" vertical="center"/>
    </xf>
    <xf numFmtId="0" fontId="55" fillId="0" borderId="0" xfId="1" applyFont="1" applyAlignment="1">
      <alignment horizontal="center" vertical="center"/>
    </xf>
    <xf numFmtId="0" fontId="55" fillId="0" borderId="0" xfId="1" applyFont="1" applyAlignment="1">
      <alignment horizontal="left" vertical="center"/>
    </xf>
    <xf numFmtId="164" fontId="36" fillId="0" borderId="0" xfId="2" applyFont="1" applyFill="1" applyAlignment="1">
      <alignment horizontal="left"/>
    </xf>
    <xf numFmtId="0" fontId="36" fillId="0" borderId="2" xfId="1" applyFont="1" applyBorder="1"/>
    <xf numFmtId="0" fontId="46" fillId="0" borderId="0" xfId="1" applyFont="1"/>
    <xf numFmtId="0" fontId="46" fillId="0" borderId="0" xfId="1" applyFont="1" applyAlignment="1">
      <alignment horizontal="right"/>
    </xf>
    <xf numFmtId="2" fontId="46" fillId="0" borderId="0" xfId="1" applyNumberFormat="1" applyFont="1" applyAlignment="1">
      <alignment horizontal="left"/>
    </xf>
    <xf numFmtId="2" fontId="46" fillId="0" borderId="0" xfId="1" applyNumberFormat="1" applyFont="1"/>
    <xf numFmtId="1" fontId="46" fillId="0" borderId="0" xfId="1" applyNumberFormat="1" applyFont="1"/>
    <xf numFmtId="2" fontId="46" fillId="0" borderId="0" xfId="1" applyNumberFormat="1" applyFont="1" applyAlignment="1">
      <alignment horizontal="center"/>
    </xf>
    <xf numFmtId="0" fontId="36" fillId="0" borderId="0" xfId="1" applyFont="1" applyAlignment="1">
      <alignment horizontal="center"/>
    </xf>
    <xf numFmtId="168" fontId="46" fillId="0" borderId="0" xfId="1" applyNumberFormat="1" applyFont="1" applyAlignment="1">
      <alignment horizontal="center"/>
    </xf>
    <xf numFmtId="168" fontId="46" fillId="0" borderId="0" xfId="1" applyNumberFormat="1" applyFont="1"/>
    <xf numFmtId="168" fontId="36" fillId="0" borderId="0" xfId="1" applyNumberFormat="1" applyFont="1"/>
    <xf numFmtId="169" fontId="51" fillId="0" borderId="0" xfId="1" applyNumberFormat="1" applyFont="1" applyAlignment="1">
      <alignment horizontal="center" vertical="center" wrapText="1"/>
    </xf>
    <xf numFmtId="2" fontId="51" fillId="0" borderId="0" xfId="1" applyNumberFormat="1" applyFont="1" applyAlignment="1">
      <alignment horizontal="center" vertical="center" wrapText="1"/>
    </xf>
    <xf numFmtId="0" fontId="51" fillId="0" borderId="0" xfId="1" applyFont="1" applyAlignment="1">
      <alignment horizontal="center" vertical="center" wrapText="1"/>
    </xf>
    <xf numFmtId="165" fontId="40" fillId="0" borderId="0" xfId="0" applyNumberFormat="1" applyFont="1" applyAlignment="1" applyProtection="1">
      <alignment horizontal="center" vertical="center"/>
      <protection locked="0"/>
    </xf>
    <xf numFmtId="170" fontId="40" fillId="0" borderId="0" xfId="0" applyNumberFormat="1" applyFont="1" applyAlignment="1" applyProtection="1">
      <alignment horizontal="center" vertical="center"/>
      <protection locked="0"/>
    </xf>
    <xf numFmtId="168" fontId="40" fillId="0" borderId="0" xfId="0" applyNumberFormat="1" applyFont="1" applyAlignment="1" applyProtection="1">
      <alignment horizontal="center" vertical="center"/>
      <protection locked="0"/>
    </xf>
    <xf numFmtId="166" fontId="40" fillId="0" borderId="0" xfId="0" applyNumberFormat="1" applyFont="1" applyAlignment="1">
      <alignment horizontal="center" vertical="center"/>
    </xf>
    <xf numFmtId="177" fontId="40" fillId="0" borderId="0" xfId="0" applyNumberFormat="1" applyFont="1" applyAlignment="1" applyProtection="1">
      <alignment horizontal="center" vertical="center"/>
      <protection locked="0"/>
    </xf>
    <xf numFmtId="0" fontId="49" fillId="0" borderId="0" xfId="1" applyFont="1" applyAlignment="1">
      <alignment vertical="center" wrapText="1"/>
    </xf>
    <xf numFmtId="165" fontId="66" fillId="0" borderId="0" xfId="1" applyNumberFormat="1" applyFont="1" applyAlignment="1">
      <alignment horizontal="center" vertical="center"/>
    </xf>
    <xf numFmtId="2" fontId="44" fillId="2" borderId="0" xfId="0" applyNumberFormat="1" applyFont="1" applyFill="1" applyAlignment="1" applyProtection="1">
      <alignment vertical="center" wrapText="1"/>
      <protection locked="0"/>
    </xf>
    <xf numFmtId="165" fontId="44" fillId="2" borderId="0" xfId="0" applyNumberFormat="1" applyFont="1" applyFill="1" applyAlignment="1">
      <alignment vertical="center"/>
    </xf>
    <xf numFmtId="2" fontId="44" fillId="2" borderId="0" xfId="0" applyNumberFormat="1" applyFont="1" applyFill="1" applyAlignment="1" applyProtection="1">
      <alignment vertical="center"/>
      <protection locked="0"/>
    </xf>
    <xf numFmtId="2" fontId="40" fillId="2" borderId="0" xfId="0" applyNumberFormat="1" applyFont="1" applyFill="1" applyProtection="1">
      <protection locked="0"/>
    </xf>
    <xf numFmtId="0" fontId="40" fillId="2" borderId="0" xfId="0" applyFont="1" applyFill="1" applyProtection="1">
      <protection locked="0"/>
    </xf>
    <xf numFmtId="0" fontId="100" fillId="0" borderId="0" xfId="0" applyFont="1" applyAlignment="1">
      <alignment horizontal="center" vertical="center"/>
    </xf>
    <xf numFmtId="172" fontId="40" fillId="2" borderId="0" xfId="0" applyNumberFormat="1" applyFont="1" applyFill="1"/>
    <xf numFmtId="0" fontId="40" fillId="2" borderId="1" xfId="0" applyFont="1" applyFill="1" applyBorder="1" applyAlignment="1">
      <alignment wrapText="1"/>
    </xf>
    <xf numFmtId="0" fontId="40" fillId="2" borderId="4" xfId="0" applyFont="1" applyFill="1" applyBorder="1" applyAlignment="1">
      <alignment wrapText="1"/>
    </xf>
    <xf numFmtId="176" fontId="40" fillId="2" borderId="1" xfId="0" applyNumberFormat="1" applyFont="1" applyFill="1" applyBorder="1"/>
    <xf numFmtId="176" fontId="40" fillId="11" borderId="1" xfId="0" applyNumberFormat="1" applyFont="1" applyFill="1" applyBorder="1"/>
    <xf numFmtId="11" fontId="39" fillId="10" borderId="23" xfId="0" applyNumberFormat="1" applyFont="1" applyFill="1" applyBorder="1"/>
    <xf numFmtId="11" fontId="88" fillId="0" borderId="0" xfId="0" applyNumberFormat="1" applyFont="1"/>
    <xf numFmtId="11" fontId="88" fillId="11" borderId="3" xfId="0" applyNumberFormat="1" applyFont="1" applyFill="1" applyBorder="1"/>
    <xf numFmtId="0" fontId="41" fillId="11" borderId="59" xfId="0" applyFont="1" applyFill="1" applyBorder="1" applyAlignment="1">
      <alignment vertical="center"/>
    </xf>
    <xf numFmtId="0" fontId="41" fillId="11" borderId="60" xfId="0" applyFont="1" applyFill="1" applyBorder="1" applyAlignment="1">
      <alignment vertical="center"/>
    </xf>
    <xf numFmtId="169" fontId="0" fillId="10" borderId="23" xfId="0" applyNumberFormat="1" applyFill="1" applyBorder="1"/>
    <xf numFmtId="173" fontId="39" fillId="0" borderId="0" xfId="0" applyNumberFormat="1" applyFont="1"/>
    <xf numFmtId="179" fontId="39" fillId="0" borderId="0" xfId="0" applyNumberFormat="1" applyFont="1"/>
    <xf numFmtId="0" fontId="40" fillId="2" borderId="0" xfId="0" applyFont="1" applyFill="1" applyAlignment="1">
      <alignment horizontal="left" vertical="center"/>
    </xf>
    <xf numFmtId="11" fontId="40" fillId="2" borderId="1" xfId="0" applyNumberFormat="1" applyFont="1" applyFill="1" applyBorder="1" applyAlignment="1">
      <alignment horizontal="center"/>
    </xf>
    <xf numFmtId="168" fontId="0" fillId="14" borderId="1" xfId="0" applyNumberFormat="1" applyFill="1" applyBorder="1" applyAlignment="1" applyProtection="1">
      <alignment horizontal="center"/>
      <protection locked="0"/>
    </xf>
    <xf numFmtId="0" fontId="39" fillId="14" borderId="1" xfId="0" applyFont="1" applyFill="1" applyBorder="1" applyAlignment="1" applyProtection="1">
      <alignment horizontal="center"/>
      <protection locked="0"/>
    </xf>
    <xf numFmtId="0" fontId="0" fillId="14" borderId="1" xfId="0" applyFill="1" applyBorder="1" applyProtection="1">
      <protection locked="0" hidden="1"/>
    </xf>
    <xf numFmtId="0" fontId="40" fillId="2" borderId="0" xfId="0" applyFont="1" applyFill="1" applyAlignment="1" applyProtection="1">
      <alignment horizontal="left"/>
      <protection locked="0"/>
    </xf>
    <xf numFmtId="171" fontId="40" fillId="2" borderId="0" xfId="0" applyNumberFormat="1" applyFont="1" applyFill="1"/>
    <xf numFmtId="11" fontId="40" fillId="2" borderId="1" xfId="0" applyNumberFormat="1" applyFont="1" applyFill="1" applyBorder="1" applyAlignment="1">
      <alignment horizontal="left"/>
    </xf>
    <xf numFmtId="167" fontId="45" fillId="2" borderId="0" xfId="0" applyNumberFormat="1" applyFont="1" applyFill="1" applyAlignment="1" applyProtection="1">
      <alignment horizontal="left"/>
      <protection locked="0"/>
    </xf>
    <xf numFmtId="0" fontId="44" fillId="2" borderId="56" xfId="0" applyFont="1" applyFill="1" applyBorder="1" applyAlignment="1" applyProtection="1">
      <alignment wrapText="1"/>
      <protection locked="0"/>
    </xf>
    <xf numFmtId="0" fontId="44" fillId="2" borderId="47" xfId="0" applyFont="1" applyFill="1" applyBorder="1" applyAlignment="1" applyProtection="1">
      <alignment wrapText="1"/>
      <protection locked="0"/>
    </xf>
    <xf numFmtId="0" fontId="44" fillId="2" borderId="45" xfId="0" applyFont="1" applyFill="1" applyBorder="1" applyAlignment="1" applyProtection="1">
      <alignment wrapText="1"/>
      <protection locked="0"/>
    </xf>
    <xf numFmtId="0" fontId="44" fillId="2" borderId="5" xfId="0" applyFont="1" applyFill="1" applyBorder="1" applyAlignment="1" applyProtection="1">
      <alignment wrapText="1"/>
      <protection locked="0"/>
    </xf>
    <xf numFmtId="0" fontId="44" fillId="2" borderId="0" xfId="0" applyFont="1" applyFill="1" applyAlignment="1" applyProtection="1">
      <alignment wrapText="1"/>
      <protection locked="0"/>
    </xf>
    <xf numFmtId="0" fontId="44" fillId="2" borderId="6" xfId="0" applyFont="1" applyFill="1" applyBorder="1" applyAlignment="1" applyProtection="1">
      <alignment wrapText="1"/>
      <protection locked="0"/>
    </xf>
    <xf numFmtId="0" fontId="44" fillId="2" borderId="7" xfId="0" applyFont="1" applyFill="1" applyBorder="1" applyAlignment="1" applyProtection="1">
      <alignment wrapText="1"/>
      <protection locked="0"/>
    </xf>
    <xf numFmtId="0" fontId="44" fillId="2" borderId="2" xfId="0" applyFont="1" applyFill="1" applyBorder="1" applyAlignment="1" applyProtection="1">
      <alignment wrapText="1"/>
      <protection locked="0"/>
    </xf>
    <xf numFmtId="0" fontId="44" fillId="2" borderId="8" xfId="0" applyFont="1" applyFill="1" applyBorder="1" applyAlignment="1" applyProtection="1">
      <alignment wrapText="1"/>
      <protection locked="0"/>
    </xf>
    <xf numFmtId="11" fontId="40" fillId="2" borderId="0" xfId="0" applyNumberFormat="1" applyFont="1" applyFill="1" applyAlignment="1">
      <alignment horizontal="left"/>
    </xf>
    <xf numFmtId="0" fontId="40" fillId="15" borderId="0" xfId="0" applyFont="1" applyFill="1"/>
    <xf numFmtId="0" fontId="40" fillId="15" borderId="1" xfId="0" applyFont="1" applyFill="1" applyBorder="1"/>
    <xf numFmtId="0" fontId="75" fillId="15" borderId="0" xfId="0" applyFont="1" applyFill="1"/>
    <xf numFmtId="2" fontId="40" fillId="2" borderId="15" xfId="0" applyNumberFormat="1" applyFont="1" applyFill="1" applyBorder="1"/>
    <xf numFmtId="168" fontId="58" fillId="4" borderId="0" xfId="0" applyNumberFormat="1" applyFont="1" applyFill="1" applyAlignment="1">
      <alignment horizontal="center" vertical="center" wrapText="1"/>
    </xf>
    <xf numFmtId="168" fontId="58" fillId="2" borderId="0" xfId="0" applyNumberFormat="1" applyFont="1" applyFill="1" applyAlignment="1">
      <alignment horizontal="right" wrapText="1"/>
    </xf>
    <xf numFmtId="176" fontId="39" fillId="11" borderId="0" xfId="0" applyNumberFormat="1" applyFont="1" applyFill="1"/>
    <xf numFmtId="171" fontId="39" fillId="11" borderId="3" xfId="0" applyNumberFormat="1" applyFont="1" applyFill="1" applyBorder="1"/>
    <xf numFmtId="0" fontId="105" fillId="2" borderId="54" xfId="0" applyFont="1" applyFill="1" applyBorder="1" applyAlignment="1" applyProtection="1">
      <alignment vertical="center"/>
      <protection locked="0"/>
    </xf>
    <xf numFmtId="0" fontId="105" fillId="2" borderId="60" xfId="0" applyFont="1" applyFill="1" applyBorder="1" applyProtection="1">
      <protection locked="0"/>
    </xf>
    <xf numFmtId="0" fontId="105" fillId="2" borderId="61" xfId="0" applyFont="1" applyFill="1" applyBorder="1" applyProtection="1">
      <protection locked="0"/>
    </xf>
    <xf numFmtId="0" fontId="110" fillId="2" borderId="0" xfId="1" applyFont="1" applyFill="1"/>
    <xf numFmtId="0" fontId="26" fillId="0" borderId="0" xfId="1" applyFont="1" applyAlignment="1">
      <alignment horizontal="left" vertical="top" wrapText="1"/>
    </xf>
    <xf numFmtId="0" fontId="26" fillId="2" borderId="0" xfId="1" applyFont="1" applyFill="1"/>
    <xf numFmtId="0" fontId="67" fillId="3" borderId="10" xfId="1" applyFont="1" applyFill="1" applyBorder="1" applyAlignment="1" applyProtection="1">
      <alignment horizontal="center" vertical="center"/>
      <protection locked="0"/>
    </xf>
    <xf numFmtId="0" fontId="39" fillId="0" borderId="0" xfId="5" applyAlignment="1">
      <alignment vertical="center"/>
    </xf>
    <xf numFmtId="0" fontId="115" fillId="0" borderId="0" xfId="1" applyFont="1"/>
    <xf numFmtId="0" fontId="105" fillId="2" borderId="0" xfId="0" applyFont="1" applyFill="1" applyProtection="1">
      <protection hidden="1"/>
    </xf>
    <xf numFmtId="0" fontId="105" fillId="2" borderId="0" xfId="5" applyFont="1" applyFill="1" applyAlignment="1">
      <alignment vertical="center"/>
    </xf>
    <xf numFmtId="0" fontId="105" fillId="2" borderId="0" xfId="5" applyFont="1" applyFill="1"/>
    <xf numFmtId="0" fontId="105" fillId="2" borderId="54" xfId="5" applyFont="1" applyFill="1" applyBorder="1" applyAlignment="1" applyProtection="1">
      <alignment vertical="center"/>
      <protection locked="0"/>
    </xf>
    <xf numFmtId="173" fontId="40" fillId="2" borderId="1" xfId="0" applyNumberFormat="1" applyFont="1" applyFill="1" applyBorder="1"/>
    <xf numFmtId="0" fontId="18" fillId="2" borderId="0" xfId="1" applyFont="1" applyFill="1"/>
    <xf numFmtId="0" fontId="17" fillId="2" borderId="0" xfId="1" applyFont="1" applyFill="1"/>
    <xf numFmtId="0" fontId="17" fillId="2" borderId="0" xfId="1" applyFont="1" applyFill="1" applyAlignment="1">
      <alignment vertical="center"/>
    </xf>
    <xf numFmtId="14" fontId="17" fillId="2" borderId="0" xfId="1" applyNumberFormat="1" applyFont="1" applyFill="1" applyAlignment="1">
      <alignment vertical="center"/>
    </xf>
    <xf numFmtId="14" fontId="17" fillId="2" borderId="0" xfId="1" applyNumberFormat="1" applyFont="1" applyFill="1"/>
    <xf numFmtId="0" fontId="81" fillId="2" borderId="0" xfId="0" applyFont="1" applyFill="1"/>
    <xf numFmtId="14" fontId="115" fillId="2" borderId="0" xfId="1" applyNumberFormat="1" applyFont="1" applyFill="1" applyAlignment="1">
      <alignment vertical="center"/>
    </xf>
    <xf numFmtId="14" fontId="115" fillId="2" borderId="0" xfId="1" applyNumberFormat="1" applyFont="1" applyFill="1"/>
    <xf numFmtId="0" fontId="115" fillId="2" borderId="0" xfId="1" applyFont="1" applyFill="1"/>
    <xf numFmtId="0" fontId="119" fillId="0" borderId="1" xfId="0" applyFont="1" applyBorder="1" applyAlignment="1">
      <alignment horizontal="center"/>
    </xf>
    <xf numFmtId="0" fontId="119" fillId="0" borderId="0" xfId="0" applyFont="1" applyAlignment="1">
      <alignment horizontal="center"/>
    </xf>
    <xf numFmtId="0" fontId="16" fillId="2" borderId="0" xfId="1" applyFont="1" applyFill="1"/>
    <xf numFmtId="0" fontId="16" fillId="2" borderId="0" xfId="1" applyFont="1" applyFill="1" applyAlignment="1">
      <alignment vertical="center"/>
    </xf>
    <xf numFmtId="11" fontId="88" fillId="10" borderId="0" xfId="0" applyNumberFormat="1" applyFont="1" applyFill="1"/>
    <xf numFmtId="0" fontId="39" fillId="3" borderId="23" xfId="0" applyFont="1" applyFill="1" applyBorder="1" applyAlignment="1">
      <alignment horizontal="left"/>
    </xf>
    <xf numFmtId="166" fontId="0" fillId="10" borderId="23" xfId="0" applyNumberFormat="1" applyFill="1" applyBorder="1"/>
    <xf numFmtId="176" fontId="0" fillId="10" borderId="23" xfId="0" applyNumberFormat="1" applyFill="1" applyBorder="1"/>
    <xf numFmtId="0" fontId="36" fillId="0" borderId="0" xfId="1" applyFont="1" applyAlignment="1">
      <alignment horizontal="left" wrapText="1"/>
    </xf>
    <xf numFmtId="0" fontId="121" fillId="2" borderId="0" xfId="0" applyFont="1" applyFill="1"/>
    <xf numFmtId="0" fontId="123" fillId="2" borderId="0" xfId="0" applyFont="1" applyFill="1"/>
    <xf numFmtId="14" fontId="123" fillId="2" borderId="0" xfId="0" applyNumberFormat="1" applyFont="1" applyFill="1"/>
    <xf numFmtId="0" fontId="105" fillId="0" borderId="0" xfId="0" applyFont="1" applyAlignment="1" applyProtection="1">
      <alignment horizontal="center" vertical="center"/>
      <protection locked="0"/>
    </xf>
    <xf numFmtId="0" fontId="129" fillId="0" borderId="0" xfId="0" applyFont="1" applyAlignment="1">
      <alignment vertical="center"/>
    </xf>
    <xf numFmtId="0" fontId="81" fillId="14" borderId="4" xfId="0" applyFont="1" applyFill="1" applyBorder="1" applyAlignment="1">
      <alignment vertical="center"/>
    </xf>
    <xf numFmtId="0" fontId="81" fillId="14" borderId="9" xfId="0" applyFont="1" applyFill="1" applyBorder="1" applyAlignment="1">
      <alignment vertical="center"/>
    </xf>
    <xf numFmtId="0" fontId="81" fillId="2" borderId="10" xfId="0" applyFont="1" applyFill="1" applyBorder="1"/>
    <xf numFmtId="1" fontId="41" fillId="2" borderId="1" xfId="0" applyNumberFormat="1" applyFont="1" applyFill="1" applyBorder="1" applyAlignment="1">
      <alignment horizontal="center" vertical="center" wrapText="1"/>
    </xf>
    <xf numFmtId="168" fontId="40" fillId="2" borderId="41" xfId="0" applyNumberFormat="1" applyFont="1" applyFill="1" applyBorder="1"/>
    <xf numFmtId="168" fontId="0" fillId="2" borderId="57" xfId="0" applyNumberFormat="1" applyFill="1" applyBorder="1"/>
    <xf numFmtId="172" fontId="40" fillId="2" borderId="1" xfId="0" applyNumberFormat="1" applyFont="1" applyFill="1" applyBorder="1"/>
    <xf numFmtId="0" fontId="55" fillId="0" borderId="0" xfId="1" applyFont="1" applyAlignment="1">
      <alignment horizontal="center" vertical="center" wrapText="1"/>
    </xf>
    <xf numFmtId="167" fontId="51" fillId="0" borderId="0" xfId="1" applyNumberFormat="1" applyFont="1" applyAlignment="1">
      <alignment horizontal="center" vertical="center" wrapText="1"/>
    </xf>
    <xf numFmtId="0" fontId="35" fillId="2" borderId="0" xfId="1" applyFont="1" applyFill="1" applyAlignment="1">
      <alignment horizontal="center"/>
    </xf>
    <xf numFmtId="0" fontId="35" fillId="2" borderId="0" xfId="1" applyFont="1" applyFill="1" applyAlignment="1">
      <alignment horizontal="center" vertical="center"/>
    </xf>
    <xf numFmtId="14" fontId="18" fillId="2" borderId="0" xfId="1" applyNumberFormat="1" applyFont="1" applyFill="1" applyAlignment="1">
      <alignment horizontal="center" vertical="center"/>
    </xf>
    <xf numFmtId="0" fontId="131" fillId="0" borderId="0" xfId="1" applyFont="1"/>
    <xf numFmtId="0" fontId="132" fillId="0" borderId="2" xfId="1" applyFont="1" applyBorder="1"/>
    <xf numFmtId="0" fontId="36" fillId="2" borderId="2" xfId="1" applyFont="1" applyFill="1" applyBorder="1"/>
    <xf numFmtId="0" fontId="36" fillId="2" borderId="2" xfId="1" applyFont="1" applyFill="1" applyBorder="1" applyAlignment="1">
      <alignment horizontal="left"/>
    </xf>
    <xf numFmtId="0" fontId="34" fillId="0" borderId="2" xfId="1" applyFont="1" applyBorder="1"/>
    <xf numFmtId="0" fontId="90" fillId="0" borderId="0" xfId="1" applyFont="1"/>
    <xf numFmtId="0" fontId="98" fillId="0" borderId="0" xfId="1" applyFont="1"/>
    <xf numFmtId="0" fontId="25" fillId="0" borderId="0" xfId="1" applyFont="1"/>
    <xf numFmtId="0" fontId="131" fillId="0" borderId="0" xfId="1" applyFont="1" applyAlignment="1">
      <alignment horizontal="left"/>
    </xf>
    <xf numFmtId="0" fontId="123" fillId="0" borderId="0" xfId="1" applyFont="1" applyAlignment="1">
      <alignment horizontal="center"/>
    </xf>
    <xf numFmtId="0" fontId="123" fillId="2" borderId="0" xfId="1" applyFont="1" applyFill="1"/>
    <xf numFmtId="0" fontId="123" fillId="2" borderId="0" xfId="1" applyFont="1" applyFill="1" applyAlignment="1">
      <alignment horizontal="left"/>
    </xf>
    <xf numFmtId="0" fontId="123" fillId="0" borderId="0" xfId="1" applyFont="1"/>
    <xf numFmtId="0" fontId="123" fillId="0" borderId="0" xfId="1" applyFont="1" applyAlignment="1">
      <alignment horizontal="left"/>
    </xf>
    <xf numFmtId="0" fontId="123" fillId="0" borderId="0" xfId="1" applyFont="1" applyAlignment="1">
      <alignment horizontal="left" vertical="center" wrapText="1"/>
    </xf>
    <xf numFmtId="0" fontId="123" fillId="0" borderId="2" xfId="1" applyFont="1" applyBorder="1" applyAlignment="1">
      <alignment horizontal="left"/>
    </xf>
    <xf numFmtId="0" fontId="123" fillId="0" borderId="0" xfId="1" applyFont="1" applyAlignment="1">
      <alignment wrapText="1"/>
    </xf>
    <xf numFmtId="0" fontId="123" fillId="0" borderId="0" xfId="1" applyFont="1" applyAlignment="1">
      <alignment horizontal="left" wrapText="1"/>
    </xf>
    <xf numFmtId="167" fontId="123" fillId="0" borderId="0" xfId="1" applyNumberFormat="1" applyFont="1" applyAlignment="1">
      <alignment vertical="center"/>
    </xf>
    <xf numFmtId="0" fontId="131" fillId="0" borderId="0" xfId="1" applyFont="1" applyAlignment="1">
      <alignment vertical="center"/>
    </xf>
    <xf numFmtId="167" fontId="123" fillId="0" borderId="0" xfId="1" applyNumberFormat="1" applyFont="1"/>
    <xf numFmtId="0" fontId="133" fillId="0" borderId="0" xfId="1" applyFont="1" applyAlignment="1">
      <alignment horizontal="left"/>
    </xf>
    <xf numFmtId="167" fontId="123" fillId="0" borderId="0" xfId="1" applyNumberFormat="1" applyFont="1" applyAlignment="1">
      <alignment horizontal="left"/>
    </xf>
    <xf numFmtId="0" fontId="130" fillId="0" borderId="0" xfId="1" applyFont="1" applyAlignment="1">
      <alignment horizontal="left"/>
    </xf>
    <xf numFmtId="2" fontId="123" fillId="0" borderId="0" xfId="1" applyNumberFormat="1" applyFont="1" applyAlignment="1">
      <alignment horizontal="left"/>
    </xf>
    <xf numFmtId="165" fontId="47" fillId="0" borderId="0" xfId="1" applyNumberFormat="1" applyFont="1" applyAlignment="1">
      <alignment horizontal="left"/>
    </xf>
    <xf numFmtId="1" fontId="123" fillId="0" borderId="0" xfId="1" applyNumberFormat="1" applyFont="1" applyAlignment="1">
      <alignment horizontal="left"/>
    </xf>
    <xf numFmtId="165" fontId="123" fillId="0" borderId="0" xfId="1" applyNumberFormat="1" applyFont="1" applyAlignment="1">
      <alignment horizontal="left"/>
    </xf>
    <xf numFmtId="176" fontId="123" fillId="0" borderId="0" xfId="1" applyNumberFormat="1" applyFont="1" applyAlignment="1">
      <alignment horizontal="left"/>
    </xf>
    <xf numFmtId="0" fontId="123" fillId="0" borderId="2" xfId="1" applyFont="1" applyBorder="1"/>
    <xf numFmtId="0" fontId="123" fillId="0" borderId="0" xfId="1" applyFont="1" applyAlignment="1">
      <alignment horizontal="justify" vertical="center" wrapText="1"/>
    </xf>
    <xf numFmtId="0" fontId="133" fillId="0" borderId="2" xfId="1" applyFont="1" applyBorder="1" applyAlignment="1">
      <alignment vertical="center" wrapText="1"/>
    </xf>
    <xf numFmtId="0" fontId="133" fillId="0" borderId="0" xfId="1" applyFont="1" applyAlignment="1">
      <alignment vertical="top" wrapText="1"/>
    </xf>
    <xf numFmtId="0" fontId="123" fillId="0" borderId="0" xfId="1" applyFont="1" applyAlignment="1">
      <alignment vertical="center" wrapText="1"/>
    </xf>
    <xf numFmtId="0" fontId="47" fillId="0" borderId="0" xfId="1" applyFont="1" applyAlignment="1">
      <alignment vertical="center"/>
    </xf>
    <xf numFmtId="0" fontId="123" fillId="0" borderId="0" xfId="1" applyFont="1" applyAlignment="1">
      <alignment vertical="center"/>
    </xf>
    <xf numFmtId="0" fontId="123" fillId="0" borderId="0" xfId="1" applyFont="1" applyAlignment="1">
      <alignment horizontal="left" vertical="center"/>
    </xf>
    <xf numFmtId="0" fontId="123" fillId="0" borderId="2" xfId="1" applyFont="1" applyBorder="1" applyAlignment="1">
      <alignment horizontal="left" vertical="top" wrapText="1"/>
    </xf>
    <xf numFmtId="0" fontId="123" fillId="0" borderId="9" xfId="1" applyFont="1" applyBorder="1"/>
    <xf numFmtId="2" fontId="123" fillId="0" borderId="1" xfId="1" applyNumberFormat="1" applyFont="1" applyBorder="1" applyAlignment="1">
      <alignment horizontal="center" vertical="center" wrapText="1"/>
    </xf>
    <xf numFmtId="0" fontId="135" fillId="2" borderId="4" xfId="0" applyFont="1" applyFill="1" applyBorder="1"/>
    <xf numFmtId="0" fontId="68" fillId="0" borderId="2" xfId="1" applyFont="1" applyBorder="1"/>
    <xf numFmtId="0" fontId="41" fillId="2" borderId="0" xfId="0" applyFont="1" applyFill="1" applyAlignment="1">
      <alignment horizontal="left" vertical="center" wrapText="1"/>
    </xf>
    <xf numFmtId="0" fontId="53" fillId="2" borderId="0" xfId="0" applyFont="1" applyFill="1" applyAlignment="1">
      <alignment vertical="center"/>
    </xf>
    <xf numFmtId="0" fontId="127" fillId="0" borderId="0" xfId="5" applyFont="1" applyAlignment="1">
      <alignment vertical="center"/>
    </xf>
    <xf numFmtId="0" fontId="39" fillId="0" borderId="0" xfId="5"/>
    <xf numFmtId="0" fontId="39" fillId="0" borderId="4" xfId="5" applyBorder="1" applyAlignment="1">
      <alignment horizontal="center" vertical="center" wrapText="1"/>
    </xf>
    <xf numFmtId="0" fontId="39" fillId="0" borderId="9" xfId="5" applyBorder="1" applyAlignment="1">
      <alignment horizontal="center" vertical="center" wrapText="1"/>
    </xf>
    <xf numFmtId="0" fontId="39" fillId="0" borderId="10" xfId="5" applyBorder="1" applyAlignment="1">
      <alignment horizontal="center" vertical="center" wrapText="1"/>
    </xf>
    <xf numFmtId="0" fontId="39" fillId="0" borderId="1" xfId="5" applyBorder="1" applyAlignment="1">
      <alignment horizontal="center" vertical="center" wrapText="1"/>
    </xf>
    <xf numFmtId="0" fontId="39" fillId="0" borderId="0" xfId="5" applyAlignment="1">
      <alignment wrapText="1"/>
    </xf>
    <xf numFmtId="0" fontId="131" fillId="2" borderId="1" xfId="19" applyFont="1" applyFill="1" applyBorder="1" applyAlignment="1">
      <alignment vertical="center"/>
    </xf>
    <xf numFmtId="14" fontId="131" fillId="2" borderId="1" xfId="19" applyNumberFormat="1" applyFont="1" applyFill="1" applyBorder="1" applyAlignment="1">
      <alignment vertical="center"/>
    </xf>
    <xf numFmtId="0" fontId="39" fillId="0" borderId="8" xfId="5" applyBorder="1"/>
    <xf numFmtId="0" fontId="131" fillId="16" borderId="1" xfId="19" applyFont="1" applyFill="1" applyBorder="1" applyAlignment="1">
      <alignment vertical="center"/>
    </xf>
    <xf numFmtId="182" fontId="123" fillId="16" borderId="1" xfId="19" applyNumberFormat="1" applyFont="1" applyFill="1" applyBorder="1" applyAlignment="1">
      <alignment vertical="center"/>
    </xf>
    <xf numFmtId="182" fontId="136" fillId="16" borderId="1" xfId="19" applyNumberFormat="1" applyFont="1" applyFill="1" applyBorder="1" applyAlignment="1">
      <alignment vertical="center"/>
    </xf>
    <xf numFmtId="0" fontId="39" fillId="16" borderId="1" xfId="5" applyFill="1" applyBorder="1"/>
    <xf numFmtId="0" fontId="57" fillId="6" borderId="0" xfId="5" applyFont="1" applyFill="1"/>
    <xf numFmtId="14" fontId="39" fillId="0" borderId="0" xfId="5" applyNumberFormat="1"/>
    <xf numFmtId="0" fontId="123" fillId="0" borderId="0" xfId="19" applyFont="1" applyAlignment="1">
      <alignment vertical="center" wrapText="1"/>
    </xf>
    <xf numFmtId="167" fontId="123" fillId="0" borderId="0" xfId="19" applyNumberFormat="1" applyFont="1" applyAlignment="1">
      <alignment vertical="center" wrapText="1"/>
    </xf>
    <xf numFmtId="0" fontId="39" fillId="0" borderId="0" xfId="5" applyAlignment="1">
      <alignment horizontal="right"/>
    </xf>
    <xf numFmtId="0" fontId="39" fillId="0" borderId="56" xfId="5" applyBorder="1"/>
    <xf numFmtId="0" fontId="39" fillId="0" borderId="47" xfId="5" applyBorder="1"/>
    <xf numFmtId="0" fontId="39" fillId="0" borderId="45" xfId="5" applyBorder="1"/>
    <xf numFmtId="0" fontId="36" fillId="2" borderId="9" xfId="1" applyFont="1" applyFill="1" applyBorder="1"/>
    <xf numFmtId="165" fontId="123" fillId="0" borderId="2" xfId="1" applyNumberFormat="1" applyFont="1" applyBorder="1" applyAlignment="1">
      <alignment horizontal="left"/>
    </xf>
    <xf numFmtId="165" fontId="123" fillId="0" borderId="9" xfId="1" applyNumberFormat="1" applyFont="1" applyBorder="1" applyAlignment="1">
      <alignment horizontal="left"/>
    </xf>
    <xf numFmtId="1" fontId="123" fillId="0" borderId="9" xfId="1" applyNumberFormat="1" applyFont="1" applyBorder="1" applyAlignment="1">
      <alignment horizontal="left"/>
    </xf>
    <xf numFmtId="0" fontId="51" fillId="0" borderId="2" xfId="1" applyFont="1" applyBorder="1" applyAlignment="1">
      <alignment horizontal="center" vertical="center" wrapText="1"/>
    </xf>
    <xf numFmtId="178" fontId="0" fillId="11" borderId="23" xfId="0" applyNumberFormat="1" applyFill="1" applyBorder="1"/>
    <xf numFmtId="176" fontId="0" fillId="11" borderId="23" xfId="0" applyNumberFormat="1" applyFill="1" applyBorder="1"/>
    <xf numFmtId="168" fontId="0" fillId="11" borderId="23" xfId="0" applyNumberFormat="1" applyFill="1" applyBorder="1"/>
    <xf numFmtId="1" fontId="0" fillId="11" borderId="0" xfId="0" applyNumberFormat="1" applyFill="1"/>
    <xf numFmtId="166" fontId="0" fillId="11" borderId="0" xfId="0" applyNumberFormat="1" applyFill="1"/>
    <xf numFmtId="0" fontId="40" fillId="2" borderId="1" xfId="0" applyFont="1" applyFill="1" applyBorder="1" applyAlignment="1">
      <alignment horizontal="left" vertical="center"/>
    </xf>
    <xf numFmtId="0" fontId="40" fillId="2" borderId="1" xfId="0" applyFont="1" applyFill="1" applyBorder="1" applyAlignment="1">
      <alignment horizontal="center" vertical="center" wrapText="1"/>
    </xf>
    <xf numFmtId="0" fontId="62" fillId="0" borderId="1" xfId="0" applyFont="1" applyBorder="1" applyAlignment="1">
      <alignment horizontal="center"/>
    </xf>
    <xf numFmtId="0" fontId="40" fillId="2" borderId="4" xfId="0" applyFont="1" applyFill="1" applyBorder="1"/>
    <xf numFmtId="0" fontId="40" fillId="2" borderId="9" xfId="0" applyFont="1" applyFill="1" applyBorder="1"/>
    <xf numFmtId="0" fontId="40" fillId="2" borderId="10" xfId="0" applyFont="1" applyFill="1" applyBorder="1"/>
    <xf numFmtId="165" fontId="45" fillId="2" borderId="1" xfId="0" applyNumberFormat="1" applyFont="1" applyFill="1" applyBorder="1" applyAlignment="1">
      <alignment horizontal="center"/>
    </xf>
    <xf numFmtId="0" fontId="45" fillId="2" borderId="0" xfId="0" applyFont="1" applyFill="1" applyProtection="1">
      <protection locked="0"/>
    </xf>
    <xf numFmtId="0" fontId="40" fillId="2" borderId="1" xfId="0" applyFont="1" applyFill="1" applyBorder="1" applyAlignment="1">
      <alignment horizontal="center" vertical="center"/>
    </xf>
    <xf numFmtId="1" fontId="137" fillId="2" borderId="1" xfId="0" applyNumberFormat="1" applyFont="1" applyFill="1" applyBorder="1" applyAlignment="1">
      <alignment horizontal="center" vertical="center" wrapText="1"/>
    </xf>
    <xf numFmtId="167" fontId="45" fillId="2" borderId="0" xfId="0" applyNumberFormat="1" applyFont="1" applyFill="1" applyAlignment="1" applyProtection="1">
      <alignment horizontal="center"/>
      <protection locked="0"/>
    </xf>
    <xf numFmtId="0" fontId="138" fillId="0" borderId="0" xfId="0" applyFont="1" applyAlignment="1">
      <alignment horizontal="center" vertical="center"/>
    </xf>
    <xf numFmtId="2" fontId="61" fillId="0" borderId="13" xfId="0" applyNumberFormat="1" applyFont="1" applyBorder="1" applyAlignment="1">
      <alignment horizontal="center" vertical="center"/>
    </xf>
    <xf numFmtId="170" fontId="61" fillId="11" borderId="0" xfId="0" applyNumberFormat="1" applyFont="1" applyFill="1"/>
    <xf numFmtId="168" fontId="61" fillId="0" borderId="0" xfId="0" applyNumberFormat="1" applyFont="1"/>
    <xf numFmtId="165" fontId="0" fillId="10" borderId="23" xfId="0" applyNumberFormat="1" applyFill="1" applyBorder="1"/>
    <xf numFmtId="1" fontId="0" fillId="10" borderId="23" xfId="0" applyNumberFormat="1" applyFill="1" applyBorder="1"/>
    <xf numFmtId="2" fontId="0" fillId="10" borderId="23" xfId="0" applyNumberFormat="1" applyFill="1" applyBorder="1"/>
    <xf numFmtId="173" fontId="0" fillId="13" borderId="24" xfId="0" applyNumberFormat="1" applyFill="1" applyBorder="1"/>
    <xf numFmtId="170" fontId="39" fillId="13" borderId="24" xfId="0" applyNumberFormat="1" applyFont="1" applyFill="1" applyBorder="1"/>
    <xf numFmtId="183" fontId="0" fillId="13" borderId="24" xfId="0" applyNumberFormat="1" applyFill="1" applyBorder="1"/>
    <xf numFmtId="176" fontId="39" fillId="13" borderId="24" xfId="0" applyNumberFormat="1" applyFont="1" applyFill="1" applyBorder="1"/>
    <xf numFmtId="179" fontId="0" fillId="13" borderId="24" xfId="0" applyNumberFormat="1" applyFill="1" applyBorder="1"/>
    <xf numFmtId="175" fontId="0" fillId="11" borderId="3" xfId="0" applyNumberFormat="1" applyFill="1" applyBorder="1"/>
    <xf numFmtId="0" fontId="39" fillId="0" borderId="13" xfId="0" applyFont="1" applyBorder="1" applyAlignment="1">
      <alignment vertical="center"/>
    </xf>
    <xf numFmtId="0" fontId="39" fillId="11" borderId="0" xfId="0" applyFont="1" applyFill="1" applyAlignment="1">
      <alignment vertical="center"/>
    </xf>
    <xf numFmtId="0" fontId="39" fillId="0" borderId="23" xfId="0" applyFont="1" applyBorder="1" applyAlignment="1">
      <alignment horizontal="left"/>
    </xf>
    <xf numFmtId="0" fontId="0" fillId="0" borderId="23" xfId="0" applyBorder="1"/>
    <xf numFmtId="0" fontId="40" fillId="2" borderId="0" xfId="0" applyFont="1" applyFill="1" applyAlignment="1" applyProtection="1">
      <alignment vertical="center"/>
      <protection locked="0"/>
    </xf>
    <xf numFmtId="2" fontId="39" fillId="10" borderId="23" xfId="0" applyNumberFormat="1" applyFont="1" applyFill="1" applyBorder="1"/>
    <xf numFmtId="0" fontId="39" fillId="0" borderId="23" xfId="0" applyFont="1" applyBorder="1" applyAlignment="1">
      <alignment horizontal="right"/>
    </xf>
    <xf numFmtId="0" fontId="0" fillId="10" borderId="0" xfId="0" applyFill="1"/>
    <xf numFmtId="166" fontId="0" fillId="13" borderId="24" xfId="0" applyNumberFormat="1" applyFill="1" applyBorder="1"/>
    <xf numFmtId="0" fontId="55" fillId="0" borderId="0" xfId="1" applyFont="1" applyAlignment="1">
      <alignment horizontal="center"/>
    </xf>
    <xf numFmtId="0" fontId="40" fillId="3" borderId="0" xfId="0" applyFont="1" applyFill="1" applyAlignment="1">
      <alignment horizontal="center"/>
    </xf>
    <xf numFmtId="165" fontId="40" fillId="2" borderId="0" xfId="0" applyNumberFormat="1" applyFont="1" applyFill="1" applyAlignment="1">
      <alignment horizontal="center"/>
    </xf>
    <xf numFmtId="0" fontId="105" fillId="2" borderId="1" xfId="0" applyFont="1" applyFill="1" applyBorder="1" applyAlignment="1" applyProtection="1">
      <alignment vertical="center"/>
      <protection locked="0"/>
    </xf>
    <xf numFmtId="0" fontId="105" fillId="2" borderId="1" xfId="0" applyFont="1" applyFill="1" applyBorder="1" applyAlignment="1">
      <alignment vertical="center"/>
    </xf>
    <xf numFmtId="0" fontId="105" fillId="2" borderId="1" xfId="0" applyFont="1" applyFill="1" applyBorder="1"/>
    <xf numFmtId="0" fontId="40" fillId="2" borderId="10" xfId="0" applyFont="1" applyFill="1" applyBorder="1" applyAlignment="1">
      <alignment vertical="center"/>
    </xf>
    <xf numFmtId="0" fontId="105" fillId="2" borderId="1" xfId="0" applyFont="1" applyFill="1" applyBorder="1" applyAlignment="1" applyProtection="1">
      <alignment horizontal="center" vertical="center"/>
      <protection locked="0"/>
    </xf>
    <xf numFmtId="0" fontId="40" fillId="10" borderId="1" xfId="0" applyFont="1" applyFill="1" applyBorder="1" applyAlignment="1">
      <alignment vertical="center"/>
    </xf>
    <xf numFmtId="0" fontId="105" fillId="2" borderId="1" xfId="5" applyFont="1" applyFill="1" applyBorder="1" applyAlignment="1" applyProtection="1">
      <alignment horizontal="center" vertical="center"/>
      <protection locked="0"/>
    </xf>
    <xf numFmtId="0" fontId="40" fillId="2" borderId="1" xfId="0" applyFont="1" applyFill="1" applyBorder="1" applyAlignment="1" applyProtection="1">
      <alignment horizontal="center" vertical="center"/>
      <protection locked="0"/>
    </xf>
    <xf numFmtId="0" fontId="108" fillId="2" borderId="1" xfId="5" applyFont="1" applyFill="1" applyBorder="1" applyAlignment="1" applyProtection="1">
      <alignment horizontal="center" vertical="center"/>
      <protection locked="0"/>
    </xf>
    <xf numFmtId="0" fontId="105" fillId="2" borderId="4" xfId="0" applyFont="1" applyFill="1" applyBorder="1" applyAlignment="1">
      <alignment horizontal="right" vertical="center"/>
    </xf>
    <xf numFmtId="0" fontId="40" fillId="2" borderId="4" xfId="0" applyFont="1" applyFill="1" applyBorder="1" applyAlignment="1">
      <alignment vertical="center"/>
    </xf>
    <xf numFmtId="0" fontId="99" fillId="0" borderId="10" xfId="0" applyFont="1" applyBorder="1" applyAlignment="1">
      <alignment vertical="center" wrapText="1"/>
    </xf>
    <xf numFmtId="0" fontId="101" fillId="0" borderId="10" xfId="0" applyFont="1" applyBorder="1" applyAlignment="1">
      <alignment vertical="center" wrapText="1"/>
    </xf>
    <xf numFmtId="0" fontId="40" fillId="2" borderId="1" xfId="0" applyFont="1" applyFill="1" applyBorder="1" applyAlignment="1">
      <alignment horizontal="left" vertical="center" wrapText="1"/>
    </xf>
    <xf numFmtId="0" fontId="81" fillId="3" borderId="1" xfId="0" applyFont="1" applyFill="1" applyBorder="1" applyAlignment="1" applyProtection="1">
      <alignment vertical="center"/>
      <protection locked="0"/>
    </xf>
    <xf numFmtId="0" fontId="140" fillId="3" borderId="6" xfId="0" applyFont="1" applyFill="1" applyBorder="1" applyAlignment="1">
      <alignment horizontal="center"/>
    </xf>
    <xf numFmtId="170" fontId="39" fillId="0" borderId="0" xfId="0" applyNumberFormat="1" applyFont="1"/>
    <xf numFmtId="172" fontId="0" fillId="0" borderId="0" xfId="0" applyNumberFormat="1"/>
    <xf numFmtId="172" fontId="39" fillId="0" borderId="0" xfId="0" applyNumberFormat="1" applyFont="1"/>
    <xf numFmtId="0" fontId="40" fillId="0" borderId="4" xfId="0" applyFont="1" applyBorder="1" applyAlignment="1">
      <alignment horizontal="left" vertical="center"/>
    </xf>
    <xf numFmtId="0" fontId="40" fillId="0" borderId="10" xfId="0" applyFont="1" applyBorder="1" applyAlignment="1">
      <alignment horizontal="left"/>
    </xf>
    <xf numFmtId="0" fontId="105" fillId="0" borderId="1" xfId="0" applyFont="1" applyBorder="1" applyAlignment="1" applyProtection="1">
      <alignment horizontal="center" vertical="center"/>
      <protection locked="0"/>
    </xf>
    <xf numFmtId="0" fontId="40" fillId="0" borderId="9" xfId="0" applyFont="1" applyBorder="1" applyAlignment="1">
      <alignment horizontal="left"/>
    </xf>
    <xf numFmtId="2" fontId="36" fillId="2" borderId="0" xfId="1" applyNumberFormat="1" applyFont="1" applyFill="1"/>
    <xf numFmtId="168" fontId="36" fillId="2" borderId="0" xfId="1" applyNumberFormat="1" applyFont="1" applyFill="1"/>
    <xf numFmtId="0" fontId="28" fillId="2" borderId="0" xfId="1" applyFont="1" applyFill="1"/>
    <xf numFmtId="0" fontId="22" fillId="2" borderId="0" xfId="1" applyFont="1" applyFill="1" applyAlignment="1">
      <alignment horizontal="center"/>
    </xf>
    <xf numFmtId="0" fontId="36" fillId="2" borderId="0" xfId="1" applyFont="1" applyFill="1" applyAlignment="1">
      <alignment horizontal="center"/>
    </xf>
    <xf numFmtId="0" fontId="12" fillId="2" borderId="0" xfId="1" applyFont="1" applyFill="1"/>
    <xf numFmtId="181" fontId="36" fillId="2" borderId="1" xfId="1" applyNumberFormat="1" applyFont="1" applyFill="1" applyBorder="1"/>
    <xf numFmtId="165" fontId="27" fillId="2" borderId="1" xfId="1" applyNumberFormat="1" applyFont="1" applyFill="1" applyBorder="1"/>
    <xf numFmtId="0" fontId="36" fillId="2" borderId="1" xfId="1" applyFont="1" applyFill="1" applyBorder="1"/>
    <xf numFmtId="2" fontId="36" fillId="2" borderId="1" xfId="1" applyNumberFormat="1" applyFont="1" applyFill="1" applyBorder="1" applyAlignment="1">
      <alignment horizontal="center"/>
    </xf>
    <xf numFmtId="0" fontId="36" fillId="3" borderId="1" xfId="1" applyFont="1" applyFill="1" applyBorder="1"/>
    <xf numFmtId="170" fontId="36" fillId="2" borderId="0" xfId="1" applyNumberFormat="1" applyFont="1" applyFill="1" applyAlignment="1">
      <alignment horizontal="center" vertical="center"/>
    </xf>
    <xf numFmtId="181" fontId="36" fillId="2" borderId="47" xfId="1" applyNumberFormat="1" applyFont="1" applyFill="1" applyBorder="1"/>
    <xf numFmtId="165" fontId="27" fillId="2" borderId="47" xfId="1" applyNumberFormat="1" applyFont="1" applyFill="1" applyBorder="1"/>
    <xf numFmtId="0" fontId="36" fillId="2" borderId="47" xfId="1" applyFont="1" applyFill="1" applyBorder="1"/>
    <xf numFmtId="2" fontId="36" fillId="2" borderId="47" xfId="1" applyNumberFormat="1" applyFont="1" applyFill="1" applyBorder="1" applyAlignment="1">
      <alignment horizontal="center"/>
    </xf>
    <xf numFmtId="0" fontId="27" fillId="2" borderId="1" xfId="1" applyFont="1" applyFill="1" applyBorder="1" applyAlignment="1">
      <alignment horizontal="center"/>
    </xf>
    <xf numFmtId="0" fontId="22" fillId="2" borderId="1" xfId="1" applyFont="1" applyFill="1" applyBorder="1" applyAlignment="1">
      <alignment horizontal="center"/>
    </xf>
    <xf numFmtId="0" fontId="12" fillId="2" borderId="1" xfId="1" applyFont="1" applyFill="1" applyBorder="1" applyAlignment="1" applyProtection="1">
      <alignment horizontal="center"/>
      <protection locked="0"/>
    </xf>
    <xf numFmtId="165" fontId="40" fillId="0" borderId="1" xfId="0" applyNumberFormat="1" applyFont="1" applyBorder="1" applyAlignment="1">
      <alignment horizontal="center"/>
    </xf>
    <xf numFmtId="2" fontId="106" fillId="3" borderId="1" xfId="0" applyNumberFormat="1" applyFont="1" applyFill="1" applyBorder="1" applyAlignment="1" applyProtection="1">
      <alignment horizontal="center"/>
      <protection locked="0"/>
    </xf>
    <xf numFmtId="0" fontId="116" fillId="12" borderId="64" xfId="0" applyFont="1" applyFill="1" applyBorder="1" applyAlignment="1">
      <alignment horizontal="center" vertical="center"/>
    </xf>
    <xf numFmtId="0" fontId="116" fillId="12" borderId="57" xfId="0" applyFont="1" applyFill="1" applyBorder="1" applyAlignment="1">
      <alignment horizontal="center" vertical="center"/>
    </xf>
    <xf numFmtId="0" fontId="117" fillId="12" borderId="57" xfId="0" applyFont="1" applyFill="1" applyBorder="1" applyAlignment="1" applyProtection="1">
      <alignment horizontal="center" vertical="center" wrapText="1"/>
      <protection hidden="1"/>
    </xf>
    <xf numFmtId="0" fontId="117" fillId="12" borderId="57" xfId="0" applyFont="1" applyFill="1" applyBorder="1" applyAlignment="1" applyProtection="1">
      <alignment horizontal="center" vertical="center" wrapText="1"/>
      <protection locked="0" hidden="1"/>
    </xf>
    <xf numFmtId="0" fontId="120" fillId="12" borderId="65" xfId="0" applyFont="1" applyFill="1" applyBorder="1" applyAlignment="1">
      <alignment horizontal="center" vertical="center"/>
    </xf>
    <xf numFmtId="0" fontId="39" fillId="12" borderId="29" xfId="0" applyFont="1" applyFill="1" applyBorder="1" applyAlignment="1">
      <alignment horizontal="center" vertical="center"/>
    </xf>
    <xf numFmtId="0" fontId="39" fillId="12" borderId="20" xfId="0" applyFont="1" applyFill="1" applyBorder="1" applyAlignment="1">
      <alignment horizontal="center" vertical="center"/>
    </xf>
    <xf numFmtId="0" fontId="113" fillId="12" borderId="20" xfId="0" applyFont="1" applyFill="1" applyBorder="1" applyAlignment="1" applyProtection="1">
      <alignment horizontal="center" vertical="center" wrapText="1"/>
      <protection hidden="1"/>
    </xf>
    <xf numFmtId="0" fontId="113" fillId="12" borderId="20" xfId="0" applyFont="1" applyFill="1" applyBorder="1" applyAlignment="1" applyProtection="1">
      <alignment horizontal="center" vertical="center" wrapText="1"/>
      <protection locked="0" hidden="1"/>
    </xf>
    <xf numFmtId="0" fontId="119" fillId="12" borderId="35" xfId="0" applyFont="1" applyFill="1" applyBorder="1" applyAlignment="1">
      <alignment horizontal="center" vertical="center"/>
    </xf>
    <xf numFmtId="0" fontId="116" fillId="0" borderId="0" xfId="0" applyFont="1"/>
    <xf numFmtId="0" fontId="0" fillId="12" borderId="1" xfId="0" applyFill="1" applyBorder="1" applyAlignment="1">
      <alignment horizontal="center" vertical="center"/>
    </xf>
    <xf numFmtId="0" fontId="112" fillId="12" borderId="1" xfId="0" applyFont="1" applyFill="1" applyBorder="1" applyAlignment="1" applyProtection="1">
      <alignment horizontal="center" vertical="center" wrapText="1"/>
      <protection hidden="1"/>
    </xf>
    <xf numFmtId="0" fontId="113" fillId="12" borderId="1" xfId="0" applyFont="1" applyFill="1" applyBorder="1" applyAlignment="1" applyProtection="1">
      <alignment horizontal="center" vertical="center" wrapText="1"/>
      <protection locked="0" hidden="1"/>
    </xf>
    <xf numFmtId="0" fontId="143" fillId="0" borderId="1" xfId="0" applyFont="1" applyBorder="1" applyAlignment="1">
      <alignment horizontal="center" vertical="center"/>
    </xf>
    <xf numFmtId="0" fontId="143" fillId="0" borderId="21" xfId="0" applyFont="1" applyBorder="1" applyAlignment="1">
      <alignment horizontal="center" vertical="center"/>
    </xf>
    <xf numFmtId="0" fontId="144" fillId="0" borderId="21" xfId="0" applyFont="1" applyBorder="1" applyAlignment="1" applyProtection="1">
      <alignment horizontal="center" vertical="center" wrapText="1"/>
      <protection hidden="1"/>
    </xf>
    <xf numFmtId="0" fontId="144" fillId="0" borderId="21" xfId="0" applyFont="1" applyBorder="1" applyAlignment="1" applyProtection="1">
      <alignment horizontal="center" vertical="center" wrapText="1"/>
      <protection locked="0" hidden="1"/>
    </xf>
    <xf numFmtId="0" fontId="146" fillId="0" borderId="7" xfId="0" applyFont="1" applyBorder="1" applyAlignment="1">
      <alignment horizontal="center" vertical="center"/>
    </xf>
    <xf numFmtId="0" fontId="144" fillId="0" borderId="1" xfId="0" applyFont="1" applyBorder="1" applyAlignment="1" applyProtection="1">
      <alignment horizontal="center" vertical="center" wrapText="1"/>
      <protection hidden="1"/>
    </xf>
    <xf numFmtId="0" fontId="144" fillId="0" borderId="1" xfId="0" applyFont="1" applyBorder="1" applyAlignment="1" applyProtection="1">
      <alignment horizontal="center" vertical="center" wrapText="1"/>
      <protection locked="0" hidden="1"/>
    </xf>
    <xf numFmtId="0" fontId="146" fillId="0" borderId="4" xfId="0" applyFont="1" applyBorder="1" applyAlignment="1">
      <alignment horizontal="center" vertical="center"/>
    </xf>
    <xf numFmtId="0" fontId="119" fillId="0" borderId="41" xfId="0" applyFont="1" applyBorder="1" applyAlignment="1">
      <alignment horizontal="center"/>
    </xf>
    <xf numFmtId="0" fontId="143" fillId="0" borderId="66" xfId="0" applyFont="1" applyBorder="1" applyAlignment="1">
      <alignment horizontal="center" vertical="center"/>
    </xf>
    <xf numFmtId="0" fontId="143" fillId="0" borderId="67" xfId="0" applyFont="1" applyBorder="1" applyAlignment="1">
      <alignment horizontal="center" vertical="center"/>
    </xf>
    <xf numFmtId="0" fontId="144" fillId="0" borderId="67" xfId="0" applyFont="1" applyBorder="1" applyAlignment="1" applyProtection="1">
      <alignment horizontal="center" vertical="center" wrapText="1"/>
      <protection hidden="1"/>
    </xf>
    <xf numFmtId="0" fontId="144" fillId="0" borderId="67" xfId="0" applyFont="1" applyBorder="1" applyAlignment="1" applyProtection="1">
      <alignment horizontal="center" vertical="center" wrapText="1"/>
      <protection locked="0" hidden="1"/>
    </xf>
    <xf numFmtId="0" fontId="146" fillId="0" borderId="68" xfId="0" applyFont="1" applyBorder="1" applyAlignment="1">
      <alignment horizontal="center" vertical="center"/>
    </xf>
    <xf numFmtId="0" fontId="0" fillId="12" borderId="29" xfId="0" applyFill="1" applyBorder="1" applyAlignment="1">
      <alignment horizontal="center" vertical="center"/>
    </xf>
    <xf numFmtId="0" fontId="0" fillId="12" borderId="20" xfId="0" applyFill="1" applyBorder="1" applyAlignment="1">
      <alignment horizontal="center" vertical="center"/>
    </xf>
    <xf numFmtId="0" fontId="112" fillId="12" borderId="20" xfId="0" applyFont="1" applyFill="1" applyBorder="1" applyAlignment="1" applyProtection="1">
      <alignment horizontal="center" vertical="center" wrapText="1"/>
      <protection hidden="1"/>
    </xf>
    <xf numFmtId="0" fontId="0" fillId="12" borderId="30" xfId="0" applyFill="1" applyBorder="1" applyAlignment="1">
      <alignment horizontal="center" vertical="center"/>
    </xf>
    <xf numFmtId="0" fontId="119" fillId="12" borderId="31" xfId="0" applyFont="1" applyFill="1" applyBorder="1" applyAlignment="1">
      <alignment horizontal="center" vertical="center"/>
    </xf>
    <xf numFmtId="0" fontId="116" fillId="12" borderId="66" xfId="0" applyFont="1" applyFill="1" applyBorder="1" applyAlignment="1">
      <alignment horizontal="center" vertical="center"/>
    </xf>
    <xf numFmtId="0" fontId="116" fillId="12" borderId="67" xfId="0" applyFont="1" applyFill="1" applyBorder="1" applyAlignment="1">
      <alignment horizontal="center" vertical="center"/>
    </xf>
    <xf numFmtId="0" fontId="117" fillId="12" borderId="67" xfId="0" applyFont="1" applyFill="1" applyBorder="1" applyAlignment="1" applyProtection="1">
      <alignment horizontal="center" vertical="center" wrapText="1"/>
      <protection hidden="1"/>
    </xf>
    <xf numFmtId="0" fontId="117" fillId="12" borderId="67" xfId="0" applyFont="1" applyFill="1" applyBorder="1" applyAlignment="1" applyProtection="1">
      <alignment horizontal="center" vertical="center" wrapText="1"/>
      <protection locked="0" hidden="1"/>
    </xf>
    <xf numFmtId="0" fontId="117" fillId="12" borderId="33" xfId="0" applyFont="1" applyFill="1" applyBorder="1" applyAlignment="1" applyProtection="1">
      <alignment horizontal="center" vertical="center" wrapText="1"/>
      <protection locked="0" hidden="1"/>
    </xf>
    <xf numFmtId="0" fontId="120" fillId="12" borderId="69" xfId="0" applyFont="1" applyFill="1" applyBorder="1" applyAlignment="1">
      <alignment horizontal="center" vertical="center"/>
    </xf>
    <xf numFmtId="0" fontId="0" fillId="0" borderId="59" xfId="0" applyBorder="1" applyAlignment="1">
      <alignment horizontal="center" vertical="center"/>
    </xf>
    <xf numFmtId="0" fontId="0" fillId="0" borderId="60" xfId="0" applyBorder="1" applyAlignment="1">
      <alignment horizontal="center" vertical="center"/>
    </xf>
    <xf numFmtId="0" fontId="116" fillId="0" borderId="60" xfId="0" applyFont="1" applyBorder="1" applyAlignment="1">
      <alignment horizontal="center" vertical="center"/>
    </xf>
    <xf numFmtId="0" fontId="39" fillId="0" borderId="60" xfId="0" applyFont="1" applyBorder="1" applyAlignment="1">
      <alignment horizontal="center" vertical="center"/>
    </xf>
    <xf numFmtId="0" fontId="116" fillId="0" borderId="61" xfId="0" applyFont="1" applyBorder="1" applyAlignment="1">
      <alignment horizontal="center" vertical="center"/>
    </xf>
    <xf numFmtId="0" fontId="40" fillId="2" borderId="54" xfId="0" applyFont="1" applyFill="1" applyBorder="1"/>
    <xf numFmtId="0" fontId="11" fillId="2" borderId="1" xfId="1" applyFont="1" applyFill="1" applyBorder="1" applyAlignment="1" applyProtection="1">
      <alignment horizontal="center"/>
      <protection locked="0"/>
    </xf>
    <xf numFmtId="0" fontId="62" fillId="2" borderId="1" xfId="0" applyFont="1" applyFill="1" applyBorder="1" applyAlignment="1">
      <alignment horizontal="center" vertical="center"/>
    </xf>
    <xf numFmtId="170" fontId="62" fillId="2" borderId="1" xfId="0" applyNumberFormat="1" applyFont="1" applyFill="1" applyBorder="1" applyAlignment="1">
      <alignment horizontal="center" vertical="center"/>
    </xf>
    <xf numFmtId="2" fontId="106" fillId="3" borderId="1" xfId="0" applyNumberFormat="1" applyFont="1" applyFill="1" applyBorder="1" applyAlignment="1" applyProtection="1">
      <alignment horizontal="center" vertical="center"/>
      <protection locked="0"/>
    </xf>
    <xf numFmtId="166" fontId="106" fillId="3" borderId="1" xfId="0" applyNumberFormat="1" applyFont="1" applyFill="1" applyBorder="1" applyAlignment="1" applyProtection="1">
      <alignment horizontal="center" vertical="center"/>
      <protection locked="0"/>
    </xf>
    <xf numFmtId="166" fontId="106" fillId="3" borderId="1" xfId="0" applyNumberFormat="1" applyFont="1" applyFill="1" applyBorder="1" applyAlignment="1" applyProtection="1">
      <alignment horizontal="center"/>
      <protection locked="0"/>
    </xf>
    <xf numFmtId="0" fontId="39" fillId="18" borderId="23" xfId="0" applyFont="1" applyFill="1" applyBorder="1" applyAlignment="1">
      <alignment horizontal="left"/>
    </xf>
    <xf numFmtId="0" fontId="105" fillId="0" borderId="21" xfId="0" applyFont="1" applyBorder="1" applyAlignment="1" applyProtection="1">
      <alignment horizontal="center" vertical="center"/>
      <protection locked="0"/>
    </xf>
    <xf numFmtId="0" fontId="123" fillId="16" borderId="1" xfId="1" applyFont="1" applyFill="1" applyBorder="1" applyAlignment="1">
      <alignment vertical="center"/>
    </xf>
    <xf numFmtId="182" fontId="123" fillId="16" borderId="1" xfId="1" applyNumberFormat="1" applyFont="1" applyFill="1" applyBorder="1" applyAlignment="1">
      <alignment vertical="center"/>
    </xf>
    <xf numFmtId="182" fontId="136" fillId="16" borderId="1" xfId="1" applyNumberFormat="1" applyFont="1" applyFill="1" applyBorder="1" applyAlignment="1">
      <alignment vertical="center"/>
    </xf>
    <xf numFmtId="0" fontId="39" fillId="16" borderId="1" xfId="0" applyFont="1" applyFill="1" applyBorder="1"/>
    <xf numFmtId="0" fontId="0" fillId="16" borderId="1" xfId="0" applyFill="1" applyBorder="1"/>
    <xf numFmtId="0" fontId="123" fillId="16" borderId="1" xfId="1" applyFont="1" applyFill="1" applyBorder="1"/>
    <xf numFmtId="0" fontId="123" fillId="16" borderId="1" xfId="1" applyFont="1" applyFill="1" applyBorder="1" applyAlignment="1">
      <alignment vertical="center" wrapText="1"/>
    </xf>
    <xf numFmtId="0" fontId="0" fillId="0" borderId="0" xfId="0" applyAlignment="1">
      <alignment horizontal="right"/>
    </xf>
    <xf numFmtId="0" fontId="55" fillId="11" borderId="19" xfId="0" applyFont="1" applyFill="1" applyBorder="1" applyAlignment="1">
      <alignment vertical="center" wrapText="1"/>
    </xf>
    <xf numFmtId="14" fontId="0" fillId="0" borderId="0" xfId="0" applyNumberFormat="1"/>
    <xf numFmtId="0" fontId="39" fillId="20" borderId="22" xfId="0" applyFont="1" applyFill="1" applyBorder="1" applyAlignment="1">
      <alignment horizontal="center" vertical="center"/>
    </xf>
    <xf numFmtId="0" fontId="44" fillId="20" borderId="22" xfId="0" applyFont="1" applyFill="1" applyBorder="1" applyAlignment="1">
      <alignment horizontal="center" vertical="center" wrapText="1"/>
    </xf>
    <xf numFmtId="0" fontId="44" fillId="20" borderId="23" xfId="0" applyFont="1" applyFill="1" applyBorder="1" applyAlignment="1">
      <alignment horizontal="center" vertical="center" wrapText="1"/>
    </xf>
    <xf numFmtId="0" fontId="39" fillId="20" borderId="23" xfId="0" applyFont="1" applyFill="1" applyBorder="1" applyAlignment="1">
      <alignment horizontal="center" vertical="center"/>
    </xf>
    <xf numFmtId="0" fontId="39" fillId="20" borderId="24" xfId="0" applyFont="1" applyFill="1" applyBorder="1" applyAlignment="1">
      <alignment horizontal="center" vertical="center"/>
    </xf>
    <xf numFmtId="0" fontId="39" fillId="20" borderId="23" xfId="0" applyFont="1" applyFill="1" applyBorder="1" applyAlignment="1">
      <alignment horizontal="left" vertical="center"/>
    </xf>
    <xf numFmtId="0" fontId="0" fillId="6" borderId="48" xfId="0" applyFill="1" applyBorder="1"/>
    <xf numFmtId="0" fontId="55" fillId="19" borderId="21" xfId="0" applyFont="1" applyFill="1" applyBorder="1" applyAlignment="1">
      <alignment horizontal="center" vertical="center"/>
    </xf>
    <xf numFmtId="0" fontId="0" fillId="2" borderId="16" xfId="0" applyFill="1" applyBorder="1" applyAlignment="1">
      <alignment horizontal="center"/>
    </xf>
    <xf numFmtId="0" fontId="0" fillId="15" borderId="15" xfId="0" applyFill="1" applyBorder="1" applyAlignment="1">
      <alignment horizontal="right"/>
    </xf>
    <xf numFmtId="0" fontId="39" fillId="0" borderId="48" xfId="0" applyFont="1" applyBorder="1"/>
    <xf numFmtId="0" fontId="148" fillId="0" borderId="21" xfId="0" applyFont="1" applyBorder="1"/>
    <xf numFmtId="0" fontId="0" fillId="0" borderId="21" xfId="0" applyBorder="1" applyAlignment="1">
      <alignment vertical="center"/>
    </xf>
    <xf numFmtId="0" fontId="55" fillId="16" borderId="49" xfId="0" applyFont="1" applyFill="1" applyBorder="1" applyAlignment="1">
      <alignment vertical="center"/>
    </xf>
    <xf numFmtId="0" fontId="0" fillId="15" borderId="15" xfId="0" applyFill="1" applyBorder="1"/>
    <xf numFmtId="0" fontId="39" fillId="0" borderId="20" xfId="0" applyFont="1" applyBorder="1"/>
    <xf numFmtId="0" fontId="0" fillId="15" borderId="71" xfId="0" applyFill="1" applyBorder="1"/>
    <xf numFmtId="1" fontId="0" fillId="21" borderId="30" xfId="0" applyNumberFormat="1" applyFill="1" applyBorder="1" applyAlignment="1">
      <alignment horizontal="center"/>
    </xf>
    <xf numFmtId="178" fontId="0" fillId="2" borderId="1" xfId="0" applyNumberFormat="1" applyFill="1" applyBorder="1" applyAlignment="1">
      <alignment horizontal="center"/>
    </xf>
    <xf numFmtId="2" fontId="0" fillId="2" borderId="16" xfId="0" applyNumberFormat="1" applyFill="1" applyBorder="1" applyAlignment="1">
      <alignment horizontal="center"/>
    </xf>
    <xf numFmtId="0" fontId="39" fillId="15" borderId="40" xfId="0" applyFont="1" applyFill="1" applyBorder="1" applyAlignment="1">
      <alignment horizontal="right" vertical="center"/>
    </xf>
    <xf numFmtId="2" fontId="0" fillId="15" borderId="30" xfId="0" applyNumberFormat="1" applyFill="1" applyBorder="1" applyAlignment="1">
      <alignment horizontal="center" vertical="center"/>
    </xf>
    <xf numFmtId="11" fontId="0" fillId="0" borderId="1" xfId="0" applyNumberFormat="1" applyBorder="1" applyAlignment="1">
      <alignment horizontal="center" vertical="center"/>
    </xf>
    <xf numFmtId="168" fontId="0" fillId="0" borderId="1" xfId="0" applyNumberFormat="1" applyBorder="1" applyAlignment="1">
      <alignment horizontal="center" vertical="center"/>
    </xf>
    <xf numFmtId="11" fontId="0" fillId="0" borderId="31" xfId="0" applyNumberFormat="1" applyBorder="1" applyAlignment="1">
      <alignment horizontal="center" vertical="center"/>
    </xf>
    <xf numFmtId="0" fontId="0" fillId="15" borderId="15" xfId="0" applyFill="1" applyBorder="1" applyAlignment="1">
      <alignment horizontal="center"/>
    </xf>
    <xf numFmtId="2" fontId="0" fillId="15" borderId="1" xfId="0" applyNumberFormat="1" applyFill="1" applyBorder="1" applyAlignment="1">
      <alignment horizontal="center" vertical="center"/>
    </xf>
    <xf numFmtId="11" fontId="0" fillId="2" borderId="16" xfId="0" applyNumberFormat="1" applyFill="1" applyBorder="1" applyAlignment="1">
      <alignment horizontal="center"/>
    </xf>
    <xf numFmtId="0" fontId="0" fillId="2" borderId="16" xfId="0" applyFill="1" applyBorder="1"/>
    <xf numFmtId="0" fontId="0" fillId="2" borderId="17" xfId="0" applyFill="1" applyBorder="1"/>
    <xf numFmtId="0" fontId="0" fillId="2" borderId="3" xfId="0" applyFill="1" applyBorder="1"/>
    <xf numFmtId="0" fontId="0" fillId="2" borderId="11" xfId="0" applyFill="1" applyBorder="1"/>
    <xf numFmtId="0" fontId="39" fillId="15" borderId="55" xfId="0" applyFont="1" applyFill="1" applyBorder="1" applyAlignment="1">
      <alignment horizontal="right" vertical="center"/>
    </xf>
    <xf numFmtId="2" fontId="0" fillId="15" borderId="46" xfId="0" applyNumberFormat="1" applyFill="1" applyBorder="1" applyAlignment="1">
      <alignment horizontal="center" vertical="center"/>
    </xf>
    <xf numFmtId="2" fontId="0" fillId="0" borderId="30" xfId="0" applyNumberFormat="1" applyBorder="1" applyAlignment="1">
      <alignment horizontal="center" vertical="center"/>
    </xf>
    <xf numFmtId="11" fontId="0" fillId="0" borderId="0" xfId="0" applyNumberFormat="1" applyAlignment="1">
      <alignment horizontal="center" vertical="center"/>
    </xf>
    <xf numFmtId="2" fontId="0" fillId="0" borderId="1" xfId="0" applyNumberFormat="1" applyBorder="1" applyAlignment="1">
      <alignment horizontal="center" vertical="center"/>
    </xf>
    <xf numFmtId="14" fontId="0" fillId="21" borderId="1" xfId="0" applyNumberFormat="1" applyFill="1" applyBorder="1"/>
    <xf numFmtId="0" fontId="55" fillId="19" borderId="1" xfId="0" applyFont="1" applyFill="1" applyBorder="1" applyAlignment="1">
      <alignment horizontal="center" vertical="center"/>
    </xf>
    <xf numFmtId="0" fontId="0" fillId="21" borderId="1" xfId="0" applyFill="1" applyBorder="1" applyAlignment="1">
      <alignment horizontal="center"/>
    </xf>
    <xf numFmtId="0" fontId="39" fillId="6" borderId="5" xfId="0" applyFont="1" applyFill="1" applyBorder="1"/>
    <xf numFmtId="0" fontId="0" fillId="16" borderId="1" xfId="0" applyFill="1" applyBorder="1" applyAlignment="1" applyProtection="1">
      <alignment horizontal="center"/>
      <protection locked="0"/>
    </xf>
    <xf numFmtId="0" fontId="0" fillId="15" borderId="15" xfId="0" applyFill="1" applyBorder="1" applyAlignment="1">
      <alignment horizontal="right" vertical="center"/>
    </xf>
    <xf numFmtId="168" fontId="0" fillId="0" borderId="0" xfId="0" applyNumberFormat="1" applyAlignment="1">
      <alignment horizontal="center" vertical="center"/>
    </xf>
    <xf numFmtId="11" fontId="0" fillId="0" borderId="16" xfId="0" applyNumberFormat="1" applyBorder="1" applyAlignment="1">
      <alignment horizontal="center" vertical="center"/>
    </xf>
    <xf numFmtId="0" fontId="0" fillId="0" borderId="5" xfId="0" applyBorder="1" applyAlignment="1">
      <alignment horizontal="center" vertical="center"/>
    </xf>
    <xf numFmtId="0" fontId="44" fillId="15" borderId="40" xfId="0" applyFont="1" applyFill="1" applyBorder="1" applyAlignment="1">
      <alignment vertical="center" wrapText="1"/>
    </xf>
    <xf numFmtId="0" fontId="44" fillId="15" borderId="9" xfId="0" applyFont="1" applyFill="1" applyBorder="1" applyAlignment="1">
      <alignment vertical="center" wrapText="1"/>
    </xf>
    <xf numFmtId="0" fontId="0" fillId="15" borderId="9" xfId="0" applyFill="1" applyBorder="1" applyAlignment="1">
      <alignment horizontal="left"/>
    </xf>
    <xf numFmtId="0" fontId="0" fillId="15" borderId="28" xfId="0" applyFill="1" applyBorder="1" applyAlignment="1">
      <alignment horizontal="left"/>
    </xf>
    <xf numFmtId="0" fontId="0" fillId="15" borderId="15" xfId="0" applyFill="1" applyBorder="1" applyAlignment="1">
      <alignment horizontal="left"/>
    </xf>
    <xf numFmtId="0" fontId="44" fillId="15" borderId="4" xfId="0" applyFont="1" applyFill="1" applyBorder="1" applyAlignment="1">
      <alignment vertical="center" wrapText="1"/>
    </xf>
    <xf numFmtId="0" fontId="0" fillId="15" borderId="71" xfId="0" applyFill="1" applyBorder="1" applyAlignment="1">
      <alignment horizontal="left"/>
    </xf>
    <xf numFmtId="0" fontId="44" fillId="15" borderId="4" xfId="0" applyFont="1" applyFill="1" applyBorder="1" applyAlignment="1">
      <alignment horizontal="justify" vertical="justify" wrapText="1"/>
    </xf>
    <xf numFmtId="0" fontId="39" fillId="0" borderId="30" xfId="0" applyFont="1" applyBorder="1"/>
    <xf numFmtId="0" fontId="55" fillId="0" borderId="1" xfId="0" applyFont="1" applyBorder="1" applyAlignment="1">
      <alignment horizontal="center" vertical="center"/>
    </xf>
    <xf numFmtId="0" fontId="148" fillId="0" borderId="1" xfId="0" applyFont="1" applyBorder="1"/>
    <xf numFmtId="0" fontId="55" fillId="16" borderId="31" xfId="0" applyFont="1" applyFill="1" applyBorder="1" applyAlignment="1">
      <alignment vertical="center"/>
    </xf>
    <xf numFmtId="2" fontId="0" fillId="0" borderId="5" xfId="0" applyNumberFormat="1" applyBorder="1" applyAlignment="1">
      <alignment horizontal="center" vertical="center"/>
    </xf>
    <xf numFmtId="0" fontId="0" fillId="0" borderId="15" xfId="0" applyBorder="1"/>
    <xf numFmtId="0" fontId="0" fillId="0" borderId="5" xfId="0" applyBorder="1"/>
    <xf numFmtId="0" fontId="0" fillId="21" borderId="1" xfId="0" applyFill="1" applyBorder="1"/>
    <xf numFmtId="0" fontId="39" fillId="6" borderId="0" xfId="0" applyFont="1" applyFill="1"/>
    <xf numFmtId="0" fontId="39" fillId="15" borderId="15" xfId="0" applyFont="1" applyFill="1" applyBorder="1" applyAlignment="1">
      <alignment horizontal="right" vertical="center"/>
    </xf>
    <xf numFmtId="0" fontId="148" fillId="0" borderId="1" xfId="0" applyFont="1" applyBorder="1" applyAlignment="1">
      <alignment vertical="center"/>
    </xf>
    <xf numFmtId="0" fontId="0" fillId="6" borderId="5" xfId="0" applyFill="1" applyBorder="1"/>
    <xf numFmtId="2" fontId="0" fillId="16" borderId="1" xfId="0" applyNumberFormat="1" applyFill="1" applyBorder="1" applyAlignment="1" applyProtection="1">
      <alignment horizontal="center"/>
      <protection locked="0"/>
    </xf>
    <xf numFmtId="169" fontId="0" fillId="16" borderId="1" xfId="0" applyNumberFormat="1" applyFill="1" applyBorder="1" applyAlignment="1" applyProtection="1">
      <alignment horizontal="center"/>
      <protection locked="0"/>
    </xf>
    <xf numFmtId="0" fontId="0" fillId="16" borderId="57" xfId="0" applyFill="1" applyBorder="1" applyAlignment="1" applyProtection="1">
      <alignment vertical="center" wrapText="1"/>
      <protection locked="0"/>
    </xf>
    <xf numFmtId="166" fontId="0" fillId="16" borderId="1" xfId="0" applyNumberFormat="1" applyFill="1" applyBorder="1" applyAlignment="1" applyProtection="1">
      <alignment horizontal="center"/>
      <protection locked="0"/>
    </xf>
    <xf numFmtId="165" fontId="0" fillId="16" borderId="1" xfId="0" applyNumberFormat="1" applyFill="1" applyBorder="1" applyAlignment="1" applyProtection="1">
      <alignment horizontal="center"/>
      <protection locked="0"/>
    </xf>
    <xf numFmtId="0" fontId="0" fillId="15" borderId="17" xfId="0" applyFill="1" applyBorder="1" applyAlignment="1">
      <alignment horizontal="right"/>
    </xf>
    <xf numFmtId="0" fontId="0" fillId="0" borderId="17" xfId="0" applyBorder="1"/>
    <xf numFmtId="0" fontId="0" fillId="0" borderId="3" xfId="0" applyBorder="1"/>
    <xf numFmtId="0" fontId="0" fillId="0" borderId="11" xfId="0" applyBorder="1"/>
    <xf numFmtId="0" fontId="0" fillId="0" borderId="68" xfId="0" applyBorder="1"/>
    <xf numFmtId="0" fontId="0" fillId="16" borderId="21" xfId="0" applyFill="1" applyBorder="1" applyAlignment="1" applyProtection="1">
      <alignment vertical="center" wrapText="1"/>
      <protection locked="0"/>
    </xf>
    <xf numFmtId="0" fontId="0" fillId="15" borderId="0" xfId="0" applyFill="1" applyAlignment="1">
      <alignment horizontal="right"/>
    </xf>
    <xf numFmtId="0" fontId="0" fillId="3" borderId="29" xfId="0" applyFill="1" applyBorder="1" applyAlignment="1">
      <alignment horizontal="center" vertical="center" wrapText="1"/>
    </xf>
    <xf numFmtId="0" fontId="0" fillId="3" borderId="20" xfId="0" applyFill="1" applyBorder="1" applyAlignment="1">
      <alignment horizontal="center" vertical="center" wrapText="1"/>
    </xf>
    <xf numFmtId="0" fontId="0" fillId="15" borderId="71" xfId="0" applyFill="1" applyBorder="1" applyAlignment="1">
      <alignment horizontal="right"/>
    </xf>
    <xf numFmtId="0" fontId="39" fillId="15" borderId="60" xfId="0" applyFont="1" applyFill="1" applyBorder="1" applyAlignment="1">
      <alignment horizontal="right" vertical="center"/>
    </xf>
    <xf numFmtId="2" fontId="0" fillId="0" borderId="30" xfId="0" applyNumberFormat="1" applyBorder="1" applyAlignment="1">
      <alignment horizontal="center"/>
    </xf>
    <xf numFmtId="2" fontId="0" fillId="0" borderId="1" xfId="0" applyNumberFormat="1" applyBorder="1" applyAlignment="1">
      <alignment horizontal="center"/>
    </xf>
    <xf numFmtId="2" fontId="0" fillId="0" borderId="32" xfId="0" applyNumberFormat="1" applyBorder="1" applyAlignment="1">
      <alignment horizontal="center"/>
    </xf>
    <xf numFmtId="168" fontId="0" fillId="0" borderId="33" xfId="0" applyNumberFormat="1" applyBorder="1" applyAlignment="1">
      <alignment horizontal="center" vertical="center"/>
    </xf>
    <xf numFmtId="11" fontId="0" fillId="0" borderId="34" xfId="0" applyNumberFormat="1" applyBorder="1" applyAlignment="1">
      <alignment horizontal="center" vertical="center"/>
    </xf>
    <xf numFmtId="0" fontId="39" fillId="15" borderId="53" xfId="0" applyFont="1" applyFill="1" applyBorder="1" applyAlignment="1">
      <alignment horizontal="right" vertical="center"/>
    </xf>
    <xf numFmtId="2" fontId="0" fillId="0" borderId="33" xfId="0" applyNumberFormat="1" applyBorder="1" applyAlignment="1">
      <alignment horizontal="center"/>
    </xf>
    <xf numFmtId="0" fontId="39" fillId="15" borderId="61" xfId="0" applyFont="1" applyFill="1" applyBorder="1" applyAlignment="1">
      <alignment horizontal="right" vertical="center"/>
    </xf>
    <xf numFmtId="0" fontId="55" fillId="0" borderId="0" xfId="0" applyFont="1" applyAlignment="1">
      <alignment horizontal="center" vertical="center"/>
    </xf>
    <xf numFmtId="165" fontId="40" fillId="2" borderId="4" xfId="0" applyNumberFormat="1" applyFont="1" applyFill="1" applyBorder="1" applyProtection="1">
      <protection locked="0"/>
    </xf>
    <xf numFmtId="0" fontId="150" fillId="0" borderId="1" xfId="0" applyFont="1" applyBorder="1" applyAlignment="1">
      <alignment horizontal="center" vertical="center"/>
    </xf>
    <xf numFmtId="14" fontId="150" fillId="0" borderId="1" xfId="0" applyNumberFormat="1" applyFont="1" applyBorder="1" applyAlignment="1">
      <alignment horizontal="center" vertical="center"/>
    </xf>
    <xf numFmtId="0" fontId="150" fillId="0" borderId="4" xfId="0" applyFont="1" applyBorder="1" applyAlignment="1">
      <alignment vertical="center"/>
    </xf>
    <xf numFmtId="0" fontId="150" fillId="0" borderId="10" xfId="0" applyFont="1" applyBorder="1" applyAlignment="1">
      <alignment vertical="center"/>
    </xf>
    <xf numFmtId="0" fontId="150" fillId="0" borderId="0" xfId="0" applyFont="1" applyAlignment="1">
      <alignment horizontal="right"/>
    </xf>
    <xf numFmtId="0" fontId="151" fillId="2" borderId="1" xfId="0" applyFont="1" applyFill="1" applyBorder="1"/>
    <xf numFmtId="14" fontId="150" fillId="0" borderId="1" xfId="0" applyNumberFormat="1" applyFont="1" applyBorder="1"/>
    <xf numFmtId="0" fontId="150" fillId="0" borderId="1" xfId="0" applyFont="1" applyBorder="1"/>
    <xf numFmtId="169" fontId="150" fillId="0" borderId="1" xfId="0" applyNumberFormat="1" applyFont="1" applyBorder="1"/>
    <xf numFmtId="0" fontId="150" fillId="0" borderId="0" xfId="0" applyFont="1"/>
    <xf numFmtId="14" fontId="150" fillId="0" borderId="0" xfId="0" applyNumberFormat="1" applyFont="1"/>
    <xf numFmtId="0" fontId="150" fillId="2" borderId="1" xfId="0" applyFont="1" applyFill="1" applyBorder="1" applyAlignment="1">
      <alignment horizontal="center" vertical="center"/>
    </xf>
    <xf numFmtId="14" fontId="150" fillId="2" borderId="1" xfId="0" applyNumberFormat="1" applyFont="1" applyFill="1" applyBorder="1" applyAlignment="1">
      <alignment horizontal="center" vertical="center"/>
    </xf>
    <xf numFmtId="0" fontId="150" fillId="0" borderId="33" xfId="0" applyFont="1" applyBorder="1" applyAlignment="1">
      <alignment horizontal="center" vertical="center"/>
    </xf>
    <xf numFmtId="14" fontId="150" fillId="0" borderId="33" xfId="0" applyNumberFormat="1" applyFont="1" applyBorder="1" applyAlignment="1">
      <alignment horizontal="center" vertical="center"/>
    </xf>
    <xf numFmtId="2" fontId="39" fillId="11" borderId="0" xfId="0" applyNumberFormat="1" applyFont="1" applyFill="1"/>
    <xf numFmtId="168" fontId="44" fillId="2" borderId="4" xfId="0" applyNumberFormat="1" applyFont="1" applyFill="1" applyBorder="1" applyAlignment="1">
      <alignment vertical="center"/>
    </xf>
    <xf numFmtId="169" fontId="39" fillId="10" borderId="13" xfId="0" applyNumberFormat="1" applyFont="1" applyFill="1" applyBorder="1"/>
    <xf numFmtId="170" fontId="61" fillId="0" borderId="0" xfId="0" applyNumberFormat="1" applyFont="1"/>
    <xf numFmtId="0" fontId="61" fillId="10" borderId="0" xfId="0" applyFont="1" applyFill="1"/>
    <xf numFmtId="176" fontId="39" fillId="10" borderId="0" xfId="0" applyNumberFormat="1" applyFont="1" applyFill="1"/>
    <xf numFmtId="168" fontId="39" fillId="0" borderId="0" xfId="0" applyNumberFormat="1" applyFont="1"/>
    <xf numFmtId="1" fontId="40" fillId="2" borderId="4" xfId="0" applyNumberFormat="1" applyFont="1" applyFill="1" applyBorder="1" applyProtection="1">
      <protection locked="0"/>
    </xf>
    <xf numFmtId="2" fontId="39" fillId="10" borderId="0" xfId="0" applyNumberFormat="1" applyFont="1" applyFill="1"/>
    <xf numFmtId="0" fontId="153" fillId="10" borderId="13" xfId="0" applyFont="1" applyFill="1" applyBorder="1"/>
    <xf numFmtId="11" fontId="153" fillId="11" borderId="0" xfId="0" applyNumberFormat="1" applyFont="1" applyFill="1"/>
    <xf numFmtId="11" fontId="153" fillId="0" borderId="0" xfId="0" applyNumberFormat="1" applyFont="1"/>
    <xf numFmtId="0" fontId="153" fillId="10" borderId="23" xfId="0" applyFont="1" applyFill="1" applyBorder="1"/>
    <xf numFmtId="170" fontId="39" fillId="10" borderId="0" xfId="0" applyNumberFormat="1" applyFont="1" applyFill="1"/>
    <xf numFmtId="171" fontId="153" fillId="10" borderId="23" xfId="0" applyNumberFormat="1" applyFont="1" applyFill="1" applyBorder="1"/>
    <xf numFmtId="176" fontId="39" fillId="10" borderId="23" xfId="0" applyNumberFormat="1" applyFont="1" applyFill="1" applyBorder="1"/>
    <xf numFmtId="0" fontId="57" fillId="0" borderId="23" xfId="0" applyFont="1" applyBorder="1" applyAlignment="1">
      <alignment horizontal="left"/>
    </xf>
    <xf numFmtId="0" fontId="57" fillId="0" borderId="23" xfId="0" applyFont="1" applyBorder="1"/>
    <xf numFmtId="0" fontId="57" fillId="0" borderId="23" xfId="0" applyFont="1" applyBorder="1" applyAlignment="1">
      <alignment horizontal="center"/>
    </xf>
    <xf numFmtId="168" fontId="57" fillId="0" borderId="23" xfId="0" applyNumberFormat="1" applyFont="1" applyBorder="1"/>
    <xf numFmtId="11" fontId="57" fillId="0" borderId="23" xfId="0" applyNumberFormat="1" applyFont="1" applyBorder="1"/>
    <xf numFmtId="0" fontId="57" fillId="0" borderId="23" xfId="0" applyFont="1" applyBorder="1" applyAlignment="1">
      <alignment horizontal="center" vertical="center"/>
    </xf>
    <xf numFmtId="174" fontId="103" fillId="0" borderId="23" xfId="0" applyNumberFormat="1" applyFont="1" applyBorder="1"/>
    <xf numFmtId="11" fontId="103" fillId="0" borderId="23" xfId="0" applyNumberFormat="1" applyFont="1" applyBorder="1"/>
    <xf numFmtId="0" fontId="103" fillId="0" borderId="23" xfId="0" applyFont="1" applyBorder="1"/>
    <xf numFmtId="11" fontId="103" fillId="0" borderId="24" xfId="0" applyNumberFormat="1" applyFont="1" applyBorder="1"/>
    <xf numFmtId="176" fontId="57" fillId="0" borderId="23" xfId="0" applyNumberFormat="1" applyFont="1" applyBorder="1"/>
    <xf numFmtId="0" fontId="39" fillId="0" borderId="1" xfId="5" applyBorder="1"/>
    <xf numFmtId="0" fontId="39" fillId="0" borderId="1" xfId="5" applyBorder="1" applyAlignment="1">
      <alignment horizontal="center" vertical="center"/>
    </xf>
    <xf numFmtId="0" fontId="39" fillId="0" borderId="1" xfId="5" applyBorder="1" applyAlignment="1">
      <alignment horizontal="center"/>
    </xf>
    <xf numFmtId="2" fontId="39" fillId="0" borderId="1" xfId="5" applyNumberFormat="1" applyBorder="1"/>
    <xf numFmtId="0" fontId="123" fillId="0" borderId="1" xfId="19" applyFont="1" applyBorder="1" applyAlignment="1">
      <alignment horizontal="center" vertical="center" wrapText="1"/>
    </xf>
    <xf numFmtId="167" fontId="123" fillId="0" borderId="1" xfId="19" applyNumberFormat="1" applyFont="1" applyBorder="1" applyAlignment="1">
      <alignment horizontal="center" vertical="center" wrapText="1"/>
    </xf>
    <xf numFmtId="0" fontId="39" fillId="12" borderId="1" xfId="5" applyFill="1" applyBorder="1" applyAlignment="1">
      <alignment horizontal="center"/>
    </xf>
    <xf numFmtId="174" fontId="39" fillId="10" borderId="23" xfId="0" applyNumberFormat="1" applyFont="1" applyFill="1" applyBorder="1"/>
    <xf numFmtId="11" fontId="39" fillId="10" borderId="24" xfId="0" applyNumberFormat="1" applyFont="1" applyFill="1" applyBorder="1"/>
    <xf numFmtId="0" fontId="39" fillId="10" borderId="23" xfId="0" applyFont="1" applyFill="1" applyBorder="1" applyAlignment="1">
      <alignment wrapText="1"/>
    </xf>
    <xf numFmtId="173" fontId="39" fillId="10" borderId="23" xfId="0" applyNumberFormat="1" applyFont="1" applyFill="1" applyBorder="1"/>
    <xf numFmtId="178" fontId="39" fillId="10" borderId="23" xfId="0" applyNumberFormat="1" applyFont="1" applyFill="1" applyBorder="1"/>
    <xf numFmtId="178" fontId="39" fillId="10" borderId="24" xfId="0" applyNumberFormat="1" applyFont="1" applyFill="1" applyBorder="1"/>
    <xf numFmtId="168" fontId="39" fillId="10" borderId="23" xfId="0" applyNumberFormat="1" applyFont="1" applyFill="1" applyBorder="1"/>
    <xf numFmtId="169" fontId="0" fillId="13" borderId="24" xfId="0" applyNumberFormat="1" applyFill="1" applyBorder="1"/>
    <xf numFmtId="166" fontId="0" fillId="0" borderId="1" xfId="0" applyNumberFormat="1" applyBorder="1" applyAlignment="1">
      <alignment horizontal="center" vertical="center"/>
    </xf>
    <xf numFmtId="169" fontId="0" fillId="0" borderId="1" xfId="0" applyNumberFormat="1" applyBorder="1" applyAlignment="1">
      <alignment horizontal="center" vertical="center"/>
    </xf>
    <xf numFmtId="166" fontId="61" fillId="11" borderId="0" xfId="0" applyNumberFormat="1" applyFont="1" applyFill="1"/>
    <xf numFmtId="0" fontId="127" fillId="0" borderId="0" xfId="0" applyFont="1"/>
    <xf numFmtId="0" fontId="10" fillId="0" borderId="0" xfId="20"/>
    <xf numFmtId="0" fontId="10" fillId="0" borderId="0" xfId="20" applyAlignment="1">
      <alignment horizontal="center" vertical="center"/>
    </xf>
    <xf numFmtId="0" fontId="155" fillId="0" borderId="0" xfId="20" applyFont="1" applyAlignment="1">
      <alignment vertical="center"/>
    </xf>
    <xf numFmtId="0" fontId="156" fillId="0" borderId="0" xfId="21"/>
    <xf numFmtId="21" fontId="10" fillId="0" borderId="0" xfId="20" applyNumberFormat="1"/>
    <xf numFmtId="0" fontId="10" fillId="0" borderId="0" xfId="20" applyAlignment="1">
      <alignment horizontal="center"/>
    </xf>
    <xf numFmtId="0" fontId="10" fillId="0" borderId="0" xfId="20" applyAlignment="1">
      <alignment horizontal="left"/>
    </xf>
    <xf numFmtId="0" fontId="10" fillId="0" borderId="1" xfId="20" applyBorder="1" applyAlignment="1">
      <alignment horizontal="center"/>
    </xf>
    <xf numFmtId="0" fontId="10" fillId="3" borderId="1" xfId="20" applyFill="1" applyBorder="1"/>
    <xf numFmtId="0" fontId="10" fillId="3" borderId="1" xfId="20" applyFill="1" applyBorder="1" applyAlignment="1">
      <alignment horizontal="center"/>
    </xf>
    <xf numFmtId="166" fontId="10" fillId="0" borderId="1" xfId="20" applyNumberFormat="1" applyBorder="1" applyAlignment="1">
      <alignment horizontal="center"/>
    </xf>
    <xf numFmtId="0" fontId="71" fillId="0" borderId="4" xfId="20" applyFont="1" applyBorder="1" applyAlignment="1">
      <alignment horizontal="center" vertical="center"/>
    </xf>
    <xf numFmtId="2" fontId="10" fillId="0" borderId="4" xfId="20" applyNumberFormat="1" applyBorder="1" applyAlignment="1">
      <alignment horizontal="center" vertical="center"/>
    </xf>
    <xf numFmtId="0" fontId="10" fillId="0" borderId="10" xfId="20" applyBorder="1" applyAlignment="1">
      <alignment horizontal="center"/>
    </xf>
    <xf numFmtId="0" fontId="10" fillId="0" borderId="1" xfId="20" applyBorder="1"/>
    <xf numFmtId="2" fontId="10" fillId="0" borderId="1" xfId="20" applyNumberFormat="1" applyBorder="1" applyAlignment="1">
      <alignment horizontal="center"/>
    </xf>
    <xf numFmtId="9" fontId="0" fillId="0" borderId="1" xfId="22" applyFont="1" applyBorder="1"/>
    <xf numFmtId="2" fontId="10" fillId="0" borderId="1" xfId="20" applyNumberFormat="1" applyBorder="1"/>
    <xf numFmtId="168" fontId="10" fillId="0" borderId="1" xfId="20" applyNumberFormat="1" applyBorder="1" applyAlignment="1">
      <alignment horizontal="center"/>
    </xf>
    <xf numFmtId="9" fontId="0" fillId="0" borderId="1" xfId="22" applyFont="1" applyBorder="1" applyAlignment="1">
      <alignment horizontal="center"/>
    </xf>
    <xf numFmtId="184" fontId="0" fillId="0" borderId="1" xfId="22" applyNumberFormat="1" applyFont="1" applyBorder="1" applyAlignment="1">
      <alignment horizontal="center"/>
    </xf>
    <xf numFmtId="0" fontId="158" fillId="3" borderId="1" xfId="20" applyFont="1" applyFill="1" applyBorder="1" applyAlignment="1">
      <alignment horizontal="center"/>
    </xf>
    <xf numFmtId="0" fontId="154" fillId="22" borderId="0" xfId="20" applyFont="1" applyFill="1" applyAlignment="1">
      <alignment horizontal="center"/>
    </xf>
    <xf numFmtId="0" fontId="10" fillId="0" borderId="4" xfId="20" applyBorder="1" applyAlignment="1">
      <alignment horizontal="left"/>
    </xf>
    <xf numFmtId="0" fontId="10" fillId="0" borderId="9" xfId="20" applyBorder="1" applyAlignment="1">
      <alignment horizontal="left"/>
    </xf>
    <xf numFmtId="0" fontId="10" fillId="0" borderId="10" xfId="20" applyBorder="1" applyAlignment="1">
      <alignment horizontal="left"/>
    </xf>
    <xf numFmtId="0" fontId="10" fillId="3" borderId="10" xfId="20" applyFill="1" applyBorder="1"/>
    <xf numFmtId="2" fontId="10" fillId="0" borderId="1" xfId="20" applyNumberFormat="1" applyBorder="1" applyAlignment="1">
      <alignment horizontal="center" vertical="center"/>
    </xf>
    <xf numFmtId="0" fontId="10" fillId="0" borderId="1" xfId="20" applyBorder="1" applyAlignment="1">
      <alignment horizontal="left"/>
    </xf>
    <xf numFmtId="168" fontId="10" fillId="0" borderId="0" xfId="20" applyNumberFormat="1"/>
    <xf numFmtId="169" fontId="10" fillId="0" borderId="1" xfId="20" applyNumberFormat="1" applyBorder="1" applyAlignment="1">
      <alignment horizontal="center"/>
    </xf>
    <xf numFmtId="168" fontId="10" fillId="0" borderId="10" xfId="20" applyNumberFormat="1" applyBorder="1"/>
    <xf numFmtId="9" fontId="0" fillId="0" borderId="1" xfId="22" applyFont="1" applyBorder="1" applyAlignment="1">
      <alignment horizontal="left"/>
    </xf>
    <xf numFmtId="184" fontId="0" fillId="0" borderId="1" xfId="22" applyNumberFormat="1" applyFont="1" applyBorder="1"/>
    <xf numFmtId="2" fontId="10" fillId="0" borderId="0" xfId="20" applyNumberFormat="1"/>
    <xf numFmtId="2" fontId="10" fillId="0" borderId="0" xfId="20" applyNumberFormat="1" applyAlignment="1">
      <alignment horizontal="center"/>
    </xf>
    <xf numFmtId="184" fontId="10" fillId="0" borderId="0" xfId="20" applyNumberFormat="1" applyAlignment="1">
      <alignment horizontal="center"/>
    </xf>
    <xf numFmtId="0" fontId="154" fillId="22" borderId="9" xfId="20" applyFont="1" applyFill="1" applyBorder="1"/>
    <xf numFmtId="0" fontId="10" fillId="0" borderId="4" xfId="20" applyBorder="1"/>
    <xf numFmtId="0" fontId="10" fillId="0" borderId="9" xfId="20" applyBorder="1"/>
    <xf numFmtId="0" fontId="10" fillId="0" borderId="10" xfId="20" applyBorder="1"/>
    <xf numFmtId="0" fontId="10" fillId="0" borderId="47" xfId="20" applyBorder="1"/>
    <xf numFmtId="2" fontId="10" fillId="0" borderId="47" xfId="20" applyNumberFormat="1" applyBorder="1"/>
    <xf numFmtId="2" fontId="10" fillId="0" borderId="47" xfId="20" applyNumberFormat="1" applyBorder="1" applyAlignment="1">
      <alignment horizontal="center"/>
    </xf>
    <xf numFmtId="184" fontId="10" fillId="0" borderId="47" xfId="20" applyNumberFormat="1" applyBorder="1" applyAlignment="1">
      <alignment horizontal="center"/>
    </xf>
    <xf numFmtId="0" fontId="10" fillId="0" borderId="47" xfId="20" applyBorder="1" applyAlignment="1">
      <alignment horizontal="left"/>
    </xf>
    <xf numFmtId="0" fontId="10" fillId="0" borderId="45" xfId="20" applyBorder="1"/>
    <xf numFmtId="0" fontId="154" fillId="22" borderId="10" xfId="20" applyFont="1" applyFill="1" applyBorder="1" applyAlignment="1">
      <alignment horizontal="center"/>
    </xf>
    <xf numFmtId="0" fontId="154" fillId="22" borderId="21" xfId="20" applyFont="1" applyFill="1" applyBorder="1" applyAlignment="1">
      <alignment horizontal="center"/>
    </xf>
    <xf numFmtId="169" fontId="10" fillId="0" borderId="10" xfId="20" applyNumberFormat="1" applyBorder="1" applyAlignment="1">
      <alignment horizontal="center"/>
    </xf>
    <xf numFmtId="169" fontId="10" fillId="0" borderId="10" xfId="20" applyNumberFormat="1" applyBorder="1"/>
    <xf numFmtId="0" fontId="10" fillId="0" borderId="6" xfId="20" applyBorder="1"/>
    <xf numFmtId="0" fontId="159" fillId="3" borderId="0" xfId="20" applyFont="1" applyFill="1"/>
    <xf numFmtId="9" fontId="49" fillId="0" borderId="1" xfId="22" applyFont="1" applyBorder="1" applyAlignment="1">
      <alignment horizontal="center"/>
    </xf>
    <xf numFmtId="0" fontId="10" fillId="0" borderId="2" xfId="20" applyBorder="1"/>
    <xf numFmtId="0" fontId="10" fillId="3" borderId="0" xfId="20" applyFill="1"/>
    <xf numFmtId="0" fontId="10" fillId="3" borderId="0" xfId="20" applyFill="1" applyAlignment="1">
      <alignment horizontal="left"/>
    </xf>
    <xf numFmtId="166" fontId="10" fillId="0" borderId="10" xfId="20" applyNumberFormat="1" applyBorder="1" applyAlignment="1">
      <alignment horizontal="center"/>
    </xf>
    <xf numFmtId="184" fontId="46" fillId="0" borderId="1" xfId="22" applyNumberFormat="1" applyFont="1" applyBorder="1" applyAlignment="1">
      <alignment horizontal="center"/>
    </xf>
    <xf numFmtId="169" fontId="10" fillId="0" borderId="0" xfId="20" applyNumberFormat="1" applyAlignment="1">
      <alignment horizontal="center"/>
    </xf>
    <xf numFmtId="166" fontId="10" fillId="0" borderId="0" xfId="20" applyNumberFormat="1" applyAlignment="1">
      <alignment horizontal="center"/>
    </xf>
    <xf numFmtId="168" fontId="10" fillId="0" borderId="0" xfId="20" applyNumberFormat="1" applyAlignment="1">
      <alignment horizontal="center"/>
    </xf>
    <xf numFmtId="169" fontId="10" fillId="0" borderId="0" xfId="20" applyNumberFormat="1"/>
    <xf numFmtId="9" fontId="0" fillId="0" borderId="0" xfId="22" applyFont="1" applyBorder="1" applyAlignment="1">
      <alignment horizontal="center"/>
    </xf>
    <xf numFmtId="2" fontId="10" fillId="0" borderId="0" xfId="20" applyNumberFormat="1" applyAlignment="1">
      <alignment horizontal="center" vertical="center"/>
    </xf>
    <xf numFmtId="9" fontId="0" fillId="0" borderId="0" xfId="22" applyFont="1" applyBorder="1" applyAlignment="1">
      <alignment horizontal="left"/>
    </xf>
    <xf numFmtId="184" fontId="0" fillId="0" borderId="0" xfId="22" applyNumberFormat="1" applyFont="1" applyBorder="1"/>
    <xf numFmtId="2" fontId="10" fillId="0" borderId="10" xfId="20" applyNumberFormat="1" applyBorder="1"/>
    <xf numFmtId="0" fontId="10" fillId="0" borderId="56" xfId="20" applyBorder="1"/>
    <xf numFmtId="0" fontId="154" fillId="22" borderId="4" xfId="20" applyFont="1" applyFill="1" applyBorder="1"/>
    <xf numFmtId="184" fontId="10" fillId="0" borderId="45" xfId="20" applyNumberFormat="1" applyBorder="1" applyAlignment="1">
      <alignment horizontal="center"/>
    </xf>
    <xf numFmtId="0" fontId="10" fillId="0" borderId="5" xfId="20" applyBorder="1"/>
    <xf numFmtId="0" fontId="154" fillId="22" borderId="1" xfId="20" applyFont="1" applyFill="1" applyBorder="1" applyAlignment="1">
      <alignment horizontal="center"/>
    </xf>
    <xf numFmtId="184" fontId="10" fillId="0" borderId="6" xfId="20" applyNumberFormat="1" applyBorder="1" applyAlignment="1">
      <alignment horizontal="center"/>
    </xf>
    <xf numFmtId="1" fontId="10" fillId="3" borderId="1" xfId="20" applyNumberFormat="1" applyFill="1" applyBorder="1" applyAlignment="1">
      <alignment horizontal="center"/>
    </xf>
    <xf numFmtId="166" fontId="10" fillId="0" borderId="10" xfId="20" applyNumberFormat="1" applyBorder="1"/>
    <xf numFmtId="1" fontId="10" fillId="23" borderId="5" xfId="20" applyNumberFormat="1" applyFill="1" applyBorder="1" applyAlignment="1">
      <alignment horizontal="center" vertical="center"/>
    </xf>
    <xf numFmtId="1" fontId="10" fillId="21" borderId="5" xfId="20" applyNumberFormat="1" applyFill="1" applyBorder="1" applyAlignment="1">
      <alignment horizontal="center" vertical="center"/>
    </xf>
    <xf numFmtId="1" fontId="10" fillId="0" borderId="5" xfId="20" applyNumberFormat="1" applyBorder="1" applyAlignment="1">
      <alignment horizontal="center" vertical="center"/>
    </xf>
    <xf numFmtId="184" fontId="49" fillId="0" borderId="1" xfId="22" applyNumberFormat="1" applyFont="1" applyBorder="1" applyAlignment="1">
      <alignment horizontal="center"/>
    </xf>
    <xf numFmtId="1" fontId="10" fillId="21" borderId="7" xfId="20" applyNumberFormat="1" applyFill="1" applyBorder="1" applyAlignment="1">
      <alignment horizontal="center" vertical="center"/>
    </xf>
    <xf numFmtId="165" fontId="10" fillId="0" borderId="10" xfId="20" applyNumberFormat="1" applyBorder="1" applyAlignment="1">
      <alignment horizontal="center"/>
    </xf>
    <xf numFmtId="14" fontId="10" fillId="0" borderId="10" xfId="20" applyNumberFormat="1" applyBorder="1" applyAlignment="1">
      <alignment horizontal="center"/>
    </xf>
    <xf numFmtId="0" fontId="9" fillId="0" borderId="0" xfId="20" applyFont="1"/>
    <xf numFmtId="184" fontId="10" fillId="0" borderId="1" xfId="23" applyNumberFormat="1" applyFont="1" applyBorder="1" applyAlignment="1">
      <alignment horizontal="center"/>
    </xf>
    <xf numFmtId="0" fontId="9" fillId="0" borderId="1" xfId="20" applyFont="1" applyBorder="1"/>
    <xf numFmtId="0" fontId="10" fillId="15" borderId="1" xfId="20" applyFill="1" applyBorder="1" applyAlignment="1">
      <alignment horizontal="center"/>
    </xf>
    <xf numFmtId="0" fontId="157" fillId="15" borderId="1" xfId="20" applyFont="1" applyFill="1" applyBorder="1" applyAlignment="1">
      <alignment horizontal="center" vertical="center"/>
    </xf>
    <xf numFmtId="0" fontId="9" fillId="15" borderId="1" xfId="20" applyFont="1" applyFill="1" applyBorder="1" applyAlignment="1">
      <alignment horizontal="center"/>
    </xf>
    <xf numFmtId="184" fontId="10" fillId="0" borderId="1" xfId="23" applyNumberFormat="1" applyFont="1" applyBorder="1"/>
    <xf numFmtId="0" fontId="9" fillId="0" borderId="0" xfId="20" applyFont="1" applyAlignment="1">
      <alignment horizontal="center" vertical="center"/>
    </xf>
    <xf numFmtId="168" fontId="10" fillId="0" borderId="0" xfId="20" applyNumberFormat="1" applyAlignment="1">
      <alignment horizontal="center" vertical="center"/>
    </xf>
    <xf numFmtId="166" fontId="10" fillId="0" borderId="0" xfId="20" applyNumberFormat="1" applyAlignment="1">
      <alignment horizontal="center" vertical="center"/>
    </xf>
    <xf numFmtId="10" fontId="0" fillId="0" borderId="1" xfId="22" applyNumberFormat="1" applyFont="1" applyBorder="1"/>
    <xf numFmtId="2" fontId="10" fillId="0" borderId="1" xfId="20" applyNumberFormat="1" applyBorder="1" applyAlignment="1">
      <alignment horizontal="left" vertical="center"/>
    </xf>
    <xf numFmtId="0" fontId="8" fillId="0" borderId="47" xfId="20" applyFont="1" applyBorder="1"/>
    <xf numFmtId="0" fontId="8" fillId="0" borderId="0" xfId="20" applyFont="1"/>
    <xf numFmtId="10" fontId="61" fillId="0" borderId="1" xfId="22" applyNumberFormat="1" applyFont="1" applyBorder="1"/>
    <xf numFmtId="184" fontId="61" fillId="0" borderId="1" xfId="22" applyNumberFormat="1" applyFont="1" applyBorder="1"/>
    <xf numFmtId="184" fontId="49" fillId="0" borderId="1" xfId="23" applyNumberFormat="1" applyFont="1" applyBorder="1"/>
    <xf numFmtId="10" fontId="39" fillId="0" borderId="1" xfId="22" applyNumberFormat="1" applyFont="1" applyBorder="1"/>
    <xf numFmtId="0" fontId="10" fillId="20" borderId="0" xfId="20" applyFill="1"/>
    <xf numFmtId="2" fontId="10" fillId="20" borderId="0" xfId="20" applyNumberFormat="1" applyFill="1"/>
    <xf numFmtId="2" fontId="10" fillId="20" borderId="0" xfId="20" applyNumberFormat="1" applyFill="1" applyAlignment="1">
      <alignment horizontal="center"/>
    </xf>
    <xf numFmtId="184" fontId="10" fillId="20" borderId="0" xfId="20" applyNumberFormat="1" applyFill="1" applyAlignment="1">
      <alignment horizontal="center"/>
    </xf>
    <xf numFmtId="0" fontId="10" fillId="20" borderId="0" xfId="20" applyFill="1" applyAlignment="1">
      <alignment horizontal="left"/>
    </xf>
    <xf numFmtId="0" fontId="40" fillId="11" borderId="1" xfId="0" applyFont="1" applyFill="1" applyBorder="1" applyAlignment="1">
      <alignment horizontal="center"/>
    </xf>
    <xf numFmtId="0" fontId="49" fillId="0" borderId="0" xfId="1" applyFont="1" applyAlignment="1">
      <alignment horizontal="left" vertical="top" wrapText="1"/>
    </xf>
    <xf numFmtId="167" fontId="123" fillId="0" borderId="0" xfId="1" applyNumberFormat="1" applyFont="1" applyAlignment="1" applyProtection="1">
      <alignment horizontal="left" vertical="top" wrapText="1"/>
      <protection locked="0"/>
    </xf>
    <xf numFmtId="166" fontId="10" fillId="0" borderId="0" xfId="20" applyNumberFormat="1"/>
    <xf numFmtId="10" fontId="10" fillId="0" borderId="0" xfId="23" applyNumberFormat="1" applyFont="1"/>
    <xf numFmtId="0" fontId="7" fillId="10" borderId="0" xfId="20" applyFont="1" applyFill="1" applyAlignment="1">
      <alignment horizontal="center"/>
    </xf>
    <xf numFmtId="2" fontId="10" fillId="10" borderId="0" xfId="20" applyNumberFormat="1" applyFill="1" applyAlignment="1">
      <alignment horizontal="center"/>
    </xf>
    <xf numFmtId="0" fontId="10" fillId="10" borderId="0" xfId="20" applyFill="1" applyAlignment="1">
      <alignment horizontal="center"/>
    </xf>
    <xf numFmtId="166" fontId="10" fillId="10" borderId="0" xfId="20" applyNumberFormat="1" applyFill="1" applyAlignment="1">
      <alignment horizontal="center"/>
    </xf>
    <xf numFmtId="9" fontId="10" fillId="10" borderId="0" xfId="23" applyFont="1" applyFill="1" applyAlignment="1">
      <alignment horizontal="center"/>
    </xf>
    <xf numFmtId="0" fontId="7" fillId="10" borderId="0" xfId="20" applyFont="1" applyFill="1"/>
    <xf numFmtId="9" fontId="7" fillId="10" borderId="0" xfId="20" applyNumberFormat="1" applyFont="1" applyFill="1" applyAlignment="1">
      <alignment horizontal="center"/>
    </xf>
    <xf numFmtId="2" fontId="6" fillId="0" borderId="0" xfId="20" applyNumberFormat="1" applyFont="1" applyAlignment="1">
      <alignment horizontal="center"/>
    </xf>
    <xf numFmtId="1" fontId="123" fillId="0" borderId="0" xfId="1" applyNumberFormat="1" applyFont="1"/>
    <xf numFmtId="1" fontId="161" fillId="0" borderId="0" xfId="1" applyNumberFormat="1" applyFont="1" applyAlignment="1">
      <alignment horizontal="center"/>
    </xf>
    <xf numFmtId="0" fontId="6" fillId="0" borderId="0" xfId="1" applyFont="1" applyAlignment="1">
      <alignment horizontal="center" vertical="center"/>
    </xf>
    <xf numFmtId="167" fontId="40" fillId="2" borderId="1" xfId="0" applyNumberFormat="1" applyFont="1" applyFill="1" applyBorder="1" applyAlignment="1">
      <alignment horizontal="center"/>
    </xf>
    <xf numFmtId="14" fontId="40" fillId="2" borderId="0" xfId="0" applyNumberFormat="1" applyFont="1" applyFill="1"/>
    <xf numFmtId="0" fontId="6" fillId="0" borderId="1" xfId="20" applyFont="1" applyBorder="1" applyAlignment="1">
      <alignment horizontal="center"/>
    </xf>
    <xf numFmtId="0" fontId="163" fillId="0" borderId="0" xfId="0" applyFont="1"/>
    <xf numFmtId="0" fontId="164" fillId="0" borderId="0" xfId="0" applyFont="1"/>
    <xf numFmtId="185" fontId="0" fillId="0" borderId="0" xfId="24" applyNumberFormat="1" applyFont="1"/>
    <xf numFmtId="11" fontId="127" fillId="0" borderId="0" xfId="0" applyNumberFormat="1" applyFont="1"/>
    <xf numFmtId="11" fontId="0" fillId="0" borderId="0" xfId="0" applyNumberFormat="1" applyAlignment="1">
      <alignment horizontal="left"/>
    </xf>
    <xf numFmtId="9" fontId="0" fillId="0" borderId="0" xfId="24" applyFont="1"/>
    <xf numFmtId="186" fontId="0" fillId="0" borderId="0" xfId="24" applyNumberFormat="1" applyFont="1"/>
    <xf numFmtId="0" fontId="61" fillId="0" borderId="1" xfId="0" applyFont="1" applyBorder="1" applyAlignment="1">
      <alignment horizontal="center"/>
    </xf>
    <xf numFmtId="0" fontId="61" fillId="0" borderId="41" xfId="0" applyFont="1" applyBorder="1" applyAlignment="1">
      <alignment horizontal="center"/>
    </xf>
    <xf numFmtId="0" fontId="0" fillId="0" borderId="29" xfId="0" applyBorder="1" applyAlignment="1">
      <alignment horizontal="center"/>
    </xf>
    <xf numFmtId="0" fontId="61" fillId="0" borderId="20" xfId="0" applyFont="1" applyBorder="1" applyAlignment="1">
      <alignment horizontal="center"/>
    </xf>
    <xf numFmtId="0" fontId="0" fillId="0" borderId="35"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61" fillId="0" borderId="33" xfId="0" applyFont="1" applyBorder="1" applyAlignment="1">
      <alignment horizontal="center"/>
    </xf>
    <xf numFmtId="0" fontId="0" fillId="0" borderId="34" xfId="0" applyBorder="1" applyAlignment="1">
      <alignment horizontal="center"/>
    </xf>
    <xf numFmtId="0" fontId="61" fillId="11" borderId="29" xfId="0" applyFont="1" applyFill="1" applyBorder="1" applyAlignment="1">
      <alignment horizontal="center"/>
    </xf>
    <xf numFmtId="0" fontId="61" fillId="11" borderId="20" xfId="0" applyFont="1" applyFill="1" applyBorder="1" applyAlignment="1">
      <alignment horizontal="center"/>
    </xf>
    <xf numFmtId="0" fontId="61" fillId="11" borderId="35" xfId="0" applyFont="1" applyFill="1" applyBorder="1" applyAlignment="1">
      <alignment horizontal="center"/>
    </xf>
    <xf numFmtId="0" fontId="0" fillId="0" borderId="46" xfId="0" applyBorder="1" applyAlignment="1">
      <alignment horizontal="center"/>
    </xf>
    <xf numFmtId="0" fontId="0" fillId="0" borderId="44" xfId="0" applyBorder="1" applyAlignment="1">
      <alignment horizontal="center"/>
    </xf>
    <xf numFmtId="0" fontId="0" fillId="0" borderId="29" xfId="0" applyBorder="1"/>
    <xf numFmtId="0" fontId="0" fillId="0" borderId="20" xfId="0" applyBorder="1"/>
    <xf numFmtId="0" fontId="0" fillId="0" borderId="35" xfId="0" applyBorder="1"/>
    <xf numFmtId="174" fontId="0" fillId="0" borderId="1" xfId="0" applyNumberFormat="1" applyBorder="1"/>
    <xf numFmtId="178" fontId="0" fillId="0" borderId="1" xfId="0" applyNumberFormat="1" applyBorder="1"/>
    <xf numFmtId="174" fontId="39" fillId="0" borderId="1" xfId="0" applyNumberFormat="1" applyFont="1" applyBorder="1"/>
    <xf numFmtId="169" fontId="0" fillId="0" borderId="1" xfId="0" applyNumberFormat="1" applyBorder="1"/>
    <xf numFmtId="166" fontId="39" fillId="0" borderId="1" xfId="0" applyNumberFormat="1" applyFont="1" applyBorder="1"/>
    <xf numFmtId="0" fontId="123" fillId="16" borderId="1" xfId="19" applyFont="1" applyFill="1" applyBorder="1" applyAlignment="1">
      <alignment vertical="center"/>
    </xf>
    <xf numFmtId="0" fontId="131" fillId="2" borderId="1" xfId="19" applyFont="1" applyFill="1" applyBorder="1" applyAlignment="1">
      <alignment vertical="center" wrapText="1"/>
    </xf>
    <xf numFmtId="170" fontId="39" fillId="0" borderId="5" xfId="5" applyNumberFormat="1" applyBorder="1"/>
    <xf numFmtId="0" fontId="123" fillId="16" borderId="1" xfId="19" applyFont="1" applyFill="1" applyBorder="1"/>
    <xf numFmtId="0" fontId="123" fillId="16" borderId="1" xfId="19" applyFont="1" applyFill="1" applyBorder="1" applyAlignment="1">
      <alignment vertical="center" wrapText="1"/>
    </xf>
    <xf numFmtId="168" fontId="39" fillId="0" borderId="57" xfId="5" applyNumberFormat="1" applyBorder="1"/>
    <xf numFmtId="170" fontId="39" fillId="0" borderId="7" xfId="5" applyNumberFormat="1" applyBorder="1"/>
    <xf numFmtId="168" fontId="39" fillId="0" borderId="5" xfId="5" applyNumberFormat="1" applyBorder="1"/>
    <xf numFmtId="169" fontId="39" fillId="0" borderId="57" xfId="5" applyNumberFormat="1" applyBorder="1"/>
    <xf numFmtId="169" fontId="39" fillId="0" borderId="21" xfId="5" applyNumberFormat="1" applyBorder="1"/>
    <xf numFmtId="169" fontId="39" fillId="0" borderId="5" xfId="5" applyNumberFormat="1" applyBorder="1"/>
    <xf numFmtId="2" fontId="39" fillId="0" borderId="5" xfId="5" applyNumberFormat="1" applyBorder="1"/>
    <xf numFmtId="2" fontId="39" fillId="0" borderId="57" xfId="5" applyNumberFormat="1" applyBorder="1"/>
    <xf numFmtId="2" fontId="39" fillId="0" borderId="7" xfId="5" applyNumberFormat="1" applyBorder="1"/>
    <xf numFmtId="0" fontId="105" fillId="2" borderId="22" xfId="0" applyFont="1" applyFill="1" applyBorder="1" applyAlignment="1" applyProtection="1">
      <alignment vertical="center"/>
      <protection locked="0"/>
    </xf>
    <xf numFmtId="11" fontId="0" fillId="3" borderId="1" xfId="0" applyNumberFormat="1" applyFill="1" applyBorder="1" applyAlignment="1">
      <alignment horizontal="center" vertical="center"/>
    </xf>
    <xf numFmtId="178" fontId="0" fillId="3" borderId="1" xfId="0" applyNumberFormat="1" applyFill="1" applyBorder="1" applyAlignment="1" applyProtection="1">
      <alignment horizontal="center"/>
      <protection locked="0"/>
    </xf>
    <xf numFmtId="0" fontId="0" fillId="0" borderId="57" xfId="0" applyBorder="1" applyAlignment="1" applyProtection="1">
      <alignment vertical="center" wrapText="1"/>
      <protection locked="0"/>
    </xf>
    <xf numFmtId="0" fontId="0" fillId="0" borderId="21" xfId="0" applyBorder="1" applyAlignment="1" applyProtection="1">
      <alignment vertical="center" wrapText="1"/>
      <protection locked="0"/>
    </xf>
    <xf numFmtId="11" fontId="0" fillId="3" borderId="1" xfId="0" applyNumberFormat="1" applyFill="1" applyBorder="1" applyAlignment="1" applyProtection="1">
      <alignment horizontal="center"/>
      <protection locked="0"/>
    </xf>
    <xf numFmtId="174" fontId="0" fillId="3" borderId="1" xfId="0" applyNumberFormat="1" applyFill="1" applyBorder="1" applyAlignment="1" applyProtection="1">
      <alignment horizontal="center"/>
      <protection locked="0"/>
    </xf>
    <xf numFmtId="0" fontId="0" fillId="0" borderId="1" xfId="0" applyBorder="1" applyAlignment="1">
      <alignment horizontal="right" vertical="center"/>
    </xf>
    <xf numFmtId="0" fontId="0" fillId="0" borderId="41" xfId="0" applyBorder="1" applyAlignment="1">
      <alignment horizontal="right" vertical="center"/>
    </xf>
    <xf numFmtId="0" fontId="4" fillId="0" borderId="1" xfId="20" applyFont="1" applyBorder="1" applyAlignment="1">
      <alignment horizontal="center"/>
    </xf>
    <xf numFmtId="0" fontId="4" fillId="3" borderId="1" xfId="20" applyFont="1" applyFill="1" applyBorder="1" applyAlignment="1">
      <alignment horizontal="center"/>
    </xf>
    <xf numFmtId="0" fontId="4" fillId="0" borderId="0" xfId="20" applyFont="1" applyAlignment="1">
      <alignment horizontal="center"/>
    </xf>
    <xf numFmtId="165" fontId="80" fillId="0" borderId="0" xfId="0" applyNumberFormat="1" applyFont="1" applyAlignment="1">
      <alignment vertical="center" wrapText="1"/>
    </xf>
    <xf numFmtId="0" fontId="79" fillId="0" borderId="0" xfId="0" applyFont="1" applyAlignment="1">
      <alignment vertical="center" wrapText="1"/>
    </xf>
    <xf numFmtId="0" fontId="80" fillId="0" borderId="0" xfId="0" applyFont="1" applyAlignment="1">
      <alignment vertical="center" wrapText="1"/>
    </xf>
    <xf numFmtId="0" fontId="96" fillId="0" borderId="4" xfId="0" applyFont="1" applyBorder="1" applyAlignment="1">
      <alignment horizontal="center" vertical="center"/>
    </xf>
    <xf numFmtId="184" fontId="96" fillId="0" borderId="10" xfId="23" applyNumberFormat="1" applyFont="1" applyFill="1" applyBorder="1" applyAlignment="1">
      <alignment horizontal="center" vertical="center"/>
    </xf>
    <xf numFmtId="2" fontId="95" fillId="0" borderId="0" xfId="0" applyNumberFormat="1" applyFont="1" applyAlignment="1">
      <alignment horizontal="center" vertical="center"/>
    </xf>
    <xf numFmtId="184" fontId="95" fillId="0" borderId="0" xfId="23" applyNumberFormat="1" applyFont="1" applyFill="1" applyBorder="1" applyAlignment="1">
      <alignment horizontal="center" vertical="center"/>
    </xf>
    <xf numFmtId="0" fontId="165" fillId="0" borderId="9" xfId="0" applyFont="1" applyBorder="1" applyAlignment="1">
      <alignment horizontal="center" vertical="center"/>
    </xf>
    <xf numFmtId="165" fontId="165" fillId="0" borderId="9" xfId="0" applyNumberFormat="1" applyFont="1" applyBorder="1" applyAlignment="1">
      <alignment horizontal="center" vertical="center"/>
    </xf>
    <xf numFmtId="0" fontId="95" fillId="0" borderId="9" xfId="0" applyFont="1" applyBorder="1" applyAlignment="1" applyProtection="1">
      <alignment horizontal="center" vertical="center"/>
      <protection locked="0"/>
    </xf>
    <xf numFmtId="0" fontId="95" fillId="0" borderId="10" xfId="0" applyFont="1" applyBorder="1"/>
    <xf numFmtId="0" fontId="96" fillId="0" borderId="56" xfId="0" applyFont="1" applyBorder="1" applyAlignment="1">
      <alignment horizontal="center" vertical="center"/>
    </xf>
    <xf numFmtId="184" fontId="96" fillId="0" borderId="45" xfId="23" applyNumberFormat="1" applyFont="1" applyFill="1" applyBorder="1" applyAlignment="1">
      <alignment horizontal="center" vertical="center"/>
    </xf>
    <xf numFmtId="0" fontId="40" fillId="2" borderId="7" xfId="0" applyFont="1" applyFill="1" applyBorder="1" applyAlignment="1">
      <alignment wrapText="1"/>
    </xf>
    <xf numFmtId="1" fontId="41" fillId="2" borderId="21" xfId="0" applyNumberFormat="1" applyFont="1" applyFill="1" applyBorder="1" applyAlignment="1">
      <alignment horizontal="center" vertical="center" wrapText="1"/>
    </xf>
    <xf numFmtId="0" fontId="95" fillId="0" borderId="0" xfId="0" applyFont="1" applyAlignment="1" applyProtection="1">
      <alignment horizontal="center" vertical="center"/>
      <protection locked="0"/>
    </xf>
    <xf numFmtId="0" fontId="95" fillId="0" borderId="0" xfId="0" applyFont="1"/>
    <xf numFmtId="1" fontId="167" fillId="0" borderId="9" xfId="0" applyNumberFormat="1" applyFont="1" applyBorder="1" applyAlignment="1">
      <alignment horizontal="center" vertical="center" wrapText="1"/>
    </xf>
    <xf numFmtId="0" fontId="95" fillId="0" borderId="70" xfId="0" applyFont="1" applyBorder="1" applyAlignment="1">
      <alignment horizontal="center" vertical="center"/>
    </xf>
    <xf numFmtId="0" fontId="105" fillId="0" borderId="0" xfId="0" applyFont="1" applyAlignment="1">
      <alignment horizontal="center" vertical="center"/>
    </xf>
    <xf numFmtId="0" fontId="40" fillId="0" borderId="0" xfId="0" applyFont="1" applyAlignment="1">
      <alignment horizontal="center"/>
    </xf>
    <xf numFmtId="0" fontId="106" fillId="0" borderId="0" xfId="0" applyFont="1" applyAlignment="1">
      <alignment horizontal="center"/>
    </xf>
    <xf numFmtId="0" fontId="44" fillId="2" borderId="0" xfId="0" applyFont="1" applyFill="1" applyAlignment="1" applyProtection="1">
      <alignment horizontal="left" wrapText="1"/>
      <protection locked="0"/>
    </xf>
    <xf numFmtId="0" fontId="40" fillId="0" borderId="1" xfId="1" applyFont="1" applyBorder="1" applyAlignment="1">
      <alignment horizontal="center" vertical="center" wrapText="1"/>
    </xf>
    <xf numFmtId="0" fontId="2" fillId="2" borderId="1" xfId="1" applyFont="1" applyFill="1" applyBorder="1" applyAlignment="1" applyProtection="1">
      <alignment horizontal="center"/>
      <protection locked="0"/>
    </xf>
    <xf numFmtId="0" fontId="103" fillId="22" borderId="0" xfId="0" applyFont="1" applyFill="1" applyAlignment="1">
      <alignment horizontal="left" wrapText="1"/>
    </xf>
    <xf numFmtId="0" fontId="40" fillId="22" borderId="0" xfId="0" applyFont="1" applyFill="1" applyAlignment="1" applyProtection="1">
      <alignment vertical="center" wrapText="1"/>
      <protection locked="0"/>
    </xf>
    <xf numFmtId="0" fontId="103" fillId="0" borderId="0" xfId="0" applyFont="1" applyAlignment="1">
      <alignment vertical="center"/>
    </xf>
    <xf numFmtId="0" fontId="103" fillId="22" borderId="0" xfId="0" applyFont="1" applyFill="1" applyAlignment="1">
      <alignment vertical="center"/>
    </xf>
    <xf numFmtId="0" fontId="121" fillId="22" borderId="0" xfId="0" applyFont="1" applyFill="1"/>
    <xf numFmtId="0" fontId="103" fillId="22" borderId="0" xfId="0" applyFont="1" applyFill="1" applyAlignment="1">
      <alignment vertical="center" wrapText="1"/>
    </xf>
    <xf numFmtId="0" fontId="39" fillId="21" borderId="1" xfId="0" applyFont="1" applyFill="1" applyBorder="1"/>
    <xf numFmtId="0" fontId="39" fillId="0" borderId="1" xfId="0" applyFont="1" applyBorder="1" applyAlignment="1">
      <alignment horizontal="center" vertical="center"/>
    </xf>
    <xf numFmtId="0" fontId="0" fillId="0" borderId="1" xfId="0" applyBorder="1" applyAlignment="1">
      <alignment horizontal="center" vertical="center"/>
    </xf>
    <xf numFmtId="0" fontId="55" fillId="10" borderId="1" xfId="0" applyFont="1" applyFill="1" applyBorder="1" applyAlignment="1">
      <alignment horizontal="center" vertical="center"/>
    </xf>
    <xf numFmtId="0" fontId="0" fillId="14" borderId="1" xfId="0" applyFill="1" applyBorder="1" applyAlignment="1" applyProtection="1">
      <alignment horizontal="center"/>
      <protection locked="0"/>
    </xf>
    <xf numFmtId="0" fontId="39" fillId="12" borderId="1" xfId="0" applyFont="1" applyFill="1" applyBorder="1" applyAlignment="1">
      <alignment horizontal="center"/>
    </xf>
    <xf numFmtId="0" fontId="39" fillId="10" borderId="1" xfId="0" applyFont="1" applyFill="1" applyBorder="1" applyAlignment="1">
      <alignment horizontal="center" vertical="center"/>
    </xf>
    <xf numFmtId="0" fontId="0" fillId="0" borderId="1" xfId="0" applyBorder="1" applyAlignment="1">
      <alignment horizontal="center"/>
    </xf>
    <xf numFmtId="170" fontId="39" fillId="0" borderId="0" xfId="5" applyNumberFormat="1"/>
    <xf numFmtId="170" fontId="39" fillId="0" borderId="6" xfId="5" applyNumberFormat="1" applyBorder="1"/>
    <xf numFmtId="170" fontId="39" fillId="0" borderId="57" xfId="5" applyNumberFormat="1" applyBorder="1"/>
    <xf numFmtId="170" fontId="39" fillId="0" borderId="2" xfId="5" applyNumberFormat="1" applyBorder="1"/>
    <xf numFmtId="170" fontId="39" fillId="0" borderId="8" xfId="5" applyNumberFormat="1" applyBorder="1"/>
    <xf numFmtId="170" fontId="39" fillId="0" borderId="21" xfId="5" applyNumberFormat="1" applyBorder="1"/>
    <xf numFmtId="168" fontId="39" fillId="0" borderId="0" xfId="5" applyNumberFormat="1"/>
    <xf numFmtId="168" fontId="39" fillId="0" borderId="6" xfId="5" applyNumberFormat="1" applyBorder="1"/>
    <xf numFmtId="173" fontId="39" fillId="0" borderId="8" xfId="5" applyNumberFormat="1" applyBorder="1"/>
    <xf numFmtId="168" fontId="39" fillId="0" borderId="5" xfId="5" applyNumberFormat="1" applyBorder="1" applyAlignment="1">
      <alignment horizontal="right"/>
    </xf>
    <xf numFmtId="168" fontId="39" fillId="0" borderId="0" xfId="5" applyNumberFormat="1" applyAlignment="1">
      <alignment horizontal="right"/>
    </xf>
    <xf numFmtId="168" fontId="39" fillId="0" borderId="6" xfId="5" applyNumberFormat="1" applyBorder="1" applyAlignment="1">
      <alignment horizontal="right"/>
    </xf>
    <xf numFmtId="168" fontId="39" fillId="0" borderId="57" xfId="5" applyNumberFormat="1" applyBorder="1" applyAlignment="1">
      <alignment horizontal="right"/>
    </xf>
    <xf numFmtId="168" fontId="39" fillId="0" borderId="7" xfId="5" applyNumberFormat="1" applyBorder="1" applyAlignment="1">
      <alignment horizontal="right"/>
    </xf>
    <xf numFmtId="168" fontId="39" fillId="0" borderId="2" xfId="5" applyNumberFormat="1" applyBorder="1" applyAlignment="1">
      <alignment horizontal="right"/>
    </xf>
    <xf numFmtId="168" fontId="39" fillId="0" borderId="8" xfId="5" applyNumberFormat="1" applyBorder="1" applyAlignment="1">
      <alignment horizontal="right"/>
    </xf>
    <xf numFmtId="168" fontId="39" fillId="0" borderId="21" xfId="5" applyNumberFormat="1" applyBorder="1" applyAlignment="1">
      <alignment horizontal="right"/>
    </xf>
    <xf numFmtId="169" fontId="39" fillId="0" borderId="56" xfId="5" applyNumberFormat="1" applyBorder="1"/>
    <xf numFmtId="169" fontId="39" fillId="0" borderId="47" xfId="5" applyNumberFormat="1" applyBorder="1"/>
    <xf numFmtId="169" fontId="39" fillId="0" borderId="45" xfId="5" applyNumberFormat="1" applyBorder="1"/>
    <xf numFmtId="169" fontId="39" fillId="0" borderId="41" xfId="5" applyNumberFormat="1" applyBorder="1"/>
    <xf numFmtId="172" fontId="39" fillId="0" borderId="8" xfId="5" applyNumberFormat="1" applyBorder="1"/>
    <xf numFmtId="169" fontId="39" fillId="0" borderId="0" xfId="5" applyNumberFormat="1"/>
    <xf numFmtId="169" fontId="39" fillId="0" borderId="6" xfId="5" applyNumberFormat="1" applyBorder="1"/>
    <xf numFmtId="169" fontId="39" fillId="0" borderId="7" xfId="5" applyNumberFormat="1" applyBorder="1"/>
    <xf numFmtId="169" fontId="39" fillId="0" borderId="2" xfId="5" applyNumberFormat="1" applyBorder="1"/>
    <xf numFmtId="169" fontId="39" fillId="0" borderId="8" xfId="5" applyNumberFormat="1" applyBorder="1"/>
    <xf numFmtId="2" fontId="39" fillId="0" borderId="0" xfId="5" applyNumberFormat="1"/>
    <xf numFmtId="2" fontId="39" fillId="0" borderId="6" xfId="5" applyNumberFormat="1" applyBorder="1"/>
    <xf numFmtId="2" fontId="39" fillId="0" borderId="2" xfId="5" applyNumberFormat="1" applyBorder="1"/>
    <xf numFmtId="2" fontId="39" fillId="0" borderId="8" xfId="5" applyNumberFormat="1" applyBorder="1"/>
    <xf numFmtId="2" fontId="39" fillId="0" borderId="21" xfId="5" applyNumberFormat="1" applyBorder="1"/>
    <xf numFmtId="0" fontId="40" fillId="2" borderId="72" xfId="0" applyFont="1" applyFill="1" applyBorder="1" applyAlignment="1" applyProtection="1">
      <alignment horizontal="center"/>
      <protection locked="0"/>
    </xf>
    <xf numFmtId="165" fontId="40" fillId="2" borderId="4" xfId="0" applyNumberFormat="1" applyFont="1" applyFill="1" applyBorder="1" applyAlignment="1">
      <alignment horizontal="center"/>
    </xf>
    <xf numFmtId="165" fontId="40" fillId="2" borderId="9" xfId="0" applyNumberFormat="1" applyFont="1" applyFill="1" applyBorder="1" applyAlignment="1">
      <alignment horizontal="center"/>
    </xf>
    <xf numFmtId="165" fontId="40" fillId="2" borderId="10" xfId="0" applyNumberFormat="1" applyFont="1" applyFill="1" applyBorder="1" applyAlignment="1">
      <alignment horizontal="center"/>
    </xf>
    <xf numFmtId="0" fontId="102" fillId="0" borderId="0" xfId="0" applyFont="1" applyAlignment="1" applyProtection="1">
      <alignment horizontal="center" vertical="center" wrapText="1"/>
      <protection locked="0"/>
    </xf>
    <xf numFmtId="0" fontId="126" fillId="0" borderId="0" xfId="0" applyFont="1" applyAlignment="1" applyProtection="1">
      <alignment horizontal="left" vertical="center"/>
      <protection locked="0"/>
    </xf>
    <xf numFmtId="49" fontId="126" fillId="0" borderId="0" xfId="0" applyNumberFormat="1" applyFont="1" applyAlignment="1" applyProtection="1">
      <alignment horizontal="left" vertical="center"/>
      <protection locked="0"/>
    </xf>
    <xf numFmtId="0" fontId="103" fillId="0" borderId="0" xfId="0" applyFont="1" applyAlignment="1" applyProtection="1">
      <alignment horizontal="left" wrapText="1"/>
      <protection locked="0"/>
    </xf>
    <xf numFmtId="14" fontId="103" fillId="0" borderId="0" xfId="0" applyNumberFormat="1" applyFont="1" applyAlignment="1" applyProtection="1">
      <alignment horizontal="left" wrapText="1"/>
      <protection locked="0"/>
    </xf>
    <xf numFmtId="0" fontId="40" fillId="2" borderId="0" xfId="0" applyFont="1" applyFill="1" applyAlignment="1" applyProtection="1">
      <alignment horizontal="center"/>
      <protection locked="0"/>
    </xf>
    <xf numFmtId="0" fontId="105" fillId="2" borderId="1" xfId="5" applyFont="1" applyFill="1" applyBorder="1" applyAlignment="1" applyProtection="1">
      <alignment horizontal="center"/>
      <protection locked="0"/>
    </xf>
    <xf numFmtId="0" fontId="44" fillId="10" borderId="41" xfId="0" applyFont="1" applyFill="1" applyBorder="1" applyAlignment="1">
      <alignment horizontal="center" vertical="center" wrapText="1"/>
    </xf>
    <xf numFmtId="165" fontId="104" fillId="2" borderId="1" xfId="5" applyNumberFormat="1" applyFont="1" applyFill="1" applyBorder="1" applyAlignment="1" applyProtection="1">
      <alignment horizontal="center" vertical="center"/>
      <protection locked="0"/>
    </xf>
    <xf numFmtId="0" fontId="105" fillId="2" borderId="22" xfId="0" applyFont="1" applyFill="1" applyBorder="1" applyAlignment="1" applyProtection="1">
      <alignment horizontal="center" vertical="center" wrapText="1"/>
      <protection locked="0"/>
    </xf>
    <xf numFmtId="0" fontId="105" fillId="2" borderId="24" xfId="0" applyFont="1" applyFill="1" applyBorder="1" applyAlignment="1" applyProtection="1">
      <alignment horizontal="center" vertical="center" wrapText="1"/>
      <protection locked="0"/>
    </xf>
    <xf numFmtId="168" fontId="104" fillId="2" borderId="1" xfId="5" applyNumberFormat="1" applyFont="1" applyFill="1" applyBorder="1" applyAlignment="1" applyProtection="1">
      <alignment horizontal="center" vertical="center" wrapText="1"/>
      <protection locked="0"/>
    </xf>
    <xf numFmtId="2" fontId="40" fillId="11" borderId="21" xfId="0" applyNumberFormat="1" applyFont="1" applyFill="1" applyBorder="1" applyAlignment="1">
      <alignment horizontal="center"/>
    </xf>
    <xf numFmtId="2" fontId="40" fillId="11" borderId="1" xfId="0" applyNumberFormat="1" applyFont="1" applyFill="1" applyBorder="1" applyAlignment="1">
      <alignment horizontal="center"/>
    </xf>
    <xf numFmtId="2" fontId="41" fillId="2" borderId="47" xfId="0" applyNumberFormat="1" applyFont="1" applyFill="1" applyBorder="1" applyAlignment="1">
      <alignment horizontal="center"/>
    </xf>
    <xf numFmtId="0" fontId="40" fillId="11" borderId="4" xfId="0" applyFont="1" applyFill="1" applyBorder="1" applyAlignment="1">
      <alignment horizontal="left" vertical="center" wrapText="1"/>
    </xf>
    <xf numFmtId="0" fontId="40" fillId="11" borderId="9" xfId="0" applyFont="1" applyFill="1" applyBorder="1" applyAlignment="1">
      <alignment horizontal="left" vertical="center" wrapText="1"/>
    </xf>
    <xf numFmtId="0" fontId="40" fillId="11" borderId="28" xfId="0" applyFont="1" applyFill="1" applyBorder="1" applyAlignment="1">
      <alignment horizontal="left" vertical="center" wrapText="1"/>
    </xf>
    <xf numFmtId="0" fontId="169" fillId="0" borderId="0" xfId="0" applyFont="1" applyAlignment="1">
      <alignment horizontal="right" vertical="center" wrapText="1"/>
    </xf>
    <xf numFmtId="0" fontId="40" fillId="2" borderId="0" xfId="0" applyFont="1" applyFill="1" applyAlignment="1">
      <alignment horizontal="center"/>
    </xf>
    <xf numFmtId="0" fontId="170" fillId="0" borderId="0" xfId="0" applyFont="1" applyAlignment="1">
      <alignment horizontal="right" vertical="center"/>
    </xf>
    <xf numFmtId="167" fontId="171" fillId="0" borderId="0" xfId="0" applyNumberFormat="1" applyFont="1" applyAlignment="1">
      <alignment horizontal="right" vertical="top" wrapText="1"/>
    </xf>
    <xf numFmtId="168" fontId="40" fillId="11" borderId="1" xfId="0" applyNumberFormat="1" applyFont="1" applyFill="1" applyBorder="1" applyAlignment="1">
      <alignment horizontal="center"/>
    </xf>
    <xf numFmtId="0" fontId="40" fillId="11" borderId="48" xfId="0" applyFont="1" applyFill="1" applyBorder="1" applyAlignment="1">
      <alignment horizontal="center"/>
    </xf>
    <xf numFmtId="0" fontId="40" fillId="11" borderId="7" xfId="0" applyFont="1" applyFill="1" applyBorder="1" applyAlignment="1">
      <alignment horizontal="center"/>
    </xf>
    <xf numFmtId="0" fontId="40" fillId="11" borderId="41" xfId="0" applyFont="1" applyFill="1" applyBorder="1" applyAlignment="1">
      <alignment horizontal="center" vertical="center" wrapText="1"/>
    </xf>
    <xf numFmtId="0" fontId="40" fillId="2" borderId="42" xfId="0" applyFont="1" applyFill="1" applyBorder="1" applyAlignment="1">
      <alignment horizontal="center"/>
    </xf>
    <xf numFmtId="0" fontId="40" fillId="2" borderId="50" xfId="0" applyFont="1" applyFill="1" applyBorder="1" applyAlignment="1">
      <alignment horizontal="center"/>
    </xf>
    <xf numFmtId="0" fontId="40" fillId="2" borderId="43" xfId="0" applyFont="1" applyFill="1" applyBorder="1" applyAlignment="1">
      <alignment horizontal="center"/>
    </xf>
    <xf numFmtId="0" fontId="44" fillId="10" borderId="1" xfId="0" applyFont="1" applyFill="1" applyBorder="1" applyAlignment="1">
      <alignment horizontal="center" vertical="center" wrapText="1"/>
    </xf>
    <xf numFmtId="168" fontId="40" fillId="2" borderId="4" xfId="0" applyNumberFormat="1" applyFont="1" applyFill="1" applyBorder="1" applyAlignment="1">
      <alignment horizontal="center"/>
    </xf>
    <xf numFmtId="168" fontId="40" fillId="2" borderId="10" xfId="0" applyNumberFormat="1" applyFont="1" applyFill="1" applyBorder="1" applyAlignment="1">
      <alignment horizontal="center"/>
    </xf>
    <xf numFmtId="0" fontId="40" fillId="10" borderId="4" xfId="0" applyFont="1" applyFill="1" applyBorder="1" applyAlignment="1">
      <alignment horizontal="center"/>
    </xf>
    <xf numFmtId="0" fontId="40" fillId="10" borderId="10" xfId="0" applyFont="1" applyFill="1" applyBorder="1" applyAlignment="1">
      <alignment horizontal="center"/>
    </xf>
    <xf numFmtId="172" fontId="40" fillId="2" borderId="9" xfId="0" applyNumberFormat="1" applyFont="1" applyFill="1" applyBorder="1" applyAlignment="1">
      <alignment horizontal="center"/>
    </xf>
    <xf numFmtId="172" fontId="40" fillId="2" borderId="10" xfId="0" applyNumberFormat="1" applyFont="1" applyFill="1" applyBorder="1" applyAlignment="1">
      <alignment horizontal="center"/>
    </xf>
    <xf numFmtId="169" fontId="40" fillId="11" borderId="21" xfId="0" applyNumberFormat="1" applyFont="1" applyFill="1" applyBorder="1" applyAlignment="1">
      <alignment horizontal="center"/>
    </xf>
    <xf numFmtId="0" fontId="40" fillId="3" borderId="56" xfId="0" applyFont="1" applyFill="1" applyBorder="1" applyAlignment="1">
      <alignment horizontal="center"/>
    </xf>
    <xf numFmtId="0" fontId="40" fillId="3" borderId="47" xfId="0" applyFont="1" applyFill="1" applyBorder="1" applyAlignment="1">
      <alignment horizontal="center"/>
    </xf>
    <xf numFmtId="169" fontId="40" fillId="2" borderId="1" xfId="0" applyNumberFormat="1" applyFont="1" applyFill="1" applyBorder="1" applyAlignment="1">
      <alignment horizontal="center"/>
    </xf>
    <xf numFmtId="0" fontId="105" fillId="2" borderId="22" xfId="5" applyFont="1" applyFill="1" applyBorder="1" applyAlignment="1" applyProtection="1">
      <alignment horizontal="center" vertical="center"/>
      <protection locked="0"/>
    </xf>
    <xf numFmtId="0" fontId="105" fillId="2" borderId="23" xfId="5" applyFont="1" applyFill="1" applyBorder="1" applyAlignment="1" applyProtection="1">
      <alignment horizontal="center" vertical="center"/>
      <protection locked="0"/>
    </xf>
    <xf numFmtId="0" fontId="105" fillId="2" borderId="24" xfId="5" applyFont="1" applyFill="1" applyBorder="1" applyAlignment="1" applyProtection="1">
      <alignment horizontal="center" vertical="center"/>
      <protection locked="0"/>
    </xf>
    <xf numFmtId="0" fontId="40" fillId="2" borderId="0" xfId="0" applyFont="1" applyFill="1" applyAlignment="1" applyProtection="1">
      <alignment horizontal="left"/>
      <protection locked="0"/>
    </xf>
    <xf numFmtId="169" fontId="40" fillId="2" borderId="4" xfId="0" applyNumberFormat="1" applyFont="1" applyFill="1" applyBorder="1" applyAlignment="1">
      <alignment horizontal="center"/>
    </xf>
    <xf numFmtId="169" fontId="40" fillId="2" borderId="10" xfId="0" applyNumberFormat="1" applyFont="1" applyFill="1" applyBorder="1" applyAlignment="1">
      <alignment horizontal="center"/>
    </xf>
    <xf numFmtId="2" fontId="40" fillId="11" borderId="4" xfId="0" applyNumberFormat="1" applyFont="1" applyFill="1" applyBorder="1" applyAlignment="1">
      <alignment horizontal="center"/>
    </xf>
    <xf numFmtId="2" fontId="40" fillId="11" borderId="10" xfId="0" applyNumberFormat="1" applyFont="1" applyFill="1" applyBorder="1" applyAlignment="1">
      <alignment horizontal="center"/>
    </xf>
    <xf numFmtId="0" fontId="41" fillId="10" borderId="1" xfId="0" applyFont="1" applyFill="1" applyBorder="1" applyAlignment="1">
      <alignment horizontal="center"/>
    </xf>
    <xf numFmtId="1" fontId="40" fillId="2" borderId="7" xfId="0" applyNumberFormat="1" applyFont="1" applyFill="1" applyBorder="1" applyAlignment="1">
      <alignment horizontal="center"/>
    </xf>
    <xf numFmtId="1" fontId="40" fillId="2" borderId="27" xfId="0" applyNumberFormat="1" applyFont="1" applyFill="1" applyBorder="1" applyAlignment="1">
      <alignment horizontal="center"/>
    </xf>
    <xf numFmtId="0" fontId="166" fillId="0" borderId="9" xfId="0" applyFont="1" applyBorder="1" applyAlignment="1">
      <alignment horizontal="center" vertical="center"/>
    </xf>
    <xf numFmtId="0" fontId="147" fillId="2" borderId="1" xfId="0" applyFont="1" applyFill="1" applyBorder="1" applyAlignment="1">
      <alignment horizontal="center" vertical="center"/>
    </xf>
    <xf numFmtId="0" fontId="105" fillId="2" borderId="22" xfId="5" applyFont="1" applyFill="1" applyBorder="1" applyAlignment="1" applyProtection="1">
      <alignment horizontal="center"/>
      <protection locked="0"/>
    </xf>
    <xf numFmtId="0" fontId="105" fillId="2" borderId="24" xfId="5" applyFont="1" applyFill="1" applyBorder="1" applyAlignment="1" applyProtection="1">
      <alignment horizontal="center"/>
      <protection locked="0"/>
    </xf>
    <xf numFmtId="0" fontId="44" fillId="10" borderId="7" xfId="0" applyFont="1" applyFill="1" applyBorder="1" applyAlignment="1">
      <alignment horizontal="center" vertical="center" wrapText="1"/>
    </xf>
    <xf numFmtId="0" fontId="44" fillId="10" borderId="10" xfId="0" applyFont="1" applyFill="1" applyBorder="1" applyAlignment="1">
      <alignment horizontal="center" vertical="center" wrapText="1"/>
    </xf>
    <xf numFmtId="0" fontId="45" fillId="2" borderId="0" xfId="0" applyFont="1" applyFill="1" applyAlignment="1" applyProtection="1">
      <alignment horizontal="left"/>
      <protection locked="0"/>
    </xf>
    <xf numFmtId="170" fontId="40" fillId="2" borderId="1" xfId="0" applyNumberFormat="1" applyFont="1" applyFill="1" applyBorder="1" applyAlignment="1">
      <alignment horizontal="center"/>
    </xf>
    <xf numFmtId="168" fontId="40" fillId="2" borderId="1" xfId="0" applyNumberFormat="1" applyFont="1" applyFill="1" applyBorder="1" applyAlignment="1">
      <alignment horizontal="center"/>
    </xf>
    <xf numFmtId="165" fontId="104" fillId="2" borderId="22" xfId="5" applyNumberFormat="1" applyFont="1" applyFill="1" applyBorder="1" applyAlignment="1" applyProtection="1">
      <alignment horizontal="center" vertical="center"/>
      <protection locked="0"/>
    </xf>
    <xf numFmtId="165" fontId="104" fillId="2" borderId="24" xfId="5" applyNumberFormat="1" applyFont="1" applyFill="1" applyBorder="1" applyAlignment="1" applyProtection="1">
      <alignment horizontal="center" vertical="center"/>
      <protection locked="0"/>
    </xf>
    <xf numFmtId="0" fontId="44" fillId="10" borderId="57" xfId="0" applyFont="1" applyFill="1" applyBorder="1" applyAlignment="1">
      <alignment horizontal="center" vertical="center" wrapText="1"/>
    </xf>
    <xf numFmtId="2" fontId="40" fillId="11" borderId="7" xfId="0" applyNumberFormat="1" applyFont="1" applyFill="1" applyBorder="1" applyAlignment="1">
      <alignment horizontal="center"/>
    </xf>
    <xf numFmtId="2" fontId="40" fillId="11" borderId="8" xfId="0" applyNumberFormat="1" applyFont="1" applyFill="1" applyBorder="1" applyAlignment="1">
      <alignment horizontal="center"/>
    </xf>
    <xf numFmtId="0" fontId="44" fillId="10" borderId="8" xfId="0" applyFont="1" applyFill="1" applyBorder="1" applyAlignment="1">
      <alignment horizontal="center" vertical="center" wrapText="1"/>
    </xf>
    <xf numFmtId="0" fontId="5" fillId="2" borderId="4" xfId="1" applyFont="1" applyFill="1" applyBorder="1" applyAlignment="1">
      <alignment horizontal="center" vertical="center" wrapText="1"/>
    </xf>
    <xf numFmtId="0" fontId="35" fillId="2" borderId="9" xfId="1" applyFont="1" applyFill="1" applyBorder="1" applyAlignment="1">
      <alignment horizontal="center" vertical="center" wrapText="1"/>
    </xf>
    <xf numFmtId="0" fontId="35" fillId="2" borderId="10" xfId="1" applyFont="1" applyFill="1" applyBorder="1" applyAlignment="1">
      <alignment horizontal="center" vertical="center" wrapText="1"/>
    </xf>
    <xf numFmtId="0" fontId="40" fillId="2" borderId="22" xfId="0" applyFont="1" applyFill="1" applyBorder="1" applyAlignment="1" applyProtection="1">
      <alignment horizontal="center"/>
      <protection locked="0"/>
    </xf>
    <xf numFmtId="0" fontId="40" fillId="2" borderId="23" xfId="0" applyFont="1" applyFill="1" applyBorder="1" applyAlignment="1" applyProtection="1">
      <alignment horizontal="center"/>
      <protection locked="0"/>
    </xf>
    <xf numFmtId="0" fontId="40" fillId="2" borderId="24" xfId="0" applyFont="1" applyFill="1" applyBorder="1" applyAlignment="1" applyProtection="1">
      <alignment horizontal="center"/>
      <protection locked="0"/>
    </xf>
    <xf numFmtId="0" fontId="41" fillId="2" borderId="22" xfId="0" applyFont="1" applyFill="1" applyBorder="1" applyAlignment="1" applyProtection="1">
      <alignment horizontal="center" wrapText="1"/>
      <protection locked="0"/>
    </xf>
    <xf numFmtId="0" fontId="41" fillId="2" borderId="23" xfId="0" applyFont="1" applyFill="1" applyBorder="1" applyAlignment="1" applyProtection="1">
      <alignment horizontal="center" wrapText="1"/>
      <protection locked="0"/>
    </xf>
    <xf numFmtId="0" fontId="41" fillId="2" borderId="24" xfId="0" applyFont="1" applyFill="1" applyBorder="1" applyAlignment="1" applyProtection="1">
      <alignment horizontal="center" wrapText="1"/>
      <protection locked="0"/>
    </xf>
    <xf numFmtId="0" fontId="40" fillId="2" borderId="0" xfId="0" applyFont="1" applyFill="1" applyAlignment="1" applyProtection="1">
      <alignment horizontal="center" vertical="center"/>
      <protection locked="0"/>
    </xf>
    <xf numFmtId="167" fontId="45" fillId="2" borderId="0" xfId="0" applyNumberFormat="1" applyFont="1" applyFill="1" applyAlignment="1" applyProtection="1">
      <alignment horizontal="left"/>
      <protection locked="0"/>
    </xf>
    <xf numFmtId="0" fontId="50" fillId="10" borderId="0" xfId="0" applyFont="1" applyFill="1" applyAlignment="1">
      <alignment horizontal="left"/>
    </xf>
    <xf numFmtId="0" fontId="5" fillId="2" borderId="4" xfId="1" applyFont="1" applyFill="1" applyBorder="1" applyAlignment="1">
      <alignment horizontal="center" wrapText="1"/>
    </xf>
    <xf numFmtId="0" fontId="32" fillId="2" borderId="9" xfId="1" applyFont="1" applyFill="1" applyBorder="1" applyAlignment="1">
      <alignment horizontal="center" wrapText="1"/>
    </xf>
    <xf numFmtId="0" fontId="32" fillId="2" borderId="10" xfId="1" applyFont="1" applyFill="1" applyBorder="1" applyAlignment="1">
      <alignment horizontal="center" wrapText="1"/>
    </xf>
    <xf numFmtId="170" fontId="40" fillId="2" borderId="9" xfId="0" applyNumberFormat="1" applyFont="1" applyFill="1" applyBorder="1" applyAlignment="1">
      <alignment horizontal="center"/>
    </xf>
    <xf numFmtId="170" fontId="40" fillId="2" borderId="10" xfId="0" applyNumberFormat="1" applyFont="1" applyFill="1" applyBorder="1" applyAlignment="1">
      <alignment horizontal="center"/>
    </xf>
    <xf numFmtId="170" fontId="40" fillId="2" borderId="4" xfId="0" applyNumberFormat="1" applyFont="1" applyFill="1" applyBorder="1" applyAlignment="1">
      <alignment horizontal="center"/>
    </xf>
    <xf numFmtId="0" fontId="40" fillId="2" borderId="1" xfId="0" applyFont="1" applyFill="1" applyBorder="1" applyAlignment="1">
      <alignment horizontal="center"/>
    </xf>
    <xf numFmtId="169" fontId="40" fillId="11" borderId="4" xfId="0" applyNumberFormat="1" applyFont="1" applyFill="1" applyBorder="1" applyAlignment="1">
      <alignment horizontal="center"/>
    </xf>
    <xf numFmtId="169" fontId="40" fillId="11" borderId="10" xfId="0" applyNumberFormat="1" applyFont="1" applyFill="1" applyBorder="1" applyAlignment="1">
      <alignment horizontal="center"/>
    </xf>
    <xf numFmtId="176" fontId="58" fillId="4" borderId="47" xfId="0" applyNumberFormat="1" applyFont="1" applyFill="1" applyBorder="1" applyAlignment="1">
      <alignment horizontal="center" vertical="center" wrapText="1"/>
    </xf>
    <xf numFmtId="176" fontId="58" fillId="4" borderId="0" xfId="0" applyNumberFormat="1" applyFont="1" applyFill="1" applyAlignment="1">
      <alignment horizontal="center" vertical="center" wrapText="1"/>
    </xf>
    <xf numFmtId="172" fontId="40" fillId="2" borderId="0" xfId="0" applyNumberFormat="1" applyFont="1" applyFill="1" applyAlignment="1">
      <alignment horizontal="center"/>
    </xf>
    <xf numFmtId="11" fontId="40" fillId="2" borderId="2" xfId="0" applyNumberFormat="1" applyFont="1" applyFill="1" applyBorder="1" applyAlignment="1">
      <alignment horizontal="center"/>
    </xf>
    <xf numFmtId="0" fontId="58" fillId="10" borderId="0" xfId="0" applyFont="1" applyFill="1" applyAlignment="1">
      <alignment horizontal="left" vertical="center" wrapText="1"/>
    </xf>
    <xf numFmtId="173" fontId="40" fillId="2" borderId="0" xfId="0" applyNumberFormat="1" applyFont="1" applyFill="1" applyAlignment="1">
      <alignment horizontal="center"/>
    </xf>
    <xf numFmtId="168" fontId="40" fillId="11" borderId="21" xfId="0" applyNumberFormat="1" applyFont="1" applyFill="1" applyBorder="1" applyAlignment="1">
      <alignment horizontal="center"/>
    </xf>
    <xf numFmtId="0" fontId="40" fillId="10" borderId="41" xfId="0" applyFont="1" applyFill="1" applyBorder="1" applyAlignment="1">
      <alignment horizontal="center" wrapText="1"/>
    </xf>
    <xf numFmtId="169" fontId="40" fillId="2" borderId="2" xfId="0" applyNumberFormat="1" applyFont="1" applyFill="1" applyBorder="1" applyAlignment="1">
      <alignment horizontal="center"/>
    </xf>
    <xf numFmtId="168" fontId="40" fillId="11" borderId="57" xfId="0" applyNumberFormat="1" applyFont="1" applyFill="1" applyBorder="1" applyAlignment="1">
      <alignment horizontal="center"/>
    </xf>
    <xf numFmtId="172" fontId="40" fillId="11" borderId="21" xfId="0" applyNumberFormat="1" applyFont="1" applyFill="1" applyBorder="1" applyAlignment="1">
      <alignment horizontal="center"/>
    </xf>
    <xf numFmtId="167" fontId="40" fillId="2" borderId="0" xfId="0" applyNumberFormat="1" applyFont="1" applyFill="1" applyAlignment="1" applyProtection="1">
      <alignment horizontal="left"/>
      <protection locked="0"/>
    </xf>
    <xf numFmtId="0" fontId="48" fillId="2" borderId="6" xfId="0" applyFont="1" applyFill="1" applyBorder="1" applyAlignment="1">
      <alignment horizontal="left" vertical="center"/>
    </xf>
    <xf numFmtId="0" fontId="48" fillId="2" borderId="57" xfId="0" applyFont="1" applyFill="1" applyBorder="1" applyAlignment="1">
      <alignment horizontal="left" vertical="center"/>
    </xf>
    <xf numFmtId="0" fontId="48" fillId="2" borderId="5" xfId="0" applyFont="1" applyFill="1" applyBorder="1" applyAlignment="1">
      <alignment horizontal="left" vertical="center"/>
    </xf>
    <xf numFmtId="0" fontId="40" fillId="11" borderId="45" xfId="0" applyFont="1" applyFill="1" applyBorder="1" applyAlignment="1">
      <alignment horizontal="center"/>
    </xf>
    <xf numFmtId="0" fontId="40" fillId="11" borderId="41" xfId="0" applyFont="1" applyFill="1" applyBorder="1" applyAlignment="1">
      <alignment horizontal="center"/>
    </xf>
    <xf numFmtId="165" fontId="40" fillId="2" borderId="12" xfId="0" applyNumberFormat="1" applyFont="1" applyFill="1" applyBorder="1" applyAlignment="1">
      <alignment horizontal="center"/>
    </xf>
    <xf numFmtId="0" fontId="40" fillId="2" borderId="13" xfId="0" applyFont="1" applyFill="1" applyBorder="1" applyAlignment="1">
      <alignment horizontal="center"/>
    </xf>
    <xf numFmtId="0" fontId="40" fillId="2" borderId="14" xfId="0" applyFont="1" applyFill="1" applyBorder="1" applyAlignment="1">
      <alignment horizontal="center"/>
    </xf>
    <xf numFmtId="0" fontId="40" fillId="11" borderId="56" xfId="0" applyFont="1" applyFill="1" applyBorder="1" applyAlignment="1">
      <alignment horizontal="center"/>
    </xf>
    <xf numFmtId="0" fontId="40" fillId="11" borderId="44" xfId="0" applyFont="1" applyFill="1" applyBorder="1" applyAlignment="1">
      <alignment horizontal="center" vertical="center" wrapText="1"/>
    </xf>
    <xf numFmtId="0" fontId="41" fillId="10" borderId="36" xfId="0" applyFont="1" applyFill="1" applyBorder="1" applyAlignment="1">
      <alignment horizontal="center"/>
    </xf>
    <xf numFmtId="0" fontId="41" fillId="10" borderId="18" xfId="0" applyFont="1" applyFill="1" applyBorder="1" applyAlignment="1">
      <alignment horizontal="center"/>
    </xf>
    <xf numFmtId="0" fontId="41" fillId="10" borderId="51" xfId="0" applyFont="1" applyFill="1" applyBorder="1" applyAlignment="1">
      <alignment horizontal="center"/>
    </xf>
    <xf numFmtId="0" fontId="40" fillId="11" borderId="46" xfId="0" applyFont="1" applyFill="1" applyBorder="1" applyAlignment="1">
      <alignment horizontal="center" vertical="center" wrapText="1"/>
    </xf>
    <xf numFmtId="0" fontId="40" fillId="11" borderId="46" xfId="0" applyFont="1" applyFill="1" applyBorder="1" applyAlignment="1">
      <alignment horizontal="center"/>
    </xf>
    <xf numFmtId="2" fontId="40" fillId="2" borderId="41" xfId="0" applyNumberFormat="1" applyFont="1" applyFill="1" applyBorder="1" applyAlignment="1">
      <alignment horizontal="center"/>
    </xf>
    <xf numFmtId="0" fontId="40" fillId="2" borderId="41" xfId="0" applyFont="1" applyFill="1" applyBorder="1" applyAlignment="1">
      <alignment horizontal="center"/>
    </xf>
    <xf numFmtId="2" fontId="40" fillId="2" borderId="42" xfId="0" applyNumberFormat="1" applyFont="1" applyFill="1" applyBorder="1" applyAlignment="1">
      <alignment horizontal="center"/>
    </xf>
    <xf numFmtId="2" fontId="40" fillId="2" borderId="50" xfId="0" applyNumberFormat="1" applyFont="1" applyFill="1" applyBorder="1" applyAlignment="1">
      <alignment horizontal="center"/>
    </xf>
    <xf numFmtId="2" fontId="40" fillId="2" borderId="43" xfId="0" applyNumberFormat="1" applyFont="1" applyFill="1" applyBorder="1" applyAlignment="1">
      <alignment horizontal="center"/>
    </xf>
    <xf numFmtId="0" fontId="81" fillId="14" borderId="5" xfId="0" applyFont="1" applyFill="1" applyBorder="1" applyAlignment="1">
      <alignment horizontal="center" vertical="center" wrapText="1"/>
    </xf>
    <xf numFmtId="0" fontId="81" fillId="14" borderId="0" xfId="0" applyFont="1" applyFill="1" applyAlignment="1">
      <alignment horizontal="center" vertical="center" wrapText="1"/>
    </xf>
    <xf numFmtId="0" fontId="81" fillId="3" borderId="4" xfId="0" applyFont="1" applyFill="1" applyBorder="1" applyAlignment="1">
      <alignment horizontal="center" vertical="center"/>
    </xf>
    <xf numFmtId="0" fontId="81" fillId="3" borderId="10" xfId="0" applyFont="1" applyFill="1" applyBorder="1" applyAlignment="1">
      <alignment horizontal="center" vertical="center"/>
    </xf>
    <xf numFmtId="2" fontId="105" fillId="2" borderId="42" xfId="0" applyNumberFormat="1" applyFont="1" applyFill="1" applyBorder="1" applyAlignment="1">
      <alignment horizontal="center"/>
    </xf>
    <xf numFmtId="2" fontId="105" fillId="2" borderId="50" xfId="0" applyNumberFormat="1" applyFont="1" applyFill="1" applyBorder="1" applyAlignment="1">
      <alignment horizontal="center"/>
    </xf>
    <xf numFmtId="2" fontId="105" fillId="2" borderId="43" xfId="0" applyNumberFormat="1" applyFont="1" applyFill="1" applyBorder="1" applyAlignment="1">
      <alignment horizontal="center"/>
    </xf>
    <xf numFmtId="2" fontId="40" fillId="2" borderId="56" xfId="0" applyNumberFormat="1" applyFont="1" applyFill="1" applyBorder="1" applyAlignment="1">
      <alignment horizontal="center"/>
    </xf>
    <xf numFmtId="2" fontId="40" fillId="2" borderId="47" xfId="0" applyNumberFormat="1" applyFont="1" applyFill="1" applyBorder="1" applyAlignment="1">
      <alignment horizontal="center"/>
    </xf>
    <xf numFmtId="2" fontId="40" fillId="2" borderId="45" xfId="0" applyNumberFormat="1" applyFont="1" applyFill="1" applyBorder="1" applyAlignment="1">
      <alignment horizontal="center"/>
    </xf>
    <xf numFmtId="165" fontId="48" fillId="2" borderId="0" xfId="0" applyNumberFormat="1" applyFont="1" applyFill="1" applyAlignment="1">
      <alignment horizontal="center" vertical="center"/>
    </xf>
    <xf numFmtId="165" fontId="48" fillId="2" borderId="0" xfId="0" applyNumberFormat="1" applyFont="1" applyFill="1" applyAlignment="1">
      <alignment horizontal="center"/>
    </xf>
    <xf numFmtId="0" fontId="48" fillId="2" borderId="0" xfId="0" applyFont="1" applyFill="1" applyAlignment="1">
      <alignment horizontal="left" vertical="center"/>
    </xf>
    <xf numFmtId="1" fontId="40" fillId="2" borderId="4" xfId="0" applyNumberFormat="1" applyFont="1" applyFill="1" applyBorder="1" applyAlignment="1">
      <alignment horizontal="center"/>
    </xf>
    <xf numFmtId="1" fontId="40" fillId="2" borderId="28" xfId="0" applyNumberFormat="1" applyFont="1" applyFill="1" applyBorder="1" applyAlignment="1">
      <alignment horizontal="center"/>
    </xf>
    <xf numFmtId="0" fontId="40" fillId="2" borderId="47" xfId="0" applyFont="1" applyFill="1" applyBorder="1" applyAlignment="1">
      <alignment horizontal="center"/>
    </xf>
    <xf numFmtId="0" fontId="40" fillId="2" borderId="45" xfId="0" applyFont="1" applyFill="1" applyBorder="1" applyAlignment="1">
      <alignment horizontal="center"/>
    </xf>
    <xf numFmtId="0" fontId="40" fillId="11" borderId="8" xfId="0" applyFont="1" applyFill="1" applyBorder="1" applyAlignment="1">
      <alignment horizontal="center"/>
    </xf>
    <xf numFmtId="0" fontId="40" fillId="11" borderId="21" xfId="0" applyFont="1" applyFill="1" applyBorder="1" applyAlignment="1">
      <alignment horizontal="center"/>
    </xf>
    <xf numFmtId="2" fontId="40" fillId="2" borderId="7" xfId="0" applyNumberFormat="1" applyFont="1" applyFill="1" applyBorder="1" applyAlignment="1">
      <alignment horizontal="center"/>
    </xf>
    <xf numFmtId="0" fontId="40" fillId="2" borderId="2" xfId="0" applyFont="1" applyFill="1" applyBorder="1" applyAlignment="1">
      <alignment horizontal="center"/>
    </xf>
    <xf numFmtId="0" fontId="40" fillId="2" borderId="8" xfId="0" applyFont="1" applyFill="1" applyBorder="1" applyAlignment="1">
      <alignment horizontal="center"/>
    </xf>
    <xf numFmtId="165" fontId="40" fillId="2" borderId="42" xfId="0" applyNumberFormat="1" applyFont="1" applyFill="1" applyBorder="1" applyAlignment="1">
      <alignment horizontal="center"/>
    </xf>
    <xf numFmtId="2" fontId="40" fillId="2" borderId="2" xfId="0" applyNumberFormat="1" applyFont="1" applyFill="1" applyBorder="1" applyAlignment="1">
      <alignment horizontal="center"/>
    </xf>
    <xf numFmtId="2" fontId="40" fillId="2" borderId="8" xfId="0" applyNumberFormat="1" applyFont="1" applyFill="1" applyBorder="1" applyAlignment="1">
      <alignment horizontal="center"/>
    </xf>
    <xf numFmtId="170" fontId="40" fillId="2" borderId="2" xfId="0" applyNumberFormat="1" applyFont="1" applyFill="1" applyBorder="1" applyAlignment="1">
      <alignment horizontal="center"/>
    </xf>
    <xf numFmtId="0" fontId="40" fillId="11" borderId="1" xfId="0" applyFont="1" applyFill="1" applyBorder="1" applyAlignment="1">
      <alignment horizontal="center" vertical="center" wrapText="1"/>
    </xf>
    <xf numFmtId="0" fontId="40" fillId="2" borderId="10" xfId="0" applyFont="1" applyFill="1" applyBorder="1" applyAlignment="1">
      <alignment horizontal="left" vertical="center"/>
    </xf>
    <xf numFmtId="0" fontId="40" fillId="2" borderId="1" xfId="0" applyFont="1" applyFill="1" applyBorder="1" applyAlignment="1">
      <alignment horizontal="left" vertical="center"/>
    </xf>
    <xf numFmtId="0" fontId="40" fillId="2" borderId="4" xfId="0" applyFont="1" applyFill="1" applyBorder="1" applyAlignment="1">
      <alignment horizontal="left" vertical="center"/>
    </xf>
    <xf numFmtId="0" fontId="41" fillId="11" borderId="21" xfId="0" applyFont="1" applyFill="1" applyBorder="1" applyAlignment="1">
      <alignment horizontal="center" vertical="center"/>
    </xf>
    <xf numFmtId="0" fontId="41" fillId="11" borderId="7" xfId="0" applyFont="1" applyFill="1" applyBorder="1" applyAlignment="1">
      <alignment horizontal="center" vertical="center"/>
    </xf>
    <xf numFmtId="165" fontId="40" fillId="2" borderId="50" xfId="0" applyNumberFormat="1" applyFont="1" applyFill="1" applyBorder="1" applyAlignment="1">
      <alignment horizontal="center"/>
    </xf>
    <xf numFmtId="165" fontId="40" fillId="2" borderId="43" xfId="0" applyNumberFormat="1" applyFont="1" applyFill="1" applyBorder="1" applyAlignment="1">
      <alignment horizontal="center"/>
    </xf>
    <xf numFmtId="2" fontId="48" fillId="2" borderId="63" xfId="0" applyNumberFormat="1" applyFont="1" applyFill="1" applyBorder="1" applyAlignment="1">
      <alignment horizontal="center"/>
    </xf>
    <xf numFmtId="2" fontId="48" fillId="2" borderId="13" xfId="0" applyNumberFormat="1" applyFont="1" applyFill="1" applyBorder="1" applyAlignment="1">
      <alignment horizontal="center"/>
    </xf>
    <xf numFmtId="2" fontId="48" fillId="2" borderId="13" xfId="0" applyNumberFormat="1" applyFont="1" applyFill="1" applyBorder="1" applyAlignment="1">
      <alignment horizontal="center" vertical="center"/>
    </xf>
    <xf numFmtId="2" fontId="48" fillId="2" borderId="62" xfId="0" applyNumberFormat="1" applyFont="1" applyFill="1" applyBorder="1" applyAlignment="1">
      <alignment horizontal="center" vertical="center"/>
    </xf>
    <xf numFmtId="0" fontId="40" fillId="2" borderId="0" xfId="0" applyFont="1" applyFill="1" applyAlignment="1">
      <alignment horizontal="center" vertical="center"/>
    </xf>
    <xf numFmtId="0" fontId="105" fillId="2" borderId="1" xfId="0" applyFont="1" applyFill="1" applyBorder="1" applyAlignment="1">
      <alignment horizontal="left" vertical="center"/>
    </xf>
    <xf numFmtId="0" fontId="41" fillId="10" borderId="47" xfId="0" applyFont="1" applyFill="1" applyBorder="1" applyAlignment="1">
      <alignment horizontal="center" vertical="center"/>
    </xf>
    <xf numFmtId="0" fontId="41" fillId="10" borderId="0" xfId="0" applyFont="1" applyFill="1" applyAlignment="1">
      <alignment horizontal="center" vertical="center"/>
    </xf>
    <xf numFmtId="0" fontId="40" fillId="11" borderId="1" xfId="0" applyFont="1" applyFill="1" applyBorder="1" applyAlignment="1">
      <alignment horizontal="center" vertical="center"/>
    </xf>
    <xf numFmtId="0" fontId="40" fillId="11" borderId="7" xfId="0" applyFont="1" applyFill="1" applyBorder="1" applyAlignment="1">
      <alignment horizontal="left" vertical="center"/>
    </xf>
    <xf numFmtId="0" fontId="40" fillId="11" borderId="2" xfId="0" applyFont="1" applyFill="1" applyBorder="1" applyAlignment="1">
      <alignment horizontal="left" vertical="center"/>
    </xf>
    <xf numFmtId="0" fontId="40" fillId="14" borderId="1" xfId="0" applyFont="1" applyFill="1" applyBorder="1" applyAlignment="1" applyProtection="1">
      <alignment horizontal="center" vertical="center"/>
      <protection locked="0"/>
    </xf>
    <xf numFmtId="0" fontId="40" fillId="2" borderId="22" xfId="0" applyFont="1" applyFill="1" applyBorder="1" applyAlignment="1">
      <alignment horizontal="center" vertical="center"/>
    </xf>
    <xf numFmtId="0" fontId="40" fillId="2" borderId="23" xfId="0" applyFont="1" applyFill="1" applyBorder="1" applyAlignment="1">
      <alignment horizontal="center" vertical="center"/>
    </xf>
    <xf numFmtId="0" fontId="40" fillId="2" borderId="24" xfId="0" applyFont="1" applyFill="1" applyBorder="1" applyAlignment="1">
      <alignment horizontal="center" vertical="center"/>
    </xf>
    <xf numFmtId="0" fontId="40" fillId="11" borderId="9" xfId="0" applyFont="1" applyFill="1" applyBorder="1" applyAlignment="1">
      <alignment horizontal="center" vertical="center"/>
    </xf>
    <xf numFmtId="0" fontId="40" fillId="11" borderId="4" xfId="0" applyFont="1" applyFill="1" applyBorder="1" applyAlignment="1">
      <alignment horizontal="left" vertical="center"/>
    </xf>
    <xf numFmtId="0" fontId="40" fillId="11" borderId="9" xfId="0" applyFont="1" applyFill="1" applyBorder="1" applyAlignment="1">
      <alignment horizontal="left" vertical="center"/>
    </xf>
    <xf numFmtId="0" fontId="40" fillId="11" borderId="1" xfId="0" applyFont="1" applyFill="1" applyBorder="1" applyAlignment="1">
      <alignment horizontal="left" vertical="center"/>
    </xf>
    <xf numFmtId="0" fontId="40" fillId="11" borderId="39" xfId="0" applyFont="1" applyFill="1" applyBorder="1" applyAlignment="1">
      <alignment horizontal="center" vertical="center"/>
    </xf>
    <xf numFmtId="0" fontId="40" fillId="11" borderId="2" xfId="0" applyFont="1" applyFill="1" applyBorder="1" applyAlignment="1">
      <alignment horizontal="center" vertical="center"/>
    </xf>
    <xf numFmtId="0" fontId="40" fillId="11" borderId="55" xfId="0" applyFont="1" applyFill="1" applyBorder="1" applyAlignment="1">
      <alignment horizontal="center" vertical="center"/>
    </xf>
    <xf numFmtId="0" fontId="40" fillId="11" borderId="47" xfId="0" applyFont="1" applyFill="1" applyBorder="1" applyAlignment="1">
      <alignment horizontal="center" vertical="center"/>
    </xf>
    <xf numFmtId="0" fontId="40" fillId="11" borderId="40" xfId="0" applyFont="1" applyFill="1" applyBorder="1" applyAlignment="1">
      <alignment horizontal="center" vertical="center"/>
    </xf>
    <xf numFmtId="0" fontId="105" fillId="2" borderId="1" xfId="5" applyFont="1" applyFill="1" applyBorder="1" applyAlignment="1" applyProtection="1">
      <alignment horizontal="left" vertical="center"/>
      <protection locked="0"/>
    </xf>
    <xf numFmtId="0" fontId="105" fillId="2" borderId="17" xfId="5" applyFont="1" applyFill="1" applyBorder="1" applyAlignment="1" applyProtection="1">
      <alignment horizontal="left" vertical="center"/>
      <protection locked="0"/>
    </xf>
    <xf numFmtId="0" fontId="105" fillId="2" borderId="3" xfId="5" applyFont="1" applyFill="1" applyBorder="1" applyAlignment="1" applyProtection="1">
      <alignment horizontal="left" vertical="center"/>
      <protection locked="0"/>
    </xf>
    <xf numFmtId="0" fontId="105" fillId="2" borderId="11" xfId="5" applyFont="1" applyFill="1" applyBorder="1" applyAlignment="1" applyProtection="1">
      <alignment horizontal="left" vertical="center"/>
      <protection locked="0"/>
    </xf>
    <xf numFmtId="0" fontId="105" fillId="2" borderId="17" xfId="5" applyFont="1" applyFill="1" applyBorder="1" applyAlignment="1" applyProtection="1">
      <alignment horizontal="left" vertical="center" wrapText="1"/>
      <protection locked="0"/>
    </xf>
    <xf numFmtId="0" fontId="105" fillId="2" borderId="3" xfId="5" applyFont="1" applyFill="1" applyBorder="1" applyAlignment="1" applyProtection="1">
      <alignment horizontal="left" vertical="center" wrapText="1"/>
      <protection locked="0"/>
    </xf>
    <xf numFmtId="0" fontId="105" fillId="2" borderId="11" xfId="5" applyFont="1" applyFill="1" applyBorder="1" applyAlignment="1" applyProtection="1">
      <alignment horizontal="left" vertical="center" wrapText="1"/>
      <protection locked="0"/>
    </xf>
    <xf numFmtId="0" fontId="105" fillId="2" borderId="22" xfId="5" applyFont="1" applyFill="1" applyBorder="1" applyAlignment="1" applyProtection="1">
      <alignment horizontal="left" vertical="center"/>
      <protection locked="0"/>
    </xf>
    <xf numFmtId="0" fontId="105" fillId="2" borderId="23" xfId="5" applyFont="1" applyFill="1" applyBorder="1" applyAlignment="1" applyProtection="1">
      <alignment horizontal="left" vertical="center"/>
      <protection locked="0"/>
    </xf>
    <xf numFmtId="0" fontId="105" fillId="2" borderId="24" xfId="5" applyFont="1" applyFill="1" applyBorder="1" applyAlignment="1" applyProtection="1">
      <alignment horizontal="left" vertical="center"/>
      <protection locked="0"/>
    </xf>
    <xf numFmtId="0" fontId="105" fillId="2" borderId="22" xfId="5" quotePrefix="1" applyFont="1" applyFill="1" applyBorder="1" applyAlignment="1" applyProtection="1">
      <alignment horizontal="left" vertical="center"/>
      <protection locked="0"/>
    </xf>
    <xf numFmtId="0" fontId="105" fillId="2" borderId="12" xfId="5" applyFont="1" applyFill="1" applyBorder="1" applyAlignment="1" applyProtection="1">
      <alignment horizontal="center" vertical="center"/>
      <protection locked="0"/>
    </xf>
    <xf numFmtId="0" fontId="105" fillId="2" borderId="13" xfId="5" applyFont="1" applyFill="1" applyBorder="1" applyAlignment="1" applyProtection="1">
      <alignment horizontal="center" vertical="center"/>
      <protection locked="0"/>
    </xf>
    <xf numFmtId="0" fontId="105" fillId="2" borderId="14" xfId="5" applyFont="1" applyFill="1" applyBorder="1" applyAlignment="1" applyProtection="1">
      <alignment horizontal="center" vertical="center"/>
      <protection locked="0"/>
    </xf>
    <xf numFmtId="0" fontId="43" fillId="2" borderId="1" xfId="0" applyFont="1" applyFill="1" applyBorder="1" applyAlignment="1" applyProtection="1">
      <alignment horizontal="center" vertical="center"/>
      <protection locked="0"/>
    </xf>
    <xf numFmtId="0" fontId="42" fillId="2" borderId="1" xfId="0" applyFont="1" applyFill="1" applyBorder="1" applyAlignment="1" applyProtection="1">
      <alignment horizontal="center" vertical="center"/>
      <protection locked="0"/>
    </xf>
    <xf numFmtId="0" fontId="41" fillId="10" borderId="21" xfId="0" applyFont="1" applyFill="1" applyBorder="1" applyAlignment="1">
      <alignment horizontal="left" vertical="center"/>
    </xf>
    <xf numFmtId="0" fontId="41" fillId="10" borderId="1" xfId="0" applyFont="1" applyFill="1" applyBorder="1" applyAlignment="1">
      <alignment horizontal="left" vertical="center"/>
    </xf>
    <xf numFmtId="0" fontId="39" fillId="14" borderId="4" xfId="0" applyFont="1" applyFill="1" applyBorder="1" applyAlignment="1">
      <alignment horizontal="left" vertical="center" wrapText="1"/>
    </xf>
    <xf numFmtId="0" fontId="39" fillId="14" borderId="9" xfId="0" applyFont="1" applyFill="1" applyBorder="1" applyAlignment="1">
      <alignment horizontal="left" vertical="center" wrapText="1"/>
    </xf>
    <xf numFmtId="0" fontId="39" fillId="14" borderId="10" xfId="0" applyFont="1" applyFill="1" applyBorder="1" applyAlignment="1">
      <alignment horizontal="left" vertical="center" wrapText="1"/>
    </xf>
    <xf numFmtId="0" fontId="81" fillId="3" borderId="4" xfId="0" applyFont="1" applyFill="1" applyBorder="1" applyAlignment="1" applyProtection="1">
      <alignment horizontal="center" vertical="center"/>
      <protection locked="0"/>
    </xf>
    <xf numFmtId="0" fontId="81" fillId="3" borderId="10" xfId="0" applyFont="1" applyFill="1" applyBorder="1" applyAlignment="1" applyProtection="1">
      <alignment horizontal="center" vertical="center"/>
      <protection locked="0"/>
    </xf>
    <xf numFmtId="0" fontId="39" fillId="0" borderId="4" xfId="0" applyFont="1" applyBorder="1" applyAlignment="1">
      <alignment horizontal="left" vertical="center" wrapText="1"/>
    </xf>
    <xf numFmtId="0" fontId="39" fillId="0" borderId="9" xfId="0" applyFont="1" applyBorder="1" applyAlignment="1">
      <alignment horizontal="left" vertical="center" wrapText="1"/>
    </xf>
    <xf numFmtId="0" fontId="39" fillId="0" borderId="56" xfId="0" applyFont="1" applyBorder="1" applyAlignment="1">
      <alignment horizontal="left" vertical="center" wrapText="1"/>
    </xf>
    <xf numFmtId="0" fontId="39" fillId="0" borderId="47" xfId="0" applyFont="1" applyBorder="1" applyAlignment="1">
      <alignment horizontal="left" vertical="center" wrapText="1"/>
    </xf>
    <xf numFmtId="0" fontId="39" fillId="0" borderId="1" xfId="0" applyFont="1" applyBorder="1" applyAlignment="1">
      <alignment horizontal="center" vertical="center" wrapText="1"/>
    </xf>
    <xf numFmtId="0" fontId="81" fillId="2" borderId="41" xfId="0" applyFont="1" applyFill="1" applyBorder="1" applyAlignment="1" applyProtection="1">
      <alignment horizontal="center"/>
      <protection locked="0"/>
    </xf>
    <xf numFmtId="11" fontId="105" fillId="2" borderId="1" xfId="0" applyNumberFormat="1" applyFont="1" applyFill="1" applyBorder="1" applyAlignment="1">
      <alignment horizontal="center" vertical="center"/>
    </xf>
    <xf numFmtId="0" fontId="42" fillId="10" borderId="56" xfId="0" applyFont="1" applyFill="1" applyBorder="1" applyAlignment="1">
      <alignment horizontal="center" vertical="center"/>
    </xf>
    <xf numFmtId="0" fontId="42" fillId="10" borderId="47" xfId="0" applyFont="1" applyFill="1" applyBorder="1" applyAlignment="1">
      <alignment horizontal="center" vertical="center"/>
    </xf>
    <xf numFmtId="0" fontId="42" fillId="10" borderId="45" xfId="0" applyFont="1" applyFill="1" applyBorder="1" applyAlignment="1">
      <alignment horizontal="center" vertical="center"/>
    </xf>
    <xf numFmtId="0" fontId="40" fillId="0" borderId="1" xfId="0" applyFont="1" applyBorder="1" applyAlignment="1">
      <alignment horizontal="left" vertical="center" wrapText="1"/>
    </xf>
    <xf numFmtId="0" fontId="106" fillId="2" borderId="1" xfId="0" applyFont="1" applyFill="1" applyBorder="1" applyAlignment="1">
      <alignment horizontal="center"/>
    </xf>
    <xf numFmtId="0" fontId="105" fillId="2" borderId="1" xfId="0" applyFont="1" applyFill="1" applyBorder="1" applyAlignment="1" applyProtection="1">
      <alignment horizontal="center" vertical="center"/>
      <protection locked="0"/>
    </xf>
    <xf numFmtId="0" fontId="40" fillId="11" borderId="1" xfId="0" applyFont="1" applyFill="1" applyBorder="1" applyAlignment="1">
      <alignment horizontal="left"/>
    </xf>
    <xf numFmtId="0" fontId="105" fillId="2" borderId="42" xfId="0" applyFont="1" applyFill="1" applyBorder="1" applyAlignment="1" applyProtection="1">
      <alignment horizontal="center"/>
      <protection locked="0"/>
    </xf>
    <xf numFmtId="0" fontId="105" fillId="2" borderId="50" xfId="0" applyFont="1" applyFill="1" applyBorder="1" applyAlignment="1" applyProtection="1">
      <alignment horizontal="center"/>
      <protection locked="0"/>
    </xf>
    <xf numFmtId="0" fontId="105" fillId="2" borderId="43" xfId="0" applyFont="1" applyFill="1" applyBorder="1" applyAlignment="1" applyProtection="1">
      <alignment horizontal="center"/>
      <protection locked="0"/>
    </xf>
    <xf numFmtId="0" fontId="43" fillId="2" borderId="0" xfId="0" applyFont="1" applyFill="1" applyAlignment="1">
      <alignment horizontal="center" vertical="center"/>
    </xf>
    <xf numFmtId="0" fontId="41" fillId="11" borderId="37" xfId="0" applyFont="1" applyFill="1" applyBorder="1" applyAlignment="1">
      <alignment horizontal="center" vertical="center"/>
    </xf>
    <xf numFmtId="0" fontId="41" fillId="11" borderId="58" xfId="0" applyFont="1" applyFill="1" applyBorder="1" applyAlignment="1">
      <alignment horizontal="center" vertical="center"/>
    </xf>
    <xf numFmtId="0" fontId="41" fillId="11" borderId="38" xfId="0" applyFont="1" applyFill="1" applyBorder="1" applyAlignment="1">
      <alignment horizontal="center" vertical="center"/>
    </xf>
    <xf numFmtId="167" fontId="40" fillId="2" borderId="1" xfId="0" applyNumberFormat="1" applyFont="1" applyFill="1" applyBorder="1" applyAlignment="1">
      <alignment horizontal="center"/>
    </xf>
    <xf numFmtId="0" fontId="40" fillId="11" borderId="1" xfId="0" applyFont="1" applyFill="1" applyBorder="1" applyAlignment="1">
      <alignment horizontal="center"/>
    </xf>
    <xf numFmtId="0" fontId="42" fillId="10" borderId="21" xfId="0" applyFont="1" applyFill="1" applyBorder="1" applyAlignment="1">
      <alignment horizontal="center" vertical="center"/>
    </xf>
    <xf numFmtId="169" fontId="40" fillId="11" borderId="1" xfId="0" applyNumberFormat="1" applyFont="1" applyFill="1" applyBorder="1" applyAlignment="1">
      <alignment horizontal="center"/>
    </xf>
    <xf numFmtId="168" fontId="104" fillId="2" borderId="22" xfId="5" applyNumberFormat="1" applyFont="1" applyFill="1" applyBorder="1" applyAlignment="1" applyProtection="1">
      <alignment horizontal="center" vertical="center" wrapText="1"/>
      <protection locked="0"/>
    </xf>
    <xf numFmtId="168" fontId="104" fillId="2" borderId="24" xfId="5" applyNumberFormat="1" applyFont="1" applyFill="1" applyBorder="1" applyAlignment="1" applyProtection="1">
      <alignment horizontal="center" vertical="center" wrapText="1"/>
      <protection locked="0"/>
    </xf>
    <xf numFmtId="14" fontId="35" fillId="2" borderId="4" xfId="1" applyNumberFormat="1" applyFont="1" applyFill="1" applyBorder="1" applyAlignment="1">
      <alignment horizontal="center" vertical="center"/>
    </xf>
    <xf numFmtId="0" fontId="35" fillId="2" borderId="9" xfId="1" applyFont="1" applyFill="1" applyBorder="1" applyAlignment="1">
      <alignment horizontal="center" vertical="center"/>
    </xf>
    <xf numFmtId="0" fontId="35" fillId="2" borderId="10" xfId="1" applyFont="1" applyFill="1" applyBorder="1" applyAlignment="1">
      <alignment horizontal="center" vertical="center"/>
    </xf>
    <xf numFmtId="0" fontId="35" fillId="2" borderId="4" xfId="1" applyFont="1" applyFill="1" applyBorder="1" applyAlignment="1">
      <alignment horizontal="center"/>
    </xf>
    <xf numFmtId="0" fontId="35" fillId="2" borderId="9" xfId="1" applyFont="1" applyFill="1" applyBorder="1" applyAlignment="1">
      <alignment horizontal="center"/>
    </xf>
    <xf numFmtId="0" fontId="35" fillId="2" borderId="10" xfId="1" applyFont="1" applyFill="1" applyBorder="1" applyAlignment="1">
      <alignment horizontal="center"/>
    </xf>
    <xf numFmtId="0" fontId="24" fillId="2" borderId="4" xfId="1" applyFont="1" applyFill="1" applyBorder="1" applyAlignment="1">
      <alignment horizontal="center" vertical="center"/>
    </xf>
    <xf numFmtId="0" fontId="30" fillId="2" borderId="4" xfId="1" applyFont="1" applyFill="1" applyBorder="1" applyAlignment="1">
      <alignment horizontal="center" vertical="center"/>
    </xf>
    <xf numFmtId="0" fontId="44" fillId="10" borderId="36" xfId="0" applyFont="1" applyFill="1" applyBorder="1" applyAlignment="1">
      <alignment horizontal="center" vertical="center" wrapText="1"/>
    </xf>
    <xf numFmtId="0" fontId="44" fillId="10" borderId="18" xfId="0" applyFont="1" applyFill="1" applyBorder="1" applyAlignment="1">
      <alignment horizontal="center" vertical="center" wrapText="1"/>
    </xf>
    <xf numFmtId="0" fontId="44" fillId="10" borderId="51" xfId="0" applyFont="1" applyFill="1" applyBorder="1" applyAlignment="1">
      <alignment horizontal="center" vertical="center" wrapText="1"/>
    </xf>
    <xf numFmtId="0" fontId="44" fillId="2" borderId="40" xfId="0" applyFont="1" applyFill="1" applyBorder="1" applyAlignment="1" applyProtection="1">
      <alignment horizontal="center" vertical="center" wrapText="1"/>
      <protection locked="0"/>
    </xf>
    <xf numFmtId="0" fontId="44" fillId="2" borderId="9" xfId="0" applyFont="1" applyFill="1" applyBorder="1" applyAlignment="1" applyProtection="1">
      <alignment horizontal="center" vertical="center" wrapText="1"/>
      <protection locked="0"/>
    </xf>
    <xf numFmtId="0" fontId="44" fillId="2" borderId="28" xfId="0" applyFont="1" applyFill="1" applyBorder="1" applyAlignment="1" applyProtection="1">
      <alignment horizontal="center" vertical="center" wrapText="1"/>
      <protection locked="0"/>
    </xf>
    <xf numFmtId="0" fontId="40" fillId="2" borderId="4" xfId="0" applyFont="1" applyFill="1" applyBorder="1" applyAlignment="1">
      <alignment horizontal="center"/>
    </xf>
    <xf numFmtId="0" fontId="40" fillId="2" borderId="10" xfId="0" applyFont="1" applyFill="1" applyBorder="1" applyAlignment="1">
      <alignment horizontal="center"/>
    </xf>
    <xf numFmtId="0" fontId="52" fillId="11" borderId="0" xfId="0" applyFont="1" applyFill="1" applyAlignment="1">
      <alignment horizontal="left"/>
    </xf>
    <xf numFmtId="2" fontId="40" fillId="11" borderId="19" xfId="0" applyNumberFormat="1" applyFont="1" applyFill="1" applyBorder="1" applyAlignment="1">
      <alignment horizontal="center"/>
    </xf>
    <xf numFmtId="2" fontId="40" fillId="11" borderId="25" xfId="0" applyNumberFormat="1" applyFont="1" applyFill="1" applyBorder="1" applyAlignment="1">
      <alignment horizontal="center"/>
    </xf>
    <xf numFmtId="0" fontId="40" fillId="10" borderId="57" xfId="0" applyFont="1" applyFill="1" applyBorder="1" applyAlignment="1">
      <alignment horizontal="center" wrapText="1"/>
    </xf>
    <xf numFmtId="0" fontId="35" fillId="2" borderId="4" xfId="1" applyFont="1" applyFill="1" applyBorder="1" applyAlignment="1">
      <alignment horizontal="center" vertical="center"/>
    </xf>
    <xf numFmtId="14" fontId="35" fillId="2" borderId="4" xfId="1" applyNumberFormat="1" applyFont="1" applyFill="1" applyBorder="1" applyAlignment="1">
      <alignment horizontal="center"/>
    </xf>
    <xf numFmtId="14" fontId="35" fillId="2" borderId="9" xfId="1" applyNumberFormat="1" applyFont="1" applyFill="1" applyBorder="1" applyAlignment="1">
      <alignment horizontal="center"/>
    </xf>
    <xf numFmtId="14" fontId="35" fillId="2" borderId="10" xfId="1" applyNumberFormat="1" applyFont="1" applyFill="1" applyBorder="1" applyAlignment="1">
      <alignment horizontal="center"/>
    </xf>
    <xf numFmtId="0" fontId="33" fillId="2" borderId="4" xfId="1" applyFont="1" applyFill="1" applyBorder="1" applyAlignment="1">
      <alignment horizontal="center"/>
    </xf>
    <xf numFmtId="0" fontId="33" fillId="2" borderId="9" xfId="1" applyFont="1" applyFill="1" applyBorder="1" applyAlignment="1">
      <alignment horizontal="center"/>
    </xf>
    <xf numFmtId="0" fontId="33" fillId="2" borderId="10" xfId="1" applyFont="1" applyFill="1" applyBorder="1" applyAlignment="1">
      <alignment horizontal="center"/>
    </xf>
    <xf numFmtId="0" fontId="32" fillId="2" borderId="4" xfId="1" applyFont="1" applyFill="1" applyBorder="1" applyAlignment="1">
      <alignment horizontal="center" vertical="center"/>
    </xf>
    <xf numFmtId="0" fontId="32" fillId="2" borderId="9" xfId="1" applyFont="1" applyFill="1" applyBorder="1" applyAlignment="1">
      <alignment horizontal="center" vertical="center"/>
    </xf>
    <xf numFmtId="0" fontId="32" fillId="2" borderId="10" xfId="1" applyFont="1" applyFill="1" applyBorder="1" applyAlignment="1">
      <alignment horizontal="center" vertical="center"/>
    </xf>
    <xf numFmtId="0" fontId="32" fillId="2" borderId="4" xfId="1" applyFont="1" applyFill="1" applyBorder="1" applyAlignment="1">
      <alignment horizontal="center"/>
    </xf>
    <xf numFmtId="0" fontId="32" fillId="2" borderId="9" xfId="1" applyFont="1" applyFill="1" applyBorder="1" applyAlignment="1">
      <alignment horizontal="center"/>
    </xf>
    <xf numFmtId="0" fontId="32" fillId="2" borderId="10" xfId="1" applyFont="1" applyFill="1" applyBorder="1" applyAlignment="1">
      <alignment horizontal="center"/>
    </xf>
    <xf numFmtId="0" fontId="41" fillId="10" borderId="41" xfId="0" applyFont="1" applyFill="1" applyBorder="1" applyAlignment="1">
      <alignment horizontal="center"/>
    </xf>
    <xf numFmtId="0" fontId="41" fillId="10" borderId="21" xfId="0" applyFont="1" applyFill="1" applyBorder="1" applyAlignment="1">
      <alignment horizontal="center"/>
    </xf>
    <xf numFmtId="0" fontId="41" fillId="10" borderId="57" xfId="0" applyFont="1" applyFill="1" applyBorder="1" applyAlignment="1">
      <alignment horizontal="center"/>
    </xf>
    <xf numFmtId="0" fontId="51" fillId="10" borderId="0" xfId="0" applyFont="1" applyFill="1" applyAlignment="1">
      <alignment horizontal="left" vertical="center"/>
    </xf>
    <xf numFmtId="0" fontId="40" fillId="11" borderId="28" xfId="0" applyFont="1" applyFill="1" applyBorder="1" applyAlignment="1">
      <alignment horizontal="center" vertical="center"/>
    </xf>
    <xf numFmtId="0" fontId="40" fillId="11" borderId="4" xfId="0" applyFont="1" applyFill="1" applyBorder="1" applyAlignment="1">
      <alignment horizontal="center"/>
    </xf>
    <xf numFmtId="0" fontId="40" fillId="11" borderId="9" xfId="0" applyFont="1" applyFill="1" applyBorder="1" applyAlignment="1">
      <alignment horizontal="center"/>
    </xf>
    <xf numFmtId="0" fontId="40" fillId="11" borderId="28" xfId="0" applyFont="1" applyFill="1" applyBorder="1" applyAlignment="1">
      <alignment horizontal="left" vertical="center"/>
    </xf>
    <xf numFmtId="20" fontId="105" fillId="2" borderId="22" xfId="0" applyNumberFormat="1" applyFont="1" applyFill="1" applyBorder="1" applyAlignment="1" applyProtection="1">
      <alignment horizontal="center" vertical="center"/>
      <protection locked="0"/>
    </xf>
    <xf numFmtId="0" fontId="105" fillId="2" borderId="23" xfId="0" applyFont="1" applyFill="1" applyBorder="1" applyAlignment="1" applyProtection="1">
      <alignment horizontal="center" vertical="center"/>
      <protection locked="0"/>
    </xf>
    <xf numFmtId="0" fontId="105" fillId="2" borderId="24" xfId="0" applyFont="1" applyFill="1" applyBorder="1" applyAlignment="1" applyProtection="1">
      <alignment horizontal="center" vertical="center"/>
      <protection locked="0"/>
    </xf>
    <xf numFmtId="0" fontId="40" fillId="10" borderId="22" xfId="0" applyFont="1" applyFill="1" applyBorder="1" applyAlignment="1">
      <alignment horizontal="left" vertical="center"/>
    </xf>
    <xf numFmtId="0" fontId="40" fillId="10" borderId="24" xfId="0" applyFont="1" applyFill="1" applyBorder="1" applyAlignment="1">
      <alignment horizontal="left" vertical="center"/>
    </xf>
    <xf numFmtId="0" fontId="40" fillId="10" borderId="7" xfId="0" applyFont="1" applyFill="1" applyBorder="1" applyAlignment="1">
      <alignment horizontal="left" vertical="center"/>
    </xf>
    <xf numFmtId="0" fontId="40" fillId="10" borderId="2" xfId="0" applyFont="1" applyFill="1" applyBorder="1" applyAlignment="1">
      <alignment horizontal="left" vertical="center"/>
    </xf>
    <xf numFmtId="20" fontId="105" fillId="2" borderId="22" xfId="0" applyNumberFormat="1" applyFont="1" applyFill="1" applyBorder="1" applyAlignment="1" applyProtection="1">
      <alignment horizontal="center"/>
      <protection locked="0"/>
    </xf>
    <xf numFmtId="0" fontId="105" fillId="2" borderId="23" xfId="0" applyFont="1" applyFill="1" applyBorder="1" applyAlignment="1" applyProtection="1">
      <alignment horizontal="center"/>
      <protection locked="0"/>
    </xf>
    <xf numFmtId="0" fontId="105" fillId="2" borderId="24" xfId="0" applyFont="1" applyFill="1" applyBorder="1" applyAlignment="1" applyProtection="1">
      <alignment horizontal="center"/>
      <protection locked="0"/>
    </xf>
    <xf numFmtId="0" fontId="105" fillId="2" borderId="15" xfId="5" applyFont="1" applyFill="1" applyBorder="1" applyAlignment="1" applyProtection="1">
      <alignment horizontal="left" vertical="center" wrapText="1"/>
      <protection locked="0"/>
    </xf>
    <xf numFmtId="0" fontId="105" fillId="2" borderId="0" xfId="5" applyFont="1" applyFill="1" applyAlignment="1" applyProtection="1">
      <alignment horizontal="left" vertical="center" wrapText="1"/>
      <protection locked="0"/>
    </xf>
    <xf numFmtId="0" fontId="105" fillId="2" borderId="16" xfId="5" applyFont="1" applyFill="1" applyBorder="1" applyAlignment="1" applyProtection="1">
      <alignment horizontal="left" vertical="center" wrapText="1"/>
      <protection locked="0"/>
    </xf>
    <xf numFmtId="14" fontId="105" fillId="2" borderId="22" xfId="5" applyNumberFormat="1" applyFont="1" applyFill="1" applyBorder="1" applyAlignment="1" applyProtection="1">
      <alignment horizontal="center" vertical="center"/>
      <protection locked="0"/>
    </xf>
    <xf numFmtId="14" fontId="105" fillId="2" borderId="23" xfId="5" applyNumberFormat="1" applyFont="1" applyFill="1" applyBorder="1" applyAlignment="1" applyProtection="1">
      <alignment horizontal="center" vertical="center"/>
      <protection locked="0"/>
    </xf>
    <xf numFmtId="14" fontId="105" fillId="2" borderId="24" xfId="5" applyNumberFormat="1" applyFont="1" applyFill="1" applyBorder="1" applyAlignment="1" applyProtection="1">
      <alignment horizontal="center" vertical="center"/>
      <protection locked="0"/>
    </xf>
    <xf numFmtId="167" fontId="105" fillId="2" borderId="22" xfId="5" applyNumberFormat="1" applyFont="1" applyFill="1" applyBorder="1" applyAlignment="1" applyProtection="1">
      <alignment horizontal="center" vertical="center"/>
      <protection locked="0"/>
    </xf>
    <xf numFmtId="167" fontId="105" fillId="2" borderId="23" xfId="5" applyNumberFormat="1" applyFont="1" applyFill="1" applyBorder="1" applyAlignment="1" applyProtection="1">
      <alignment horizontal="center" vertical="center"/>
      <protection locked="0"/>
    </xf>
    <xf numFmtId="167" fontId="105" fillId="2" borderId="24" xfId="5" applyNumberFormat="1" applyFont="1" applyFill="1" applyBorder="1" applyAlignment="1" applyProtection="1">
      <alignment horizontal="center" vertical="center"/>
      <protection locked="0"/>
    </xf>
    <xf numFmtId="0" fontId="105" fillId="10" borderId="23" xfId="5" applyFont="1" applyFill="1" applyBorder="1" applyAlignment="1" applyProtection="1">
      <alignment horizontal="left" vertical="center" wrapText="1"/>
      <protection locked="0"/>
    </xf>
    <xf numFmtId="0" fontId="105" fillId="10" borderId="24" xfId="5" applyFont="1" applyFill="1" applyBorder="1" applyAlignment="1" applyProtection="1">
      <alignment horizontal="left" vertical="center" wrapText="1"/>
      <protection locked="0"/>
    </xf>
    <xf numFmtId="0" fontId="42" fillId="10" borderId="4" xfId="0" applyFont="1" applyFill="1" applyBorder="1" applyAlignment="1">
      <alignment horizontal="center" vertical="center" wrapText="1"/>
    </xf>
    <xf numFmtId="0" fontId="42" fillId="10" borderId="9" xfId="0" applyFont="1" applyFill="1" applyBorder="1" applyAlignment="1">
      <alignment horizontal="center" vertical="center" wrapText="1"/>
    </xf>
    <xf numFmtId="0" fontId="42" fillId="10" borderId="2" xfId="0" applyFont="1" applyFill="1" applyBorder="1" applyAlignment="1">
      <alignment horizontal="center" vertical="center" wrapText="1"/>
    </xf>
    <xf numFmtId="0" fontId="42" fillId="10" borderId="10" xfId="0" applyFont="1" applyFill="1" applyBorder="1" applyAlignment="1">
      <alignment horizontal="center" vertical="center" wrapText="1"/>
    </xf>
    <xf numFmtId="0" fontId="42" fillId="10" borderId="4" xfId="0" applyFont="1" applyFill="1" applyBorder="1" applyAlignment="1">
      <alignment horizontal="center" vertical="center"/>
    </xf>
    <xf numFmtId="0" fontId="42" fillId="10" borderId="9" xfId="0" applyFont="1" applyFill="1" applyBorder="1" applyAlignment="1">
      <alignment horizontal="center" vertical="center"/>
    </xf>
    <xf numFmtId="0" fontId="42" fillId="10" borderId="10" xfId="0" applyFont="1" applyFill="1" applyBorder="1" applyAlignment="1">
      <alignment horizontal="center" vertical="center"/>
    </xf>
    <xf numFmtId="0" fontId="44" fillId="10" borderId="4" xfId="0" applyFont="1" applyFill="1" applyBorder="1" applyAlignment="1">
      <alignment horizontal="center" vertical="center" wrapText="1"/>
    </xf>
    <xf numFmtId="0" fontId="44" fillId="2" borderId="0" xfId="0" applyFont="1" applyFill="1" applyAlignment="1" applyProtection="1">
      <alignment horizontal="left" wrapText="1"/>
      <protection locked="0"/>
    </xf>
    <xf numFmtId="0" fontId="130" fillId="2" borderId="0" xfId="0" applyFont="1" applyFill="1" applyAlignment="1">
      <alignment horizontal="left"/>
    </xf>
    <xf numFmtId="0" fontId="130" fillId="2" borderId="0" xfId="0" applyFont="1" applyFill="1" applyAlignment="1">
      <alignment horizontal="left" vertical="center" wrapText="1"/>
    </xf>
    <xf numFmtId="0" fontId="51" fillId="10" borderId="22" xfId="0" applyFont="1" applyFill="1" applyBorder="1" applyAlignment="1">
      <alignment horizontal="left" vertical="center"/>
    </xf>
    <xf numFmtId="0" fontId="51" fillId="10" borderId="23" xfId="0" applyFont="1" applyFill="1" applyBorder="1" applyAlignment="1">
      <alignment horizontal="left" vertical="center"/>
    </xf>
    <xf numFmtId="0" fontId="40" fillId="0" borderId="1" xfId="1" applyFont="1" applyBorder="1" applyAlignment="1">
      <alignment horizontal="center" vertical="center" wrapText="1"/>
    </xf>
    <xf numFmtId="2" fontId="48" fillId="0" borderId="0" xfId="1" applyNumberFormat="1" applyFont="1" applyAlignment="1" applyProtection="1">
      <alignment horizontal="center"/>
      <protection hidden="1"/>
    </xf>
    <xf numFmtId="0" fontId="131" fillId="0" borderId="0" xfId="1" applyFont="1" applyAlignment="1">
      <alignment horizontal="left"/>
    </xf>
    <xf numFmtId="0" fontId="123" fillId="0" borderId="2" xfId="1" applyFont="1" applyBorder="1" applyAlignment="1">
      <alignment horizontal="left"/>
    </xf>
    <xf numFmtId="0" fontId="123" fillId="0" borderId="9" xfId="1" applyFont="1" applyBorder="1" applyAlignment="1">
      <alignment horizontal="left"/>
    </xf>
    <xf numFmtId="0" fontId="35" fillId="2" borderId="1" xfId="1" applyFont="1" applyFill="1" applyBorder="1" applyAlignment="1">
      <alignment horizontal="center" vertical="center"/>
    </xf>
    <xf numFmtId="0" fontId="29" fillId="2" borderId="1" xfId="1" applyFont="1" applyFill="1" applyBorder="1" applyAlignment="1">
      <alignment horizontal="left" vertical="center" wrapText="1"/>
    </xf>
    <xf numFmtId="0" fontId="35" fillId="2" borderId="1" xfId="1" applyFont="1" applyFill="1" applyBorder="1" applyAlignment="1">
      <alignment horizontal="left" vertical="center" wrapText="1"/>
    </xf>
    <xf numFmtId="168" fontId="46" fillId="0" borderId="0" xfId="0" applyNumberFormat="1" applyFont="1" applyAlignment="1">
      <alignment horizontal="center" vertical="center"/>
    </xf>
    <xf numFmtId="2" fontId="46" fillId="0" borderId="0" xfId="0" applyNumberFormat="1" applyFont="1" applyAlignment="1">
      <alignment horizontal="center" vertical="center"/>
    </xf>
    <xf numFmtId="0" fontId="123" fillId="0" borderId="1" xfId="1" applyFont="1" applyBorder="1" applyAlignment="1">
      <alignment horizontal="center"/>
    </xf>
    <xf numFmtId="0" fontId="40" fillId="0" borderId="1" xfId="0" applyFont="1" applyBorder="1" applyAlignment="1">
      <alignment horizontal="center" vertical="center" wrapText="1"/>
    </xf>
    <xf numFmtId="168" fontId="47" fillId="0" borderId="1" xfId="0" applyNumberFormat="1" applyFont="1" applyBorder="1" applyAlignment="1">
      <alignment horizontal="center" vertical="center"/>
    </xf>
    <xf numFmtId="165" fontId="47" fillId="0" borderId="1" xfId="0" applyNumberFormat="1" applyFont="1" applyBorder="1" applyAlignment="1">
      <alignment horizontal="center" vertical="center"/>
    </xf>
    <xf numFmtId="168" fontId="123" fillId="0" borderId="1" xfId="1" applyNumberFormat="1" applyFont="1" applyBorder="1" applyAlignment="1">
      <alignment horizontal="center" vertical="center" wrapText="1"/>
    </xf>
    <xf numFmtId="169" fontId="123" fillId="0" borderId="0" xfId="1" applyNumberFormat="1" applyFont="1" applyAlignment="1">
      <alignment horizontal="center" vertical="center" wrapText="1"/>
    </xf>
    <xf numFmtId="169" fontId="123" fillId="0" borderId="0" xfId="1" applyNumberFormat="1" applyFont="1" applyAlignment="1">
      <alignment horizontal="center" wrapText="1"/>
    </xf>
    <xf numFmtId="165" fontId="66" fillId="0" borderId="0" xfId="1" applyNumberFormat="1" applyFont="1" applyAlignment="1">
      <alignment horizontal="center" vertical="center"/>
    </xf>
    <xf numFmtId="0" fontId="131" fillId="0" borderId="0" xfId="1" applyFont="1" applyAlignment="1">
      <alignment horizontal="left" wrapText="1"/>
    </xf>
    <xf numFmtId="170" fontId="123" fillId="0" borderId="0" xfId="1" applyNumberFormat="1" applyFont="1" applyAlignment="1">
      <alignment horizontal="center" vertical="center" wrapText="1"/>
    </xf>
    <xf numFmtId="2" fontId="46" fillId="0" borderId="0" xfId="0" applyNumberFormat="1" applyFont="1" applyAlignment="1" applyProtection="1">
      <alignment horizontal="center" vertical="center"/>
      <protection locked="0"/>
    </xf>
    <xf numFmtId="0" fontId="15" fillId="2" borderId="1" xfId="1" applyFont="1" applyFill="1" applyBorder="1" applyAlignment="1">
      <alignment horizontal="center" vertical="center"/>
    </xf>
    <xf numFmtId="0" fontId="3" fillId="2" borderId="1" xfId="1" applyFont="1" applyFill="1" applyBorder="1" applyAlignment="1">
      <alignment horizontal="left" vertical="center" wrapText="1"/>
    </xf>
    <xf numFmtId="14" fontId="15" fillId="2" borderId="1" xfId="1" applyNumberFormat="1" applyFont="1" applyFill="1" applyBorder="1" applyAlignment="1">
      <alignment horizontal="center" vertical="center"/>
    </xf>
    <xf numFmtId="167" fontId="15" fillId="2" borderId="1" xfId="1" applyNumberFormat="1" applyFont="1" applyFill="1" applyBorder="1" applyAlignment="1">
      <alignment horizontal="center" vertical="center"/>
    </xf>
    <xf numFmtId="168" fontId="46" fillId="0" borderId="0" xfId="0" applyNumberFormat="1" applyFont="1" applyAlignment="1" applyProtection="1">
      <alignment horizontal="center" vertical="center"/>
      <protection locked="0"/>
    </xf>
    <xf numFmtId="0" fontId="36" fillId="0" borderId="0" xfId="1" applyFont="1" applyAlignment="1">
      <alignment horizontal="left" vertical="center" wrapText="1"/>
    </xf>
    <xf numFmtId="0" fontId="92" fillId="0" borderId="0" xfId="1" applyFont="1" applyAlignment="1">
      <alignment horizontal="center"/>
    </xf>
    <xf numFmtId="0" fontId="18" fillId="2" borderId="1" xfId="1" applyFont="1" applyFill="1" applyBorder="1" applyAlignment="1">
      <alignment horizontal="center" vertical="center"/>
    </xf>
    <xf numFmtId="14" fontId="18" fillId="2" borderId="1" xfId="1" applyNumberFormat="1" applyFont="1" applyFill="1" applyBorder="1" applyAlignment="1">
      <alignment horizontal="center" vertical="center"/>
    </xf>
    <xf numFmtId="0" fontId="13" fillId="2" borderId="21" xfId="1" applyFont="1" applyFill="1" applyBorder="1" applyAlignment="1">
      <alignment horizontal="left" vertical="center" wrapText="1"/>
    </xf>
    <xf numFmtId="0" fontId="18" fillId="2" borderId="21" xfId="1" applyFont="1" applyFill="1" applyBorder="1" applyAlignment="1">
      <alignment horizontal="left" vertical="center" wrapText="1"/>
    </xf>
    <xf numFmtId="0" fontId="32" fillId="2" borderId="1" xfId="1" applyFont="1" applyFill="1" applyBorder="1" applyAlignment="1">
      <alignment horizontal="center"/>
    </xf>
    <xf numFmtId="0" fontId="35" fillId="2" borderId="1" xfId="1" applyFont="1" applyFill="1" applyBorder="1" applyAlignment="1">
      <alignment horizontal="center"/>
    </xf>
    <xf numFmtId="14" fontId="35" fillId="2" borderId="1" xfId="1" applyNumberFormat="1" applyFont="1" applyFill="1" applyBorder="1" applyAlignment="1">
      <alignment horizontal="center"/>
    </xf>
    <xf numFmtId="0" fontId="13" fillId="2" borderId="41" xfId="1" applyFont="1" applyFill="1" applyBorder="1" applyAlignment="1">
      <alignment horizontal="left" vertical="center" wrapText="1"/>
    </xf>
    <xf numFmtId="0" fontId="18" fillId="2" borderId="41" xfId="1" applyFont="1" applyFill="1" applyBorder="1" applyAlignment="1">
      <alignment horizontal="left" vertical="center" wrapText="1"/>
    </xf>
    <xf numFmtId="0" fontId="21" fillId="2" borderId="1" xfId="1" applyFont="1" applyFill="1" applyBorder="1" applyAlignment="1">
      <alignment horizontal="center"/>
    </xf>
    <xf numFmtId="0" fontId="26" fillId="2" borderId="1" xfId="1" applyFont="1" applyFill="1" applyBorder="1" applyAlignment="1">
      <alignment horizontal="center"/>
    </xf>
    <xf numFmtId="170" fontId="36" fillId="2" borderId="1" xfId="1" applyNumberFormat="1" applyFont="1" applyFill="1" applyBorder="1" applyAlignment="1">
      <alignment horizontal="center" vertical="center"/>
    </xf>
    <xf numFmtId="166" fontId="40" fillId="2" borderId="1" xfId="0" applyNumberFormat="1" applyFont="1" applyFill="1" applyBorder="1" applyAlignment="1">
      <alignment horizontal="center" vertical="center"/>
    </xf>
    <xf numFmtId="166" fontId="40" fillId="2" borderId="0" xfId="0" applyNumberFormat="1" applyFont="1" applyFill="1" applyAlignment="1">
      <alignment horizontal="center" vertical="center"/>
    </xf>
    <xf numFmtId="2" fontId="47" fillId="0" borderId="1" xfId="0" applyNumberFormat="1" applyFont="1" applyBorder="1" applyAlignment="1">
      <alignment horizontal="center" vertical="center"/>
    </xf>
    <xf numFmtId="2" fontId="47" fillId="0" borderId="1" xfId="1" applyNumberFormat="1" applyFont="1" applyBorder="1" applyAlignment="1">
      <alignment horizontal="center" vertical="center"/>
    </xf>
    <xf numFmtId="166" fontId="40" fillId="2" borderId="41" xfId="0" applyNumberFormat="1" applyFont="1" applyFill="1" applyBorder="1" applyAlignment="1">
      <alignment horizontal="center" vertical="center"/>
    </xf>
    <xf numFmtId="2" fontId="123" fillId="0" borderId="1" xfId="1" applyNumberFormat="1" applyFont="1" applyBorder="1" applyAlignment="1">
      <alignment horizontal="center" vertical="center" wrapText="1"/>
    </xf>
    <xf numFmtId="2" fontId="47" fillId="0" borderId="1" xfId="1" applyNumberFormat="1" applyFont="1" applyBorder="1" applyAlignment="1">
      <alignment horizontal="center"/>
    </xf>
    <xf numFmtId="0" fontId="13" fillId="2" borderId="1" xfId="1" applyFont="1" applyFill="1" applyBorder="1" applyAlignment="1">
      <alignment horizontal="left" vertical="center" wrapText="1"/>
    </xf>
    <xf numFmtId="0" fontId="23" fillId="2" borderId="4" xfId="1" applyFont="1" applyFill="1" applyBorder="1" applyAlignment="1">
      <alignment horizontal="center" vertical="center"/>
    </xf>
    <xf numFmtId="14" fontId="23" fillId="2" borderId="4" xfId="1" applyNumberFormat="1" applyFont="1" applyFill="1" applyBorder="1" applyAlignment="1">
      <alignment horizontal="center" vertical="center"/>
    </xf>
    <xf numFmtId="2" fontId="123" fillId="0" borderId="0" xfId="1" applyNumberFormat="1" applyFont="1" applyAlignment="1">
      <alignment horizontal="center" vertical="center" wrapText="1"/>
    </xf>
    <xf numFmtId="0" fontId="24" fillId="2" borderId="1" xfId="1" applyFont="1" applyFill="1" applyBorder="1" applyAlignment="1">
      <alignment horizontal="left" vertical="center"/>
    </xf>
    <xf numFmtId="0" fontId="35" fillId="2" borderId="1" xfId="1" applyFont="1" applyFill="1" applyBorder="1" applyAlignment="1">
      <alignment horizontal="left" vertical="center"/>
    </xf>
    <xf numFmtId="0" fontId="24" fillId="2" borderId="1" xfId="1" applyFont="1" applyFill="1" applyBorder="1" applyAlignment="1">
      <alignment horizontal="center"/>
    </xf>
    <xf numFmtId="0" fontId="30" fillId="2" borderId="1" xfId="1" applyFont="1" applyFill="1" applyBorder="1" applyAlignment="1">
      <alignment horizontal="center"/>
    </xf>
    <xf numFmtId="0" fontId="123" fillId="0" borderId="1" xfId="1" applyFont="1" applyBorder="1" applyAlignment="1">
      <alignment horizontal="center" vertical="center" wrapText="1"/>
    </xf>
    <xf numFmtId="0" fontId="123" fillId="0" borderId="1" xfId="1" applyFont="1" applyBorder="1" applyAlignment="1">
      <alignment horizontal="left" vertical="center" wrapText="1"/>
    </xf>
    <xf numFmtId="167" fontId="123" fillId="0" borderId="1" xfId="1" applyNumberFormat="1" applyFont="1" applyBorder="1" applyAlignment="1">
      <alignment horizontal="center" vertical="center" wrapText="1"/>
    </xf>
    <xf numFmtId="167" fontId="51" fillId="0" borderId="4" xfId="1" applyNumberFormat="1" applyFont="1" applyBorder="1" applyAlignment="1">
      <alignment horizontal="center" vertical="center" wrapText="1"/>
    </xf>
    <xf numFmtId="167" fontId="51" fillId="0" borderId="9" xfId="1" applyNumberFormat="1" applyFont="1" applyBorder="1" applyAlignment="1">
      <alignment horizontal="center" vertical="center" wrapText="1"/>
    </xf>
    <xf numFmtId="167" fontId="51" fillId="0" borderId="28" xfId="1" applyNumberFormat="1" applyFont="1" applyBorder="1" applyAlignment="1">
      <alignment horizontal="center" vertical="center" wrapText="1"/>
    </xf>
    <xf numFmtId="0" fontId="51" fillId="0" borderId="47" xfId="1" applyFont="1" applyBorder="1" applyAlignment="1">
      <alignment horizontal="center" vertical="center" wrapText="1"/>
    </xf>
    <xf numFmtId="0" fontId="51" fillId="0" borderId="4" xfId="1" applyFont="1" applyBorder="1" applyAlignment="1">
      <alignment horizontal="center" vertical="center" wrapText="1"/>
    </xf>
    <xf numFmtId="0" fontId="51" fillId="0" borderId="9" xfId="1" applyFont="1" applyBorder="1" applyAlignment="1">
      <alignment horizontal="center" vertical="center" wrapText="1"/>
    </xf>
    <xf numFmtId="0" fontId="51" fillId="0" borderId="10" xfId="1" applyFont="1" applyBorder="1" applyAlignment="1">
      <alignment horizontal="center" vertical="center" wrapText="1"/>
    </xf>
    <xf numFmtId="0" fontId="36" fillId="0" borderId="0" xfId="1" applyFont="1" applyAlignment="1">
      <alignment horizontal="left" vertical="top" wrapText="1"/>
    </xf>
    <xf numFmtId="0" fontId="55" fillId="0" borderId="0" xfId="1" applyFont="1" applyAlignment="1">
      <alignment horizontal="center"/>
    </xf>
    <xf numFmtId="167" fontId="36" fillId="0" borderId="0" xfId="1" applyNumberFormat="1" applyFont="1" applyAlignment="1">
      <alignment horizontal="center" vertical="center"/>
    </xf>
    <xf numFmtId="0" fontId="48" fillId="0" borderId="0" xfId="1" applyFont="1" applyAlignment="1">
      <alignment horizontal="left" vertical="center" wrapText="1"/>
    </xf>
    <xf numFmtId="0" fontId="46" fillId="0" borderId="0" xfId="1" applyFont="1" applyAlignment="1">
      <alignment horizontal="left" vertical="top" wrapText="1"/>
    </xf>
    <xf numFmtId="0" fontId="51" fillId="0" borderId="9" xfId="1" applyFont="1" applyBorder="1" applyAlignment="1">
      <alignment horizontal="left" vertical="center" wrapText="1"/>
    </xf>
    <xf numFmtId="0" fontId="51" fillId="0" borderId="10" xfId="1" applyFont="1" applyBorder="1" applyAlignment="1">
      <alignment horizontal="left" vertical="center" wrapText="1"/>
    </xf>
    <xf numFmtId="0" fontId="49" fillId="0" borderId="0" xfId="1" applyFont="1" applyAlignment="1">
      <alignment horizontal="left" vertical="top" wrapText="1"/>
    </xf>
    <xf numFmtId="0" fontId="36" fillId="0" borderId="0" xfId="1" applyFont="1" applyAlignment="1">
      <alignment vertical="center" wrapText="1"/>
    </xf>
    <xf numFmtId="0" fontId="130" fillId="0" borderId="0" xfId="1" applyFont="1" applyAlignment="1">
      <alignment horizontal="left"/>
    </xf>
    <xf numFmtId="168" fontId="123" fillId="0" borderId="0" xfId="1" applyNumberFormat="1" applyFont="1" applyAlignment="1">
      <alignment horizontal="left"/>
    </xf>
    <xf numFmtId="0" fontId="131" fillId="0" borderId="0" xfId="1" applyFont="1" applyAlignment="1">
      <alignment horizontal="center" vertical="center" wrapText="1"/>
    </xf>
    <xf numFmtId="0" fontId="123" fillId="0" borderId="2" xfId="1" applyFont="1" applyBorder="1" applyAlignment="1">
      <alignment horizontal="center"/>
    </xf>
    <xf numFmtId="168" fontId="47" fillId="0" borderId="1" xfId="1" applyNumberFormat="1" applyFont="1" applyBorder="1" applyAlignment="1">
      <alignment horizontal="center" vertical="center" wrapText="1"/>
    </xf>
    <xf numFmtId="0" fontId="28" fillId="2" borderId="1" xfId="1" applyFont="1" applyFill="1" applyBorder="1" applyAlignment="1">
      <alignment horizontal="center"/>
    </xf>
    <xf numFmtId="0" fontId="131" fillId="0" borderId="0" xfId="1" applyFont="1" applyAlignment="1">
      <alignment horizontal="left" vertical="center"/>
    </xf>
    <xf numFmtId="0" fontId="131" fillId="0" borderId="2" xfId="1" applyFont="1" applyBorder="1" applyAlignment="1">
      <alignment horizontal="left" vertical="center"/>
    </xf>
    <xf numFmtId="176" fontId="123" fillId="0" borderId="0" xfId="1" applyNumberFormat="1" applyFont="1" applyAlignment="1">
      <alignment horizontal="left"/>
    </xf>
    <xf numFmtId="1" fontId="123" fillId="0" borderId="0" xfId="1" applyNumberFormat="1" applyFont="1" applyAlignment="1">
      <alignment horizontal="left"/>
    </xf>
    <xf numFmtId="0" fontId="123" fillId="0" borderId="0" xfId="1" applyFont="1" applyAlignment="1">
      <alignment horizontal="left"/>
    </xf>
    <xf numFmtId="0" fontId="123" fillId="0" borderId="0" xfId="1" applyFont="1" applyAlignment="1">
      <alignment horizontal="left" vertical="center" wrapText="1"/>
    </xf>
    <xf numFmtId="0" fontId="54" fillId="0" borderId="0" xfId="1" applyFont="1" applyAlignment="1">
      <alignment horizontal="center" vertical="center"/>
    </xf>
    <xf numFmtId="0" fontId="97" fillId="0" borderId="0" xfId="1" applyFont="1" applyAlignment="1">
      <alignment horizontal="center" vertical="center"/>
    </xf>
    <xf numFmtId="0" fontId="54" fillId="0" borderId="0" xfId="1" applyFont="1" applyAlignment="1">
      <alignment horizontal="center"/>
    </xf>
    <xf numFmtId="0" fontId="89" fillId="0" borderId="0" xfId="1" applyFont="1" applyAlignment="1">
      <alignment horizontal="center" vertical="center"/>
    </xf>
    <xf numFmtId="0" fontId="162" fillId="0" borderId="0" xfId="1" applyFont="1" applyAlignment="1">
      <alignment horizontal="center"/>
    </xf>
    <xf numFmtId="0" fontId="36" fillId="0" borderId="0" xfId="1" applyFont="1" applyAlignment="1">
      <alignment horizontal="left"/>
    </xf>
    <xf numFmtId="0" fontId="123" fillId="0" borderId="2" xfId="1" applyFont="1" applyBorder="1" applyAlignment="1">
      <alignment horizontal="left" vertical="center" wrapText="1"/>
    </xf>
    <xf numFmtId="0" fontId="90" fillId="0" borderId="0" xfId="1" applyFont="1" applyAlignment="1">
      <alignment horizontal="left"/>
    </xf>
    <xf numFmtId="0" fontId="52" fillId="0" borderId="47" xfId="1" applyFont="1" applyBorder="1" applyAlignment="1">
      <alignment horizontal="left" wrapText="1"/>
    </xf>
    <xf numFmtId="0" fontId="55" fillId="0" borderId="1" xfId="1" applyFont="1" applyBorder="1" applyAlignment="1">
      <alignment horizontal="center" vertical="center" wrapText="1"/>
    </xf>
    <xf numFmtId="0" fontId="133" fillId="0" borderId="2" xfId="1" applyFont="1" applyBorder="1" applyAlignment="1">
      <alignment vertical="center" wrapText="1"/>
    </xf>
    <xf numFmtId="0" fontId="123" fillId="0" borderId="2" xfId="1" applyFont="1" applyBorder="1" applyAlignment="1">
      <alignment horizontal="left" vertical="top" wrapText="1"/>
    </xf>
    <xf numFmtId="0" fontId="169" fillId="0" borderId="6" xfId="0" applyFont="1" applyBorder="1" applyAlignment="1">
      <alignment horizontal="right" vertical="center" wrapText="1"/>
    </xf>
    <xf numFmtId="0" fontId="170" fillId="0" borderId="6" xfId="0" applyFont="1" applyBorder="1" applyAlignment="1">
      <alignment horizontal="right" vertical="center"/>
    </xf>
    <xf numFmtId="0" fontId="103" fillId="22" borderId="0" xfId="0" applyFont="1" applyFill="1" applyAlignment="1">
      <alignment horizontal="left" wrapText="1"/>
    </xf>
    <xf numFmtId="0" fontId="103" fillId="22" borderId="6" xfId="0" applyFont="1" applyFill="1" applyBorder="1" applyAlignment="1">
      <alignment horizontal="left" wrapText="1"/>
    </xf>
    <xf numFmtId="167" fontId="171" fillId="0" borderId="6" xfId="0" applyNumberFormat="1" applyFont="1" applyBorder="1" applyAlignment="1">
      <alignment horizontal="right" vertical="top" wrapText="1"/>
    </xf>
    <xf numFmtId="0" fontId="3" fillId="2" borderId="1" xfId="1" applyFont="1" applyFill="1" applyBorder="1" applyAlignment="1" applyProtection="1">
      <alignment horizontal="left" vertical="center" wrapText="1"/>
      <protection locked="0"/>
    </xf>
    <xf numFmtId="167" fontId="15" fillId="2" borderId="1" xfId="1" applyNumberFormat="1" applyFont="1" applyFill="1" applyBorder="1" applyAlignment="1" applyProtection="1">
      <alignment horizontal="center" vertical="center"/>
      <protection locked="0"/>
    </xf>
    <xf numFmtId="167" fontId="123" fillId="0" borderId="0" xfId="1" applyNumberFormat="1" applyFont="1" applyAlignment="1">
      <alignment horizontal="left"/>
    </xf>
    <xf numFmtId="0" fontId="123" fillId="0" borderId="0" xfId="1" applyFont="1" applyAlignment="1">
      <alignment horizontal="left" wrapText="1"/>
    </xf>
    <xf numFmtId="167" fontId="123" fillId="0" borderId="0" xfId="1" applyNumberFormat="1" applyFont="1" applyAlignment="1">
      <alignment horizontal="left" vertical="center"/>
    </xf>
    <xf numFmtId="0" fontId="47" fillId="0" borderId="0" xfId="1" applyFont="1" applyAlignment="1">
      <alignment horizontal="left" vertical="center" wrapText="1"/>
    </xf>
    <xf numFmtId="0" fontId="47" fillId="0" borderId="0" xfId="1" applyFont="1" applyAlignment="1">
      <alignment horizontal="justify" vertical="center" wrapText="1"/>
    </xf>
    <xf numFmtId="0" fontId="123" fillId="0" borderId="0" xfId="1" applyFont="1" applyAlignment="1">
      <alignment horizontal="justify" vertical="center" wrapText="1"/>
    </xf>
    <xf numFmtId="0" fontId="55" fillId="0" borderId="0" xfId="1" applyFont="1" applyAlignment="1">
      <alignment horizontal="left"/>
    </xf>
    <xf numFmtId="0" fontId="91" fillId="0" borderId="0" xfId="1" applyFont="1" applyAlignment="1">
      <alignment horizontal="left"/>
    </xf>
    <xf numFmtId="0" fontId="123" fillId="0" borderId="0" xfId="1" applyFont="1" applyAlignment="1">
      <alignment horizontal="justify" vertical="justify" wrapText="1"/>
    </xf>
    <xf numFmtId="0" fontId="15" fillId="2" borderId="1" xfId="1" applyFont="1" applyFill="1" applyBorder="1" applyAlignment="1">
      <alignment horizontal="left" vertical="center" wrapText="1"/>
    </xf>
    <xf numFmtId="0" fontId="98" fillId="0" borderId="0" xfId="1" applyFont="1" applyAlignment="1">
      <alignment horizontal="left"/>
    </xf>
    <xf numFmtId="0" fontId="36" fillId="0" borderId="0" xfId="1" applyFont="1" applyAlignment="1">
      <alignment horizontal="left" wrapText="1"/>
    </xf>
    <xf numFmtId="170" fontId="47" fillId="0" borderId="1" xfId="0" applyNumberFormat="1" applyFont="1" applyBorder="1" applyAlignment="1">
      <alignment horizontal="center" vertical="center"/>
    </xf>
    <xf numFmtId="0" fontId="131" fillId="0" borderId="2" xfId="1" applyFont="1" applyBorder="1" applyAlignment="1">
      <alignment horizontal="center"/>
    </xf>
    <xf numFmtId="0" fontId="123" fillId="0" borderId="9" xfId="1" applyFont="1" applyBorder="1" applyAlignment="1">
      <alignment horizontal="center"/>
    </xf>
    <xf numFmtId="0" fontId="10" fillId="0" borderId="1" xfId="20" applyBorder="1" applyAlignment="1">
      <alignment horizontal="center"/>
    </xf>
    <xf numFmtId="0" fontId="157" fillId="0" borderId="1" xfId="20" applyFont="1" applyBorder="1" applyAlignment="1">
      <alignment horizontal="center" wrapText="1"/>
    </xf>
    <xf numFmtId="0" fontId="157" fillId="0" borderId="1" xfId="20" applyFont="1" applyBorder="1" applyAlignment="1">
      <alignment horizontal="center"/>
    </xf>
    <xf numFmtId="2" fontId="10" fillId="0" borderId="1" xfId="20" applyNumberFormat="1" applyBorder="1" applyAlignment="1">
      <alignment horizontal="center"/>
    </xf>
    <xf numFmtId="184" fontId="157" fillId="0" borderId="1" xfId="20" applyNumberFormat="1" applyFont="1" applyBorder="1" applyAlignment="1">
      <alignment horizontal="center"/>
    </xf>
    <xf numFmtId="0" fontId="10" fillId="0" borderId="41" xfId="20" applyBorder="1" applyAlignment="1">
      <alignment horizontal="center" vertical="center"/>
    </xf>
    <xf numFmtId="0" fontId="10" fillId="0" borderId="57" xfId="20" applyBorder="1" applyAlignment="1">
      <alignment horizontal="center" vertical="center"/>
    </xf>
    <xf numFmtId="0" fontId="10" fillId="0" borderId="21" xfId="20" applyBorder="1" applyAlignment="1">
      <alignment horizontal="center" vertical="center"/>
    </xf>
    <xf numFmtId="0" fontId="49" fillId="0" borderId="41" xfId="20" applyFont="1" applyBorder="1" applyAlignment="1">
      <alignment horizontal="center" vertical="center"/>
    </xf>
    <xf numFmtId="0" fontId="49" fillId="0" borderId="57" xfId="20" applyFont="1" applyBorder="1" applyAlignment="1">
      <alignment horizontal="center" vertical="center"/>
    </xf>
    <xf numFmtId="0" fontId="49" fillId="0" borderId="21" xfId="20" applyFont="1" applyBorder="1" applyAlignment="1">
      <alignment horizontal="center" vertical="center"/>
    </xf>
    <xf numFmtId="0" fontId="10" fillId="12" borderId="41" xfId="20" applyFill="1" applyBorder="1" applyAlignment="1">
      <alignment horizontal="center" vertical="center"/>
    </xf>
    <xf numFmtId="0" fontId="10" fillId="12" borderId="57" xfId="20" applyFill="1" applyBorder="1" applyAlignment="1">
      <alignment horizontal="center" vertical="center"/>
    </xf>
    <xf numFmtId="0" fontId="10" fillId="12" borderId="21" xfId="20" applyFill="1" applyBorder="1" applyAlignment="1">
      <alignment horizontal="center" vertical="center"/>
    </xf>
    <xf numFmtId="2" fontId="10" fillId="0" borderId="4" xfId="20" applyNumberFormat="1" applyBorder="1" applyAlignment="1">
      <alignment horizontal="center" vertical="center"/>
    </xf>
    <xf numFmtId="2" fontId="10" fillId="0" borderId="10" xfId="20" applyNumberFormat="1" applyBorder="1" applyAlignment="1">
      <alignment horizontal="center" vertical="center"/>
    </xf>
    <xf numFmtId="0" fontId="10" fillId="0" borderId="4" xfId="20" applyBorder="1" applyAlignment="1">
      <alignment horizontal="center"/>
    </xf>
    <xf numFmtId="0" fontId="10" fillId="0" borderId="10" xfId="20" applyBorder="1" applyAlignment="1">
      <alignment horizontal="center"/>
    </xf>
    <xf numFmtId="0" fontId="169" fillId="0" borderId="0" xfId="0" applyFont="1" applyAlignment="1">
      <alignment horizontal="right" vertical="center"/>
    </xf>
    <xf numFmtId="0" fontId="103" fillId="0" borderId="0" xfId="0" applyFont="1" applyAlignment="1">
      <alignment horizontal="right" vertical="center"/>
    </xf>
    <xf numFmtId="0" fontId="103" fillId="0" borderId="6" xfId="0" applyFont="1" applyBorder="1" applyAlignment="1">
      <alignment horizontal="right" vertical="center"/>
    </xf>
    <xf numFmtId="0" fontId="124" fillId="2" borderId="1" xfId="5" applyFont="1" applyFill="1" applyBorder="1" applyAlignment="1">
      <alignment horizontal="left" vertical="center" wrapText="1"/>
    </xf>
    <xf numFmtId="167" fontId="125" fillId="0" borderId="1" xfId="5" applyNumberFormat="1" applyFont="1" applyBorder="1" applyAlignment="1">
      <alignment horizontal="center" vertical="center"/>
    </xf>
    <xf numFmtId="0" fontId="124" fillId="2" borderId="1" xfId="5" applyFont="1" applyFill="1" applyBorder="1" applyAlignment="1">
      <alignment horizontal="center"/>
    </xf>
    <xf numFmtId="0" fontId="39" fillId="11" borderId="0" xfId="0" applyFont="1" applyFill="1" applyAlignment="1">
      <alignment horizontal="center" vertical="center"/>
    </xf>
    <xf numFmtId="0" fontId="39" fillId="10" borderId="3" xfId="0" applyFont="1" applyFill="1" applyBorder="1" applyAlignment="1">
      <alignment horizontal="center" vertical="center" wrapText="1"/>
    </xf>
    <xf numFmtId="0" fontId="44" fillId="2" borderId="1" xfId="0" applyFont="1" applyFill="1" applyBorder="1" applyAlignment="1" applyProtection="1">
      <alignment horizontal="center" vertical="center" wrapText="1"/>
      <protection locked="0"/>
    </xf>
    <xf numFmtId="165" fontId="44" fillId="2" borderId="1" xfId="0" applyNumberFormat="1" applyFont="1" applyFill="1" applyBorder="1" applyAlignment="1">
      <alignment horizontal="center" vertical="center"/>
    </xf>
    <xf numFmtId="0" fontId="39" fillId="17" borderId="23" xfId="0" applyFont="1" applyFill="1" applyBorder="1" applyAlignment="1">
      <alignment horizontal="left"/>
    </xf>
    <xf numFmtId="0" fontId="39" fillId="17" borderId="13" xfId="0" applyFont="1" applyFill="1" applyBorder="1" applyAlignment="1">
      <alignment horizontal="left"/>
    </xf>
    <xf numFmtId="0" fontId="39" fillId="10" borderId="0" xfId="0" applyFont="1" applyFill="1" applyAlignment="1">
      <alignment horizontal="center" vertical="center" wrapText="1"/>
    </xf>
    <xf numFmtId="0" fontId="39" fillId="10" borderId="4" xfId="0" applyFont="1" applyFill="1" applyBorder="1" applyAlignment="1">
      <alignment horizontal="center" vertical="center" wrapText="1"/>
    </xf>
    <xf numFmtId="0" fontId="39" fillId="10" borderId="10" xfId="0" applyFont="1" applyFill="1" applyBorder="1" applyAlignment="1">
      <alignment horizontal="center" vertical="center" wrapText="1"/>
    </xf>
    <xf numFmtId="0" fontId="0" fillId="0" borderId="0" xfId="0" applyAlignment="1">
      <alignment horizontal="center"/>
    </xf>
    <xf numFmtId="169" fontId="40" fillId="2" borderId="1" xfId="0" applyNumberFormat="1" applyFont="1" applyFill="1" applyBorder="1" applyAlignment="1" applyProtection="1">
      <alignment horizontal="center"/>
      <protection locked="0"/>
    </xf>
    <xf numFmtId="170" fontId="40" fillId="2" borderId="1" xfId="0" applyNumberFormat="1" applyFont="1" applyFill="1" applyBorder="1" applyAlignment="1" applyProtection="1">
      <alignment horizontal="center"/>
      <protection locked="0"/>
    </xf>
    <xf numFmtId="168" fontId="40" fillId="2" borderId="1" xfId="0" applyNumberFormat="1" applyFont="1" applyFill="1" applyBorder="1" applyAlignment="1" applyProtection="1">
      <alignment horizontal="center"/>
      <protection locked="0"/>
    </xf>
    <xf numFmtId="0" fontId="39" fillId="0" borderId="13" xfId="0" applyFont="1" applyBorder="1" applyAlignment="1">
      <alignment horizontal="center" vertical="center"/>
    </xf>
    <xf numFmtId="0" fontId="122" fillId="2" borderId="0" xfId="0" applyFont="1" applyFill="1" applyAlignment="1">
      <alignment horizontal="left"/>
    </xf>
    <xf numFmtId="0" fontId="39" fillId="0" borderId="0" xfId="0" applyFont="1" applyAlignment="1">
      <alignment horizontal="center"/>
    </xf>
    <xf numFmtId="2" fontId="44" fillId="2" borderId="1" xfId="0" applyNumberFormat="1" applyFont="1" applyFill="1" applyBorder="1" applyAlignment="1" applyProtection="1">
      <alignment horizontal="center" vertical="center"/>
      <protection locked="0"/>
    </xf>
    <xf numFmtId="0" fontId="40" fillId="2" borderId="1" xfId="0" applyFont="1" applyFill="1" applyBorder="1" applyAlignment="1" applyProtection="1">
      <alignment horizontal="center"/>
      <protection locked="0"/>
    </xf>
    <xf numFmtId="0" fontId="102" fillId="0" borderId="0" xfId="0" applyFont="1" applyAlignment="1">
      <alignment horizontal="center" wrapText="1"/>
    </xf>
    <xf numFmtId="0" fontId="102" fillId="0" borderId="56" xfId="0" applyFont="1" applyBorder="1" applyAlignment="1">
      <alignment horizontal="center" vertical="center" wrapText="1"/>
    </xf>
    <xf numFmtId="0" fontId="102" fillId="0" borderId="47" xfId="0" applyFont="1" applyBorder="1" applyAlignment="1">
      <alignment horizontal="center" vertical="center" wrapText="1"/>
    </xf>
    <xf numFmtId="0" fontId="102" fillId="0" borderId="45" xfId="0" applyFont="1" applyBorder="1" applyAlignment="1">
      <alignment horizontal="center" vertical="center" wrapText="1"/>
    </xf>
    <xf numFmtId="0" fontId="102" fillId="0" borderId="5" xfId="0" applyFont="1" applyBorder="1" applyAlignment="1">
      <alignment horizontal="center" vertical="center" wrapText="1"/>
    </xf>
    <xf numFmtId="0" fontId="102" fillId="0" borderId="0" xfId="0" applyFont="1" applyAlignment="1">
      <alignment horizontal="center" vertical="center" wrapText="1"/>
    </xf>
    <xf numFmtId="0" fontId="102" fillId="0" borderId="6" xfId="0" applyFont="1" applyBorder="1" applyAlignment="1">
      <alignment horizontal="center" vertical="center" wrapText="1"/>
    </xf>
    <xf numFmtId="0" fontId="102" fillId="0" borderId="7" xfId="0" applyFont="1" applyBorder="1" applyAlignment="1">
      <alignment horizontal="center" vertical="center" wrapText="1"/>
    </xf>
    <xf numFmtId="0" fontId="102" fillId="0" borderId="2" xfId="0" applyFont="1" applyBorder="1" applyAlignment="1">
      <alignment horizontal="center" vertical="center" wrapText="1"/>
    </xf>
    <xf numFmtId="0" fontId="102" fillId="0" borderId="8" xfId="0" applyFont="1" applyBorder="1" applyAlignment="1">
      <alignment horizontal="center" vertical="center" wrapText="1"/>
    </xf>
    <xf numFmtId="0" fontId="102" fillId="2" borderId="1" xfId="5" applyFont="1" applyFill="1" applyBorder="1" applyAlignment="1">
      <alignment horizontal="center"/>
    </xf>
    <xf numFmtId="0" fontId="168" fillId="0" borderId="4" xfId="5" applyFont="1" applyBorder="1" applyAlignment="1">
      <alignment horizontal="center" vertical="center"/>
    </xf>
    <xf numFmtId="0" fontId="168" fillId="0" borderId="9" xfId="5" applyFont="1" applyBorder="1" applyAlignment="1">
      <alignment horizontal="center" vertical="center"/>
    </xf>
    <xf numFmtId="0" fontId="168" fillId="0" borderId="10" xfId="5" applyFont="1" applyBorder="1" applyAlignment="1">
      <alignment horizontal="center" vertical="center"/>
    </xf>
    <xf numFmtId="0" fontId="149" fillId="0" borderId="53" xfId="0" applyFont="1" applyBorder="1" applyAlignment="1">
      <alignment horizontal="center" vertical="center" wrapText="1"/>
    </xf>
    <xf numFmtId="0" fontId="149" fillId="0" borderId="38" xfId="0" applyFont="1" applyBorder="1" applyAlignment="1">
      <alignment horizontal="center" vertical="center" wrapText="1"/>
    </xf>
    <xf numFmtId="0" fontId="150" fillId="0" borderId="37" xfId="0" applyFont="1" applyBorder="1" applyAlignment="1">
      <alignment horizontal="center" vertical="center"/>
    </xf>
    <xf numFmtId="0" fontId="150" fillId="0" borderId="38" xfId="0" applyFont="1" applyBorder="1" applyAlignment="1">
      <alignment horizontal="center" vertical="center"/>
    </xf>
    <xf numFmtId="0" fontId="150" fillId="0" borderId="52" xfId="0" applyFont="1" applyBorder="1" applyAlignment="1">
      <alignment horizontal="center" vertical="center"/>
    </xf>
    <xf numFmtId="0" fontId="149" fillId="0" borderId="40" xfId="0" applyFont="1" applyBorder="1" applyAlignment="1">
      <alignment horizontal="center" vertical="center" wrapText="1"/>
    </xf>
    <xf numFmtId="0" fontId="149" fillId="0" borderId="10" xfId="0" applyFont="1" applyBorder="1" applyAlignment="1">
      <alignment horizontal="center" vertical="center" wrapText="1"/>
    </xf>
    <xf numFmtId="0" fontId="152" fillId="0" borderId="4" xfId="0" applyFont="1" applyBorder="1" applyAlignment="1">
      <alignment horizontal="center" vertical="center"/>
    </xf>
    <xf numFmtId="0" fontId="152" fillId="0" borderId="10" xfId="0" applyFont="1" applyBorder="1" applyAlignment="1">
      <alignment horizontal="center" vertical="center"/>
    </xf>
    <xf numFmtId="0" fontId="150" fillId="0" borderId="4" xfId="0" applyFont="1" applyBorder="1" applyAlignment="1">
      <alignment horizontal="center" vertical="center"/>
    </xf>
    <xf numFmtId="0" fontId="150" fillId="0" borderId="28" xfId="0" applyFont="1" applyBorder="1" applyAlignment="1">
      <alignment horizontal="center" vertical="center"/>
    </xf>
    <xf numFmtId="0" fontId="150" fillId="0" borderId="10" xfId="0" applyFont="1" applyBorder="1" applyAlignment="1">
      <alignment horizontal="center" vertical="center"/>
    </xf>
    <xf numFmtId="0" fontId="149" fillId="2" borderId="40" xfId="0" applyFont="1" applyFill="1" applyBorder="1" applyAlignment="1">
      <alignment horizontal="center" vertical="center" wrapText="1"/>
    </xf>
    <xf numFmtId="0" fontId="149" fillId="2" borderId="10" xfId="0" applyFont="1" applyFill="1" applyBorder="1" applyAlignment="1">
      <alignment horizontal="center" vertical="center" wrapText="1"/>
    </xf>
    <xf numFmtId="0" fontId="150" fillId="2" borderId="4" xfId="0" applyFont="1" applyFill="1" applyBorder="1" applyAlignment="1">
      <alignment horizontal="center" vertical="center"/>
    </xf>
    <xf numFmtId="0" fontId="150" fillId="2" borderId="10" xfId="0" applyFont="1" applyFill="1" applyBorder="1" applyAlignment="1">
      <alignment horizontal="center" vertical="center"/>
    </xf>
    <xf numFmtId="0" fontId="57" fillId="10" borderId="3" xfId="3" applyFont="1" applyFill="1" applyBorder="1" applyAlignment="1">
      <alignment horizontal="center"/>
    </xf>
    <xf numFmtId="0" fontId="57" fillId="11" borderId="36" xfId="3" applyFont="1" applyFill="1" applyBorder="1" applyAlignment="1" applyProtection="1">
      <alignment horizontal="center" vertical="center" wrapText="1"/>
      <protection locked="0"/>
    </xf>
    <xf numFmtId="0" fontId="57" fillId="11" borderId="25" xfId="3" applyFont="1" applyFill="1" applyBorder="1" applyAlignment="1" applyProtection="1">
      <alignment horizontal="center" vertical="center" wrapText="1"/>
      <protection locked="0"/>
    </xf>
    <xf numFmtId="0" fontId="55" fillId="11" borderId="19" xfId="0" applyFont="1" applyFill="1" applyBorder="1" applyAlignment="1">
      <alignment horizontal="center" vertical="center" wrapText="1"/>
    </xf>
    <xf numFmtId="0" fontId="55" fillId="11" borderId="25" xfId="0" applyFont="1" applyFill="1" applyBorder="1" applyAlignment="1">
      <alignment horizontal="center" vertical="center" wrapText="1"/>
    </xf>
    <xf numFmtId="0" fontId="55" fillId="11" borderId="51" xfId="0" applyFont="1" applyFill="1" applyBorder="1" applyAlignment="1">
      <alignment horizontal="center" vertical="center" wrapText="1"/>
    </xf>
    <xf numFmtId="0" fontId="40" fillId="2" borderId="4" xfId="0" applyFont="1" applyFill="1" applyBorder="1" applyAlignment="1" applyProtection="1">
      <alignment horizontal="center" wrapText="1"/>
      <protection locked="0"/>
    </xf>
    <xf numFmtId="0" fontId="40" fillId="2" borderId="10" xfId="0" applyFont="1" applyFill="1" applyBorder="1" applyAlignment="1" applyProtection="1">
      <alignment horizontal="center" wrapText="1"/>
      <protection locked="0"/>
    </xf>
    <xf numFmtId="0" fontId="44" fillId="2" borderId="4" xfId="0" applyFont="1" applyFill="1" applyBorder="1" applyAlignment="1" applyProtection="1">
      <alignment horizontal="center" vertical="center" wrapText="1"/>
      <protection locked="0"/>
    </xf>
    <xf numFmtId="0" fontId="44" fillId="2" borderId="10" xfId="0" applyFont="1" applyFill="1" applyBorder="1" applyAlignment="1" applyProtection="1">
      <alignment horizontal="center" vertical="center" wrapText="1"/>
      <protection locked="0"/>
    </xf>
    <xf numFmtId="0" fontId="44" fillId="2" borderId="4" xfId="0" applyFont="1" applyFill="1" applyBorder="1" applyAlignment="1">
      <alignment horizontal="center" vertical="center" wrapText="1"/>
    </xf>
    <xf numFmtId="0" fontId="44" fillId="2" borderId="10" xfId="0" applyFont="1" applyFill="1" applyBorder="1" applyAlignment="1">
      <alignment horizontal="center" vertical="center" wrapText="1"/>
    </xf>
    <xf numFmtId="0" fontId="44" fillId="3" borderId="4" xfId="0" applyFont="1" applyFill="1" applyBorder="1" applyAlignment="1">
      <alignment horizontal="center" vertical="center" wrapText="1"/>
    </xf>
    <xf numFmtId="0" fontId="44" fillId="3" borderId="10" xfId="0" applyFont="1" applyFill="1" applyBorder="1" applyAlignment="1">
      <alignment horizontal="center" vertical="center" wrapText="1"/>
    </xf>
    <xf numFmtId="0" fontId="40" fillId="3" borderId="4" xfId="0" applyFont="1" applyFill="1" applyBorder="1" applyAlignment="1" applyProtection="1">
      <alignment horizontal="center" wrapText="1"/>
      <protection locked="0"/>
    </xf>
    <xf numFmtId="0" fontId="40" fillId="3" borderId="10" xfId="0" applyFont="1" applyFill="1" applyBorder="1" applyAlignment="1" applyProtection="1">
      <alignment horizontal="center" wrapText="1"/>
      <protection locked="0"/>
    </xf>
    <xf numFmtId="0" fontId="55" fillId="19" borderId="29" xfId="0" applyFont="1" applyFill="1" applyBorder="1" applyAlignment="1">
      <alignment horizontal="center" vertical="center"/>
    </xf>
    <xf numFmtId="0" fontId="55" fillId="19" borderId="20" xfId="0" applyFont="1" applyFill="1" applyBorder="1" applyAlignment="1">
      <alignment horizontal="center" vertical="center"/>
    </xf>
    <xf numFmtId="0" fontId="55" fillId="19" borderId="35" xfId="0" applyFont="1" applyFill="1" applyBorder="1" applyAlignment="1">
      <alignment horizontal="center" vertical="center"/>
    </xf>
    <xf numFmtId="0" fontId="44" fillId="3" borderId="4" xfId="0" applyFont="1" applyFill="1" applyBorder="1" applyAlignment="1" applyProtection="1">
      <alignment horizontal="center" vertical="center" wrapText="1"/>
      <protection locked="0"/>
    </xf>
    <xf numFmtId="0" fontId="44" fillId="3" borderId="10" xfId="0" applyFont="1" applyFill="1" applyBorder="1" applyAlignment="1" applyProtection="1">
      <alignment horizontal="center" vertical="center" wrapText="1"/>
      <protection locked="0"/>
    </xf>
    <xf numFmtId="0" fontId="0" fillId="7" borderId="1" xfId="0" applyFill="1" applyBorder="1" applyAlignment="1">
      <alignment horizontal="center"/>
    </xf>
    <xf numFmtId="11" fontId="0" fillId="7" borderId="4" xfId="0" applyNumberFormat="1" applyFill="1" applyBorder="1" applyAlignment="1">
      <alignment horizontal="center"/>
    </xf>
    <xf numFmtId="11" fontId="0" fillId="7" borderId="10" xfId="0" applyNumberFormat="1" applyFill="1" applyBorder="1" applyAlignment="1">
      <alignment horizontal="center"/>
    </xf>
    <xf numFmtId="11" fontId="39" fillId="7" borderId="4" xfId="0" applyNumberFormat="1" applyFont="1" applyFill="1" applyBorder="1" applyAlignment="1">
      <alignment horizontal="center"/>
    </xf>
    <xf numFmtId="0" fontId="0" fillId="7" borderId="4" xfId="0" applyFill="1" applyBorder="1" applyAlignment="1">
      <alignment horizontal="center"/>
    </xf>
    <xf numFmtId="0" fontId="0" fillId="7" borderId="10" xfId="0" applyFill="1" applyBorder="1" applyAlignment="1">
      <alignment horizontal="center"/>
    </xf>
    <xf numFmtId="0" fontId="0" fillId="8" borderId="4" xfId="0" applyFill="1" applyBorder="1" applyAlignment="1">
      <alignment horizontal="center"/>
    </xf>
    <xf numFmtId="0" fontId="0" fillId="8" borderId="10" xfId="0" applyFill="1" applyBorder="1" applyAlignment="1">
      <alignment horizontal="center"/>
    </xf>
    <xf numFmtId="0" fontId="55" fillId="6" borderId="19" xfId="0" applyFont="1" applyFill="1" applyBorder="1" applyAlignment="1">
      <alignment horizontal="center"/>
    </xf>
    <xf numFmtId="0" fontId="55" fillId="6" borderId="25" xfId="0" applyFont="1" applyFill="1" applyBorder="1" applyAlignment="1">
      <alignment horizontal="center"/>
    </xf>
    <xf numFmtId="0" fontId="0" fillId="8" borderId="1" xfId="0" applyFill="1" applyBorder="1" applyAlignment="1">
      <alignment horizontal="center"/>
    </xf>
    <xf numFmtId="0" fontId="0" fillId="8" borderId="41" xfId="0" applyFill="1" applyBorder="1" applyAlignment="1">
      <alignment horizontal="center"/>
    </xf>
    <xf numFmtId="0" fontId="55" fillId="9" borderId="36" xfId="0" applyFont="1" applyFill="1" applyBorder="1" applyAlignment="1">
      <alignment horizontal="center"/>
    </xf>
    <xf numFmtId="0" fontId="55" fillId="9" borderId="18" xfId="0" applyFont="1" applyFill="1" applyBorder="1" applyAlignment="1">
      <alignment horizontal="center"/>
    </xf>
    <xf numFmtId="0" fontId="55" fillId="9" borderId="25" xfId="0" applyFont="1" applyFill="1" applyBorder="1" applyAlignment="1">
      <alignment horizontal="center"/>
    </xf>
    <xf numFmtId="0" fontId="39" fillId="10" borderId="4" xfId="0" applyFont="1" applyFill="1" applyBorder="1" applyAlignment="1">
      <alignment horizontal="center" vertical="center"/>
    </xf>
    <xf numFmtId="0" fontId="39" fillId="10" borderId="9" xfId="0" applyFont="1" applyFill="1" applyBorder="1" applyAlignment="1">
      <alignment horizontal="center" vertical="center"/>
    </xf>
    <xf numFmtId="0" fontId="39" fillId="10" borderId="10" xfId="0" applyFont="1" applyFill="1" applyBorder="1" applyAlignment="1">
      <alignment horizontal="center" vertical="center"/>
    </xf>
    <xf numFmtId="0" fontId="39" fillId="12" borderId="4" xfId="0" applyFont="1" applyFill="1" applyBorder="1" applyAlignment="1">
      <alignment horizontal="center"/>
    </xf>
    <xf numFmtId="0" fontId="39" fillId="12" borderId="9" xfId="0" applyFont="1" applyFill="1" applyBorder="1" applyAlignment="1">
      <alignment horizontal="center"/>
    </xf>
    <xf numFmtId="0" fontId="39" fillId="12" borderId="10" xfId="0" applyFont="1" applyFill="1" applyBorder="1" applyAlignment="1">
      <alignment horizontal="center"/>
    </xf>
    <xf numFmtId="0" fontId="0" fillId="14" borderId="4" xfId="0" applyFill="1" applyBorder="1" applyAlignment="1" applyProtection="1">
      <alignment horizontal="center"/>
      <protection locked="0"/>
    </xf>
    <xf numFmtId="0" fontId="0" fillId="14" borderId="10" xfId="0" applyFill="1" applyBorder="1" applyAlignment="1" applyProtection="1">
      <alignment horizontal="center"/>
      <protection locked="0"/>
    </xf>
    <xf numFmtId="0" fontId="0" fillId="0" borderId="41" xfId="0" applyBorder="1" applyAlignment="1">
      <alignment horizontal="center" vertical="center"/>
    </xf>
    <xf numFmtId="0" fontId="0" fillId="0" borderId="57" xfId="0" applyBorder="1" applyAlignment="1">
      <alignment horizontal="center" vertical="center"/>
    </xf>
    <xf numFmtId="0" fontId="0" fillId="0" borderId="21" xfId="0" applyBorder="1" applyAlignment="1">
      <alignment horizontal="center" vertical="center"/>
    </xf>
    <xf numFmtId="0" fontId="39" fillId="10" borderId="4" xfId="0" applyFont="1" applyFill="1" applyBorder="1" applyAlignment="1">
      <alignment horizontal="center" wrapText="1"/>
    </xf>
    <xf numFmtId="0" fontId="39" fillId="10" borderId="9" xfId="0" applyFont="1" applyFill="1" applyBorder="1" applyAlignment="1">
      <alignment horizontal="center" wrapText="1"/>
    </xf>
    <xf numFmtId="0" fontId="39" fillId="10" borderId="10" xfId="0" applyFont="1" applyFill="1" applyBorder="1" applyAlignment="1">
      <alignment horizontal="center" wrapText="1"/>
    </xf>
    <xf numFmtId="0" fontId="57" fillId="10" borderId="4" xfId="0" applyFont="1" applyFill="1" applyBorder="1" applyAlignment="1">
      <alignment horizontal="center"/>
    </xf>
    <xf numFmtId="0" fontId="57" fillId="10" borderId="9" xfId="0" applyFont="1" applyFill="1" applyBorder="1" applyAlignment="1">
      <alignment horizontal="center"/>
    </xf>
    <xf numFmtId="0" fontId="57" fillId="10" borderId="10" xfId="0" applyFont="1" applyFill="1" applyBorder="1" applyAlignment="1">
      <alignment horizontal="center"/>
    </xf>
    <xf numFmtId="0" fontId="55" fillId="12" borderId="19" xfId="0" applyFont="1" applyFill="1" applyBorder="1" applyAlignment="1">
      <alignment horizontal="center"/>
    </xf>
    <xf numFmtId="0" fontId="55" fillId="12" borderId="18" xfId="0" applyFont="1" applyFill="1" applyBorder="1" applyAlignment="1">
      <alignment horizontal="center"/>
    </xf>
    <xf numFmtId="0" fontId="55" fillId="12" borderId="25" xfId="0" applyFont="1" applyFill="1" applyBorder="1" applyAlignment="1">
      <alignment horizontal="center"/>
    </xf>
    <xf numFmtId="0" fontId="57" fillId="10" borderId="22" xfId="0" applyFont="1" applyFill="1" applyBorder="1" applyAlignment="1">
      <alignment horizontal="center"/>
    </xf>
    <xf numFmtId="0" fontId="57" fillId="10" borderId="23" xfId="0" applyFont="1" applyFill="1" applyBorder="1" applyAlignment="1">
      <alignment horizontal="center"/>
    </xf>
    <xf numFmtId="0" fontId="57" fillId="10" borderId="24" xfId="0" applyFont="1" applyFill="1" applyBorder="1" applyAlignment="1">
      <alignment horizontal="center"/>
    </xf>
    <xf numFmtId="0" fontId="55" fillId="10" borderId="19" xfId="0" applyFont="1" applyFill="1" applyBorder="1" applyAlignment="1">
      <alignment horizontal="center"/>
    </xf>
    <xf numFmtId="0" fontId="55" fillId="10" borderId="18" xfId="0" applyFont="1" applyFill="1" applyBorder="1" applyAlignment="1">
      <alignment horizontal="center"/>
    </xf>
    <xf numFmtId="0" fontId="55" fillId="10" borderId="25" xfId="0" applyFont="1" applyFill="1" applyBorder="1" applyAlignment="1">
      <alignment horizontal="center"/>
    </xf>
    <xf numFmtId="0" fontId="0" fillId="12" borderId="4" xfId="0" applyFill="1" applyBorder="1" applyAlignment="1">
      <alignment horizontal="left"/>
    </xf>
    <xf numFmtId="0" fontId="0" fillId="12" borderId="9" xfId="0" applyFill="1" applyBorder="1" applyAlignment="1">
      <alignment horizontal="left"/>
    </xf>
    <xf numFmtId="0" fontId="0" fillId="12" borderId="10" xfId="0" applyFill="1" applyBorder="1" applyAlignment="1">
      <alignment horizontal="left"/>
    </xf>
    <xf numFmtId="0" fontId="0" fillId="10" borderId="4" xfId="0" applyFill="1" applyBorder="1" applyAlignment="1">
      <alignment horizontal="center"/>
    </xf>
    <xf numFmtId="0" fontId="0" fillId="10" borderId="9" xfId="0" applyFill="1" applyBorder="1" applyAlignment="1">
      <alignment horizontal="center"/>
    </xf>
    <xf numFmtId="0" fontId="0" fillId="10" borderId="10" xfId="0" applyFill="1" applyBorder="1" applyAlignment="1">
      <alignment horizontal="center"/>
    </xf>
    <xf numFmtId="0" fontId="57" fillId="12" borderId="4" xfId="0" applyFont="1" applyFill="1" applyBorder="1" applyAlignment="1">
      <alignment horizontal="center"/>
    </xf>
    <xf numFmtId="0" fontId="57" fillId="12" borderId="9" xfId="0" applyFont="1" applyFill="1" applyBorder="1" applyAlignment="1">
      <alignment horizontal="center"/>
    </xf>
    <xf numFmtId="0" fontId="57" fillId="12" borderId="10" xfId="0" applyFont="1" applyFill="1" applyBorder="1" applyAlignment="1">
      <alignment horizontal="center"/>
    </xf>
    <xf numFmtId="0" fontId="0" fillId="12" borderId="4" xfId="0" applyFill="1" applyBorder="1" applyAlignment="1">
      <alignment horizontal="center"/>
    </xf>
    <xf numFmtId="0" fontId="0" fillId="12" borderId="9" xfId="0" applyFill="1" applyBorder="1" applyAlignment="1">
      <alignment horizontal="center"/>
    </xf>
    <xf numFmtId="0" fontId="0" fillId="12" borderId="10" xfId="0" applyFill="1" applyBorder="1" applyAlignment="1">
      <alignment horizontal="center"/>
    </xf>
    <xf numFmtId="0" fontId="0" fillId="0" borderId="56" xfId="0" applyBorder="1" applyAlignment="1">
      <alignment horizontal="center"/>
    </xf>
    <xf numFmtId="0" fontId="0" fillId="0" borderId="47" xfId="0" applyBorder="1" applyAlignment="1">
      <alignment horizontal="center"/>
    </xf>
    <xf numFmtId="0" fontId="0" fillId="0" borderId="45"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2" xfId="0" applyBorder="1" applyAlignment="1">
      <alignment horizontal="center"/>
    </xf>
    <xf numFmtId="0" fontId="0" fillId="0" borderId="8" xfId="0" applyBorder="1" applyAlignment="1">
      <alignment horizontal="center"/>
    </xf>
    <xf numFmtId="0" fontId="39" fillId="0" borderId="41" xfId="0" applyFont="1" applyBorder="1" applyAlignment="1">
      <alignment horizontal="center" vertical="center"/>
    </xf>
    <xf numFmtId="0" fontId="39" fillId="0" borderId="57" xfId="0" applyFont="1" applyBorder="1" applyAlignment="1">
      <alignment horizontal="center" vertical="center"/>
    </xf>
    <xf numFmtId="0" fontId="39" fillId="0" borderId="21" xfId="0" applyFont="1" applyBorder="1" applyAlignment="1">
      <alignment horizontal="center" vertical="center"/>
    </xf>
    <xf numFmtId="0" fontId="57" fillId="10" borderId="13" xfId="3" applyFont="1" applyFill="1" applyBorder="1" applyAlignment="1">
      <alignment horizontal="center"/>
    </xf>
    <xf numFmtId="0" fontId="57" fillId="10" borderId="4" xfId="3" applyFont="1" applyFill="1" applyBorder="1" applyAlignment="1">
      <alignment horizontal="center" vertical="center" wrapText="1"/>
    </xf>
    <xf numFmtId="0" fontId="57" fillId="10" borderId="9" xfId="3" applyFont="1" applyFill="1" applyBorder="1" applyAlignment="1">
      <alignment horizontal="center" vertical="center" wrapText="1"/>
    </xf>
    <xf numFmtId="0" fontId="57" fillId="10" borderId="10" xfId="3" applyFont="1" applyFill="1" applyBorder="1" applyAlignment="1">
      <alignment horizontal="center" vertical="center" wrapText="1"/>
    </xf>
    <xf numFmtId="0" fontId="55" fillId="10" borderId="4" xfId="0" applyFont="1" applyFill="1" applyBorder="1" applyAlignment="1">
      <alignment horizontal="center" vertical="center"/>
    </xf>
    <xf numFmtId="0" fontId="55" fillId="10" borderId="10" xfId="0" applyFont="1" applyFill="1" applyBorder="1" applyAlignment="1">
      <alignment horizontal="center" vertical="center"/>
    </xf>
    <xf numFmtId="0" fontId="39" fillId="12" borderId="4" xfId="0" applyFont="1" applyFill="1" applyBorder="1" applyAlignment="1">
      <alignment horizontal="left"/>
    </xf>
    <xf numFmtId="0" fontId="39" fillId="12" borderId="9" xfId="0" applyFont="1" applyFill="1" applyBorder="1" applyAlignment="1">
      <alignment horizontal="left"/>
    </xf>
    <xf numFmtId="0" fontId="39" fillId="12" borderId="10" xfId="0" applyFont="1" applyFill="1" applyBorder="1" applyAlignment="1">
      <alignment horizontal="left"/>
    </xf>
    <xf numFmtId="165" fontId="80" fillId="0" borderId="4" xfId="0" applyNumberFormat="1" applyFont="1" applyBorder="1" applyAlignment="1" applyProtection="1">
      <alignment horizontal="center" vertical="center" wrapText="1"/>
      <protection locked="0"/>
    </xf>
    <xf numFmtId="165" fontId="80" fillId="0" borderId="10" xfId="0" applyNumberFormat="1" applyFont="1" applyBorder="1" applyAlignment="1" applyProtection="1">
      <alignment horizontal="center" vertical="center" wrapText="1"/>
      <protection locked="0"/>
    </xf>
    <xf numFmtId="2" fontId="80" fillId="0" borderId="4" xfId="0" applyNumberFormat="1" applyFont="1" applyBorder="1" applyAlignment="1">
      <alignment horizontal="center" vertical="center" wrapText="1"/>
    </xf>
    <xf numFmtId="2" fontId="80" fillId="0" borderId="10" xfId="0" applyNumberFormat="1" applyFont="1" applyBorder="1" applyAlignment="1">
      <alignment horizontal="center" vertical="center" wrapText="1"/>
    </xf>
    <xf numFmtId="49" fontId="80" fillId="12" borderId="4" xfId="0" applyNumberFormat="1" applyFont="1" applyFill="1" applyBorder="1" applyAlignment="1">
      <alignment horizontal="center" vertical="center" wrapText="1"/>
    </xf>
    <xf numFmtId="49" fontId="80" fillId="12" borderId="10" xfId="0" applyNumberFormat="1" applyFont="1" applyFill="1" applyBorder="1" applyAlignment="1">
      <alignment horizontal="center" vertical="center" wrapText="1"/>
    </xf>
    <xf numFmtId="0" fontId="77" fillId="10" borderId="2" xfId="0" applyFont="1" applyFill="1" applyBorder="1" applyAlignment="1">
      <alignment horizontal="center"/>
    </xf>
    <xf numFmtId="0" fontId="78" fillId="12" borderId="4" xfId="0" applyFont="1" applyFill="1" applyBorder="1" applyAlignment="1">
      <alignment horizontal="center" vertical="center" wrapText="1"/>
    </xf>
    <xf numFmtId="0" fontId="78" fillId="12" borderId="10" xfId="0" applyFont="1" applyFill="1" applyBorder="1" applyAlignment="1">
      <alignment horizontal="center" vertical="center" wrapText="1"/>
    </xf>
    <xf numFmtId="0" fontId="78" fillId="12" borderId="4" xfId="0" applyFont="1" applyFill="1" applyBorder="1" applyAlignment="1">
      <alignment horizontal="center" wrapText="1"/>
    </xf>
    <xf numFmtId="0" fontId="78" fillId="12" borderId="10" xfId="0" applyFont="1" applyFill="1" applyBorder="1" applyAlignment="1">
      <alignment horizontal="center" wrapText="1"/>
    </xf>
    <xf numFmtId="0" fontId="79" fillId="12" borderId="4" xfId="0" applyFont="1" applyFill="1" applyBorder="1" applyAlignment="1">
      <alignment horizontal="center" vertical="center" wrapText="1"/>
    </xf>
    <xf numFmtId="0" fontId="79" fillId="12" borderId="10" xfId="0" applyFont="1" applyFill="1" applyBorder="1" applyAlignment="1">
      <alignment horizontal="center" vertical="center" wrapText="1"/>
    </xf>
    <xf numFmtId="2" fontId="80" fillId="0" borderId="1" xfId="0" applyNumberFormat="1" applyFont="1" applyBorder="1" applyAlignment="1">
      <alignment horizontal="center" vertical="center" wrapText="1"/>
    </xf>
    <xf numFmtId="49" fontId="80" fillId="12" borderId="1" xfId="0" applyNumberFormat="1" applyFont="1" applyFill="1" applyBorder="1" applyAlignment="1">
      <alignment horizontal="center" vertical="center" wrapText="1"/>
    </xf>
    <xf numFmtId="165" fontId="80" fillId="0" borderId="1" xfId="5" applyNumberFormat="1" applyFont="1" applyBorder="1" applyAlignment="1" applyProtection="1">
      <alignment horizontal="center" vertical="center" wrapText="1"/>
      <protection locked="0"/>
    </xf>
    <xf numFmtId="0" fontId="78" fillId="11" borderId="1" xfId="0" applyFont="1" applyFill="1" applyBorder="1" applyAlignment="1">
      <alignment horizontal="center" vertical="center" wrapText="1"/>
    </xf>
    <xf numFmtId="0" fontId="78" fillId="11" borderId="1" xfId="0" applyFont="1" applyFill="1" applyBorder="1" applyAlignment="1">
      <alignment horizontal="center" wrapText="1"/>
    </xf>
    <xf numFmtId="0" fontId="78" fillId="12" borderId="1" xfId="0" applyFont="1" applyFill="1" applyBorder="1" applyAlignment="1">
      <alignment horizontal="center" vertical="center" wrapText="1"/>
    </xf>
    <xf numFmtId="0" fontId="78" fillId="12" borderId="1" xfId="0" applyFont="1" applyFill="1" applyBorder="1" applyAlignment="1">
      <alignment horizontal="center" wrapText="1"/>
    </xf>
    <xf numFmtId="0" fontId="79" fillId="12" borderId="1" xfId="0" applyFont="1" applyFill="1" applyBorder="1" applyAlignment="1">
      <alignment horizontal="center" vertical="center" wrapText="1"/>
    </xf>
    <xf numFmtId="0" fontId="80" fillId="12" borderId="4" xfId="0" applyFont="1" applyFill="1" applyBorder="1" applyAlignment="1">
      <alignment horizontal="center" vertical="center" wrapText="1"/>
    </xf>
    <xf numFmtId="0" fontId="80" fillId="12" borderId="9" xfId="0" applyFont="1" applyFill="1" applyBorder="1" applyAlignment="1">
      <alignment horizontal="center" vertical="center" wrapText="1"/>
    </xf>
    <xf numFmtId="165" fontId="80" fillId="0" borderId="4" xfId="5" applyNumberFormat="1" applyFont="1" applyBorder="1" applyAlignment="1" applyProtection="1">
      <alignment horizontal="center" vertical="center" wrapText="1"/>
      <protection locked="0"/>
    </xf>
    <xf numFmtId="165" fontId="80" fillId="0" borderId="10" xfId="5" applyNumberFormat="1" applyFont="1" applyBorder="1" applyAlignment="1" applyProtection="1">
      <alignment horizontal="center" vertical="center" wrapText="1"/>
      <protection locked="0"/>
    </xf>
    <xf numFmtId="0" fontId="0" fillId="11" borderId="1" xfId="0" applyFill="1" applyBorder="1" applyAlignment="1">
      <alignment horizontal="center"/>
    </xf>
    <xf numFmtId="0" fontId="78" fillId="0" borderId="0" xfId="0" applyFont="1" applyAlignment="1">
      <alignment horizontal="center" wrapText="1"/>
    </xf>
    <xf numFmtId="0" fontId="111" fillId="0" borderId="1" xfId="0" applyFont="1" applyBorder="1" applyAlignment="1" applyProtection="1">
      <alignment horizontal="center" vertical="center" wrapText="1"/>
      <protection locked="0" hidden="1"/>
    </xf>
    <xf numFmtId="0" fontId="111" fillId="0" borderId="41" xfId="0" applyFont="1" applyBorder="1" applyAlignment="1" applyProtection="1">
      <alignment horizontal="center" vertical="center" wrapText="1"/>
      <protection locked="0" hidden="1"/>
    </xf>
    <xf numFmtId="0" fontId="39" fillId="0" borderId="1" xfId="5" applyFont="1" applyBorder="1" applyProtection="1">
      <protection locked="0"/>
    </xf>
    <xf numFmtId="0" fontId="39" fillId="0" borderId="1" xfId="5" applyBorder="1" applyAlignment="1" applyProtection="1">
      <alignment horizontal="left"/>
      <protection locked="0"/>
    </xf>
    <xf numFmtId="0" fontId="39" fillId="0" borderId="1" xfId="5" applyFont="1" applyBorder="1" applyAlignment="1" applyProtection="1">
      <alignment horizontal="left"/>
      <protection locked="0"/>
    </xf>
    <xf numFmtId="165" fontId="80" fillId="0" borderId="1" xfId="5" applyNumberFormat="1" applyFont="1" applyBorder="1" applyAlignment="1" applyProtection="1">
      <alignment horizontal="center" vertical="center" wrapText="1"/>
      <protection locked="0"/>
    </xf>
    <xf numFmtId="2" fontId="80" fillId="0" borderId="1" xfId="5" applyNumberFormat="1" applyFont="1" applyBorder="1" applyAlignment="1" applyProtection="1">
      <alignment horizontal="center" vertical="center" wrapText="1"/>
      <protection locked="0"/>
    </xf>
    <xf numFmtId="165" fontId="40" fillId="0" borderId="1" xfId="5" applyNumberFormat="1" applyFont="1" applyBorder="1" applyAlignment="1" applyProtection="1">
      <alignment horizontal="center"/>
      <protection locked="0"/>
    </xf>
    <xf numFmtId="165" fontId="80" fillId="0" borderId="1" xfId="5" applyNumberFormat="1" applyFont="1" applyBorder="1" applyAlignment="1" applyProtection="1">
      <alignment horizontal="center" vertical="center" wrapText="1"/>
      <protection locked="0"/>
    </xf>
    <xf numFmtId="2" fontId="80" fillId="0" borderId="1" xfId="5" applyNumberFormat="1" applyFont="1" applyBorder="1" applyAlignment="1" applyProtection="1">
      <alignment horizontal="center" vertical="center" wrapText="1"/>
      <protection locked="0"/>
    </xf>
    <xf numFmtId="165" fontId="40" fillId="0" borderId="1" xfId="5" applyNumberFormat="1" applyFont="1" applyBorder="1" applyAlignment="1" applyProtection="1">
      <alignment horizontal="center"/>
      <protection locked="0"/>
    </xf>
    <xf numFmtId="165" fontId="40" fillId="0" borderId="1" xfId="5" applyNumberFormat="1" applyFont="1" applyBorder="1" applyAlignment="1" applyProtection="1">
      <alignment horizontal="center"/>
      <protection locked="0"/>
    </xf>
    <xf numFmtId="165" fontId="40" fillId="0" borderId="1" xfId="5" applyNumberFormat="1" applyFont="1" applyBorder="1" applyAlignment="1" applyProtection="1">
      <alignment horizontal="center"/>
      <protection locked="0"/>
    </xf>
    <xf numFmtId="165" fontId="80" fillId="0" borderId="1" xfId="5" applyNumberFormat="1" applyFont="1" applyBorder="1" applyAlignment="1" applyProtection="1">
      <alignment horizontal="center" vertical="center" wrapText="1"/>
      <protection locked="0"/>
    </xf>
    <xf numFmtId="165" fontId="40" fillId="0" borderId="1" xfId="5" applyNumberFormat="1" applyFont="1" applyBorder="1" applyAlignment="1" applyProtection="1">
      <alignment horizontal="center"/>
      <protection locked="0"/>
    </xf>
    <xf numFmtId="165" fontId="80" fillId="0" borderId="1" xfId="5" applyNumberFormat="1" applyFont="1" applyBorder="1" applyAlignment="1" applyProtection="1">
      <alignment horizontal="center" vertical="center" wrapText="1"/>
      <protection locked="0"/>
    </xf>
  </cellXfs>
  <cellStyles count="45">
    <cellStyle name="Hipervínculo 2" xfId="21" xr:uid="{00000000-0005-0000-0000-000000000000}"/>
    <cellStyle name="Moneda 2" xfId="2" xr:uid="{00000000-0005-0000-0000-000001000000}"/>
    <cellStyle name="Moneda 2 2" xfId="7" xr:uid="{00000000-0005-0000-0000-000002000000}"/>
    <cellStyle name="Moneda 2 2 2" xfId="17" xr:uid="{00000000-0005-0000-0000-000003000000}"/>
    <cellStyle name="Moneda 2 2 2 2" xfId="40" xr:uid="{8C07D2A4-4746-4F5E-B86A-2E38694957CC}"/>
    <cellStyle name="Moneda 2 2 3" xfId="30" xr:uid="{003D0C4A-245E-491C-A4F3-0EF44D9E985F}"/>
    <cellStyle name="Moneda 2 3" xfId="10" xr:uid="{00000000-0005-0000-0000-000004000000}"/>
    <cellStyle name="Moneda 2 3 2" xfId="33" xr:uid="{ED8DEBDF-F1EA-4B55-AC4C-8E92896056B5}"/>
    <cellStyle name="Moneda 2 4" xfId="13" xr:uid="{00000000-0005-0000-0000-000005000000}"/>
    <cellStyle name="Moneda 2 4 2" xfId="36" xr:uid="{C9A2215D-1F71-427B-9320-4967F1C0123E}"/>
    <cellStyle name="Moneda 2 5" xfId="26" xr:uid="{3A8B12CB-DBD8-414D-A417-6DD1FBD26282}"/>
    <cellStyle name="Normal" xfId="0" builtinId="0"/>
    <cellStyle name="Normal 2" xfId="1" xr:uid="{00000000-0005-0000-0000-000007000000}"/>
    <cellStyle name="Normal 2 2" xfId="6" xr:uid="{00000000-0005-0000-0000-000008000000}"/>
    <cellStyle name="Normal 2 2 2" xfId="16" xr:uid="{00000000-0005-0000-0000-000009000000}"/>
    <cellStyle name="Normal 2 2 2 2" xfId="39" xr:uid="{23829EF9-9DCA-437C-83E9-60FE06FC86E4}"/>
    <cellStyle name="Normal 2 2 3" xfId="29" xr:uid="{616CECB2-742A-463B-9B7A-2CF6F68122A8}"/>
    <cellStyle name="Normal 2 3" xfId="9" xr:uid="{00000000-0005-0000-0000-00000A000000}"/>
    <cellStyle name="Normal 2 3 2" xfId="32" xr:uid="{69AE341A-E655-454E-BC52-8BD978E9BF39}"/>
    <cellStyle name="Normal 2 4" xfId="12" xr:uid="{00000000-0005-0000-0000-00000B000000}"/>
    <cellStyle name="Normal 2 4 2" xfId="35" xr:uid="{60FD5477-95E2-479B-8A97-2A793E73762D}"/>
    <cellStyle name="Normal 2 5" xfId="19" xr:uid="{00000000-0005-0000-0000-00000C000000}"/>
    <cellStyle name="Normal 2 5 2" xfId="42" xr:uid="{8442833C-6FE4-4B28-8F7C-A10BDA6CB2ED}"/>
    <cellStyle name="Normal 2 6" xfId="25" xr:uid="{3D7193FC-3701-4D57-B1C6-CFC495A814CD}"/>
    <cellStyle name="Normal 3" xfId="3" xr:uid="{00000000-0005-0000-0000-00000D000000}"/>
    <cellStyle name="Normal 3 2" xfId="8" xr:uid="{00000000-0005-0000-0000-00000E000000}"/>
    <cellStyle name="Normal 3 2 2" xfId="18" xr:uid="{00000000-0005-0000-0000-00000F000000}"/>
    <cellStyle name="Normal 3 2 2 2" xfId="41" xr:uid="{2D294FDC-C22A-43BD-93E8-BF09CE0967A5}"/>
    <cellStyle name="Normal 3 2 3" xfId="31" xr:uid="{20927E43-108A-4E5D-A64C-C52B623E267E}"/>
    <cellStyle name="Normal 3 3" xfId="11" xr:uid="{00000000-0005-0000-0000-000010000000}"/>
    <cellStyle name="Normal 3 3 2" xfId="34" xr:uid="{64CB63FD-99A2-4E72-8DFB-3761E463170D}"/>
    <cellStyle name="Normal 3 4" xfId="14" xr:uid="{00000000-0005-0000-0000-000011000000}"/>
    <cellStyle name="Normal 3 4 2" xfId="37" xr:uid="{4BF3E6A5-8C80-4BE7-982F-C93FBEDE71AD}"/>
    <cellStyle name="Normal 3 5" xfId="27" xr:uid="{C82110D9-D259-495C-8B84-07AC8C3322FD}"/>
    <cellStyle name="Normal 4" xfId="5" xr:uid="{00000000-0005-0000-0000-000012000000}"/>
    <cellStyle name="Normal 5" xfId="4" xr:uid="{00000000-0005-0000-0000-000013000000}"/>
    <cellStyle name="Normal 5 2" xfId="15" xr:uid="{00000000-0005-0000-0000-000014000000}"/>
    <cellStyle name="Normal 5 2 2" xfId="38" xr:uid="{C151E315-63E2-482D-9BB0-2326B7ADFB68}"/>
    <cellStyle name="Normal 5 3" xfId="28" xr:uid="{3E16DF6A-CC2B-4F15-9E1E-75DE25B1C699}"/>
    <cellStyle name="Normal 6" xfId="20" xr:uid="{00000000-0005-0000-0000-000015000000}"/>
    <cellStyle name="Normal 6 2" xfId="43" xr:uid="{C9DCCC44-86E8-4564-B6EA-F92C1151F0C9}"/>
    <cellStyle name="Porcentaje" xfId="23" builtinId="5"/>
    <cellStyle name="Porcentaje 2" xfId="22" xr:uid="{00000000-0005-0000-0000-000017000000}"/>
    <cellStyle name="Porcentaje 2 2" xfId="44" xr:uid="{5069A6DE-1D87-4DD4-91BA-D8ABB0EA66F8}"/>
    <cellStyle name="Porcentaje 3" xfId="24" xr:uid="{00000000-0005-0000-0000-000018000000}"/>
  </cellStyles>
  <dxfs count="167">
    <dxf>
      <fill>
        <patternFill>
          <bgColor rgb="FF92D050"/>
        </patternFill>
      </fill>
    </dxf>
    <dxf>
      <fill>
        <patternFill>
          <bgColor rgb="FFFF0000"/>
        </patternFill>
      </fill>
    </dxf>
    <dxf>
      <fill>
        <patternFill>
          <bgColor rgb="FF92D050"/>
        </patternFill>
      </fill>
    </dxf>
    <dxf>
      <fill>
        <patternFill>
          <bgColor rgb="FFFF0000"/>
        </patternFill>
      </fill>
    </dxf>
    <dxf>
      <fill>
        <patternFill patternType="lightVertical"/>
      </fill>
    </dxf>
    <dxf>
      <fill>
        <patternFill>
          <bgColor rgb="FF92D050"/>
        </patternFill>
      </fill>
    </dxf>
    <dxf>
      <fill>
        <patternFill>
          <bgColor rgb="FFFF0000"/>
        </patternFill>
      </fill>
    </dxf>
    <dxf>
      <fill>
        <patternFill patternType="lightVertical"/>
      </fill>
    </dxf>
    <dxf>
      <fill>
        <patternFill patternType="lightVertical"/>
      </fill>
    </dxf>
    <dxf>
      <fill>
        <patternFill patternType="lightVertical"/>
      </fill>
    </dxf>
    <dxf>
      <fill>
        <patternFill patternType="lightVertical"/>
      </fill>
    </dxf>
    <dxf>
      <fill>
        <patternFill patternType="lightVertical"/>
      </fill>
    </dxf>
    <dxf>
      <font>
        <color theme="0"/>
      </font>
      <border>
        <left style="thin">
          <color auto="1"/>
        </left>
        <right/>
        <top/>
        <bottom/>
        <vertical/>
        <horizontal/>
      </border>
    </dxf>
    <dxf>
      <font>
        <color rgb="FF00B050"/>
      </font>
    </dxf>
    <dxf>
      <font>
        <color theme="0"/>
      </font>
      <border>
        <right/>
        <top/>
        <bottom/>
        <vertical/>
        <horizontal/>
      </border>
    </dxf>
    <dxf>
      <font>
        <color theme="0"/>
      </font>
      <border>
        <right/>
        <top/>
        <bottom/>
        <vertical/>
        <horizontal/>
      </border>
    </dxf>
    <dxf>
      <fill>
        <patternFill patternType="lightVertical"/>
      </fill>
    </dxf>
    <dxf>
      <fill>
        <patternFill patternType="lightUp"/>
      </fill>
    </dxf>
    <dxf>
      <fill>
        <patternFill patternType="lightVertical">
          <fgColor rgb="FFFF0000"/>
        </patternFill>
      </fill>
    </dxf>
    <dxf>
      <fill>
        <patternFill patternType="lightUp"/>
      </fill>
    </dxf>
    <dxf>
      <fill>
        <patternFill>
          <bgColor rgb="FFFF0000"/>
        </patternFill>
      </fill>
    </dxf>
    <dxf>
      <fill>
        <patternFill>
          <bgColor rgb="FFFF0000"/>
        </patternFill>
      </fill>
    </dxf>
    <dxf>
      <fill>
        <patternFill patternType="lightVertical"/>
      </fill>
    </dxf>
    <dxf>
      <fill>
        <patternFill patternType="lightVertical">
          <fgColor rgb="FFFF0000"/>
        </patternFill>
      </fill>
    </dxf>
    <dxf>
      <fill>
        <patternFill patternType="lightUp"/>
      </fill>
    </dxf>
    <dxf>
      <fill>
        <patternFill patternType="lightVertical"/>
      </fill>
    </dxf>
    <dxf>
      <fill>
        <patternFill patternType="lightVertical"/>
      </fill>
    </dxf>
    <dxf>
      <border>
        <left/>
        <right/>
        <bottom/>
        <vertical/>
        <horizontal/>
      </border>
    </dxf>
    <dxf>
      <font>
        <color theme="0"/>
      </font>
      <border>
        <left/>
        <right/>
        <bottom/>
        <vertical/>
        <horizontal/>
      </border>
    </dxf>
    <dxf>
      <fill>
        <patternFill patternType="lightVertical"/>
      </fill>
    </dxf>
    <dxf>
      <fill>
        <patternFill patternType="lightVertical"/>
      </fill>
    </dxf>
    <dxf>
      <fill>
        <patternFill patternType="lightUp"/>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rgb="FFFF0000"/>
      </font>
    </dxf>
    <dxf>
      <font>
        <color rgb="FFFF0000"/>
      </font>
    </dxf>
    <dxf>
      <font>
        <color rgb="FFFF0000"/>
      </font>
    </dxf>
    <dxf>
      <fill>
        <patternFill patternType="mediumGray">
          <fgColor rgb="FFFF0000"/>
          <bgColor auto="1"/>
        </patternFill>
      </fill>
    </dxf>
    <dxf>
      <font>
        <color rgb="FFFF0000"/>
      </font>
    </dxf>
    <dxf>
      <fill>
        <patternFill patternType="mediumGray">
          <fgColor rgb="FFFF0000"/>
        </patternFill>
      </fill>
    </dxf>
    <dxf>
      <fill>
        <patternFill patternType="lightUp">
          <fgColor rgb="FFFF0000"/>
          <bgColor rgb="FFFF0000"/>
        </patternFill>
      </fill>
    </dxf>
    <dxf>
      <fill>
        <patternFill patternType="lightUp">
          <fgColor rgb="FFFF0000"/>
          <bgColor rgb="FFFF0000"/>
        </patternFill>
      </fill>
    </dxf>
    <dxf>
      <fill>
        <patternFill patternType="lightUp">
          <fgColor rgb="FFFF0000"/>
          <bgColor rgb="FFFF0000"/>
        </patternFill>
      </fill>
    </dxf>
    <dxf>
      <fill>
        <patternFill patternType="lightUp">
          <fgColor rgb="FFFF0000"/>
          <bgColor rgb="FFFF0000"/>
        </patternFill>
      </fill>
    </dxf>
    <dxf>
      <fill>
        <patternFill patternType="lightUp">
          <fgColor rgb="FFFF0000"/>
          <bgColor rgb="FFFF0000"/>
        </patternFill>
      </fill>
    </dxf>
    <dxf>
      <fill>
        <patternFill patternType="solid">
          <bgColor rgb="FF00B050"/>
        </patternFill>
      </fill>
    </dxf>
    <dxf>
      <fill>
        <patternFill>
          <bgColor rgb="FFFF0000"/>
        </patternFill>
      </fill>
    </dxf>
    <dxf>
      <fill>
        <patternFill>
          <fgColor rgb="FF00B050"/>
          <bgColor rgb="FF00B050"/>
        </patternFill>
      </fill>
    </dxf>
    <dxf>
      <fill>
        <patternFill patternType="solid">
          <bgColor rgb="FF00B050"/>
        </patternFill>
      </fill>
    </dxf>
    <dxf>
      <fill>
        <patternFill>
          <bgColor rgb="FFFF0000"/>
        </patternFill>
      </fill>
    </dxf>
    <dxf>
      <fill>
        <patternFill>
          <fgColor rgb="FF00B050"/>
          <bgColor rgb="FF00B050"/>
        </patternFill>
      </fill>
    </dxf>
    <dxf>
      <fill>
        <patternFill patternType="solid">
          <bgColor rgb="FF00B050"/>
        </patternFill>
      </fill>
    </dxf>
    <dxf>
      <fill>
        <patternFill>
          <bgColor rgb="FFFF0000"/>
        </patternFill>
      </fill>
    </dxf>
    <dxf>
      <fill>
        <patternFill>
          <fgColor rgb="FF00B050"/>
          <bgColor rgb="FF00B050"/>
        </patternFill>
      </fill>
    </dxf>
    <dxf>
      <fill>
        <patternFill patternType="mediumGray">
          <fgColor rgb="FFFF0000"/>
        </patternFill>
      </fill>
    </dxf>
    <dxf>
      <fill>
        <patternFill>
          <bgColor rgb="FFFF0000"/>
        </patternFill>
      </fill>
    </dxf>
    <dxf>
      <fill>
        <patternFill patternType="solid">
          <bgColor rgb="FF00B050"/>
        </patternFill>
      </fill>
    </dxf>
    <dxf>
      <fill>
        <patternFill>
          <fgColor rgb="FF00B050"/>
          <bgColor rgb="FF00B050"/>
        </patternFill>
      </fill>
    </dxf>
    <dxf>
      <fill>
        <patternFill patternType="solid">
          <bgColor rgb="FF00B050"/>
        </patternFill>
      </fill>
    </dxf>
    <dxf>
      <fill>
        <patternFill>
          <bgColor rgb="FFFF0000"/>
        </patternFill>
      </fill>
    </dxf>
    <dxf>
      <fill>
        <patternFill>
          <fgColor rgb="FF00B050"/>
          <bgColor rgb="FF00B050"/>
        </patternFill>
      </fill>
    </dxf>
    <dxf>
      <fill>
        <patternFill patternType="lightVertical"/>
      </fill>
    </dxf>
    <dxf>
      <fill>
        <patternFill patternType="lightGray">
          <fgColor rgb="FFFF0000"/>
          <bgColor rgb="FFFF0000"/>
        </patternFill>
      </fill>
    </dxf>
    <dxf>
      <fill>
        <patternFill patternType="lightVertical"/>
      </fill>
    </dxf>
    <dxf>
      <fill>
        <patternFill patternType="lightGray">
          <fgColor rgb="FFFF0000"/>
          <bgColor rgb="FFFF0000"/>
        </patternFill>
      </fill>
    </dxf>
    <dxf>
      <fill>
        <patternFill patternType="lightVertical"/>
      </fill>
    </dxf>
    <dxf>
      <fill>
        <patternFill patternType="lightGray">
          <fgColor rgb="FFFF0000"/>
          <bgColor rgb="FFFF0000"/>
        </patternFill>
      </fill>
    </dxf>
    <dxf>
      <fill>
        <patternFill patternType="lightVertical"/>
      </fill>
    </dxf>
    <dxf>
      <fill>
        <patternFill patternType="lightVertical"/>
      </fill>
    </dxf>
    <dxf>
      <fill>
        <patternFill patternType="mediumGray">
          <fgColor rgb="FFFF0000"/>
        </patternFill>
      </fill>
    </dxf>
    <dxf>
      <fill>
        <patternFill patternType="lightGray">
          <fgColor rgb="FFFF0000"/>
          <bgColor rgb="FFFF0000"/>
        </patternFill>
      </fill>
    </dxf>
    <dxf>
      <fill>
        <patternFill patternType="lightVertical"/>
      </fill>
    </dxf>
    <dxf>
      <font>
        <color theme="0"/>
      </font>
      <border>
        <left/>
        <right/>
        <vertical/>
        <horizontal/>
      </border>
    </dxf>
    <dxf>
      <font>
        <color theme="0"/>
      </font>
      <border>
        <left/>
        <right/>
        <vertical/>
        <horizontal/>
      </border>
    </dxf>
    <dxf>
      <fill>
        <patternFill>
          <bgColor rgb="FF92D050"/>
        </patternFill>
      </fill>
    </dxf>
    <dxf>
      <fill>
        <patternFill>
          <bgColor rgb="FFFFFF00"/>
        </patternFill>
      </fill>
    </dxf>
    <dxf>
      <fill>
        <patternFill>
          <bgColor rgb="FFFF0000"/>
        </patternFill>
      </fill>
    </dxf>
    <dxf>
      <fill>
        <patternFill patternType="lightVertical"/>
      </fill>
    </dxf>
    <dxf>
      <fill>
        <patternFill>
          <bgColor rgb="FFFF0000"/>
        </patternFill>
      </fill>
    </dxf>
    <dxf>
      <fill>
        <patternFill patternType="lightVertical"/>
      </fill>
    </dxf>
    <dxf>
      <fill>
        <patternFill patternType="lightVertical"/>
      </fill>
    </dxf>
    <dxf>
      <fill>
        <patternFill patternType="lightVertical"/>
      </fill>
    </dxf>
    <dxf>
      <fill>
        <patternFill patternType="lightVertical"/>
      </fill>
    </dxf>
    <dxf>
      <fill>
        <patternFill>
          <bgColor rgb="FFFF0000"/>
        </patternFill>
      </fill>
    </dxf>
    <dxf>
      <fill>
        <patternFill>
          <bgColor rgb="FFFF0000"/>
        </patternFill>
      </fill>
    </dxf>
    <dxf>
      <fill>
        <patternFill patternType="lightVertical"/>
      </fill>
    </dxf>
    <dxf>
      <fill>
        <patternFill patternType="lightVertical"/>
      </fill>
    </dxf>
    <dxf>
      <fill>
        <patternFill patternType="lightVertical"/>
      </fill>
    </dxf>
    <dxf>
      <fill>
        <patternFill patternType="lightVertical"/>
      </fill>
    </dxf>
    <dxf>
      <fill>
        <patternFill patternType="lightVertical"/>
      </fill>
    </dxf>
    <dxf>
      <fill>
        <patternFill patternType="lightVertical"/>
      </fill>
    </dxf>
    <dxf>
      <fill>
        <patternFill patternType="lightVertical"/>
      </fill>
    </dxf>
    <dxf>
      <fill>
        <patternFill patternType="lightVertical"/>
      </fill>
    </dxf>
    <dxf>
      <fill>
        <patternFill patternType="lightVertical"/>
      </fill>
    </dxf>
    <dxf>
      <fill>
        <patternFill patternType="solid">
          <fgColor rgb="FFFF0000"/>
          <bgColor rgb="FFFF0000"/>
        </patternFill>
      </fill>
    </dxf>
    <dxf>
      <fill>
        <patternFill>
          <bgColor rgb="FFFF0000"/>
        </patternFill>
      </fill>
    </dxf>
    <dxf>
      <fill>
        <patternFill>
          <bgColor rgb="FFFF0000"/>
        </patternFill>
      </fill>
    </dxf>
    <dxf>
      <fill>
        <patternFill patternType="solid">
          <fgColor rgb="FFFF0000"/>
          <bgColor rgb="FFFF0000"/>
        </patternFill>
      </fill>
    </dxf>
    <dxf>
      <fill>
        <patternFill>
          <bgColor rgb="FFFF0000"/>
        </patternFill>
      </fill>
    </dxf>
    <dxf>
      <fill>
        <patternFill patternType="solid">
          <fgColor rgb="FFFF0000"/>
          <bgColor rgb="FFFF0000"/>
        </patternFill>
      </fill>
    </dxf>
    <dxf>
      <fill>
        <patternFill>
          <bgColor rgb="FFFF0000"/>
        </patternFill>
      </fill>
    </dxf>
    <dxf>
      <fill>
        <patternFill patternType="solid">
          <fgColor rgb="FFFF0000"/>
          <bgColor rgb="FFFF0000"/>
        </patternFill>
      </fill>
    </dxf>
    <dxf>
      <fill>
        <patternFill patternType="solid">
          <fgColor rgb="FFFF0000"/>
          <bgColor rgb="FFFF0000"/>
        </patternFill>
      </fill>
    </dxf>
    <dxf>
      <fill>
        <patternFill>
          <bgColor rgb="FFFF0000"/>
        </patternFill>
      </fill>
    </dxf>
    <dxf>
      <fill>
        <patternFill patternType="lightVertical">
          <bgColor rgb="FFFF0000"/>
        </patternFill>
      </fill>
    </dxf>
    <dxf>
      <fill>
        <patternFill patternType="lightVertical">
          <bgColor rgb="FFFF0000"/>
        </patternFill>
      </fill>
    </dxf>
    <dxf>
      <fill>
        <patternFill patternType="lightVertical">
          <bgColor rgb="FFFF0000"/>
        </patternFill>
      </fill>
    </dxf>
    <dxf>
      <fill>
        <patternFill patternType="lightVertical">
          <bgColor rgb="FFFF0000"/>
        </patternFill>
      </fill>
    </dxf>
    <dxf>
      <fill>
        <patternFill patternType="lightVertical">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bgColor rgb="FFFF0000"/>
        </patternFill>
      </fill>
    </dxf>
    <dxf>
      <fill>
        <patternFill patternType="lightVertical"/>
      </fill>
    </dxf>
    <dxf>
      <fill>
        <patternFill patternType="lightVertical"/>
      </fill>
    </dxf>
    <dxf>
      <fill>
        <patternFill patternType="lightVertical"/>
      </fill>
    </dxf>
    <dxf>
      <fill>
        <patternFill>
          <bgColor rgb="FFFF0000"/>
        </patternFill>
      </fill>
    </dxf>
    <dxf>
      <fill>
        <patternFill>
          <bgColor rgb="FFFF0000"/>
        </patternFill>
      </fill>
    </dxf>
    <dxf>
      <fill>
        <patternFill patternType="lightVertical"/>
      </fill>
    </dxf>
    <dxf>
      <fill>
        <patternFill patternType="lightVertical"/>
      </fill>
    </dxf>
    <dxf>
      <fill>
        <patternFill patternType="lightVertical"/>
      </fill>
    </dxf>
    <dxf>
      <fill>
        <patternFill patternType="lightVertical"/>
      </fill>
    </dxf>
    <dxf>
      <fill>
        <patternFill patternType="lightVertical"/>
      </fill>
    </dxf>
    <dxf>
      <fill>
        <patternFill patternType="lightVertical"/>
      </fill>
    </dxf>
    <dxf>
      <fill>
        <patternFill patternType="lightVertical"/>
      </fill>
    </dxf>
    <dxf>
      <fill>
        <patternFill patternType="lightVertical"/>
      </fill>
    </dxf>
    <dxf>
      <fill>
        <patternFill patternType="lightVertical"/>
      </fill>
    </dxf>
    <dxf>
      <fill>
        <patternFill patternType="lightVertical">
          <fgColor auto="1"/>
        </patternFill>
      </fill>
    </dxf>
    <dxf>
      <fill>
        <patternFill patternType="lightVertical"/>
      </fill>
    </dxf>
    <dxf>
      <font>
        <strike val="0"/>
        <color rgb="FFFF0000"/>
      </font>
      <fill>
        <patternFill patternType="none">
          <bgColor auto="1"/>
        </patternFill>
      </fill>
    </dxf>
    <dxf>
      <font>
        <strike val="0"/>
        <color rgb="FFFF0000"/>
      </font>
      <fill>
        <patternFill patternType="none">
          <bgColor auto="1"/>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lightVertical"/>
      </fill>
    </dxf>
    <dxf>
      <fill>
        <patternFill patternType="lightVertical"/>
      </fill>
    </dxf>
    <dxf>
      <fill>
        <patternFill patternType="lightVertical"/>
      </fill>
    </dxf>
    <dxf>
      <fill>
        <patternFill patternType="lightVertical"/>
      </fill>
    </dxf>
    <dxf>
      <fill>
        <patternFill patternType="lightVertical"/>
      </fill>
    </dxf>
    <dxf>
      <fill>
        <patternFill patternType="lightVertical"/>
      </fill>
    </dxf>
    <dxf>
      <fill>
        <patternFill patternType="lightVertical"/>
      </fill>
    </dxf>
    <dxf>
      <fill>
        <patternFill patternType="lightVertical"/>
      </fill>
    </dxf>
    <dxf>
      <fill>
        <patternFill>
          <bgColor rgb="FFFF0000"/>
        </patternFill>
      </fill>
    </dxf>
    <dxf>
      <fill>
        <patternFill>
          <bgColor rgb="FFFF0000"/>
        </patternFill>
      </fill>
    </dxf>
    <dxf>
      <fill>
        <patternFill>
          <bgColor rgb="FFFF0000"/>
        </patternFill>
      </fill>
    </dxf>
    <dxf>
      <font>
        <color rgb="FFFF0000"/>
      </font>
      <fill>
        <patternFill patternType="none">
          <fgColor auto="1"/>
          <bgColor auto="1"/>
        </patternFill>
      </fill>
    </dxf>
    <dxf>
      <font>
        <color rgb="FFFF0000"/>
      </font>
      <fill>
        <patternFill patternType="none">
          <fgColor auto="1"/>
          <bgColor auto="1"/>
        </patternFill>
      </fill>
    </dxf>
    <dxf>
      <font>
        <color rgb="FFFF0000"/>
      </font>
      <fill>
        <patternFill patternType="none">
          <fgColor auto="1"/>
          <bgColor auto="1"/>
        </patternFill>
      </fill>
    </dxf>
    <dxf>
      <fill>
        <patternFill patternType="lightVertical"/>
      </fill>
    </dxf>
    <dxf>
      <fill>
        <patternFill patternType="lightVertical"/>
      </fill>
    </dxf>
    <dxf>
      <fill>
        <patternFill patternType="lightVertical"/>
      </fill>
    </dxf>
    <dxf>
      <fill>
        <patternFill patternType="lightVertical"/>
      </fill>
    </dxf>
    <dxf>
      <fill>
        <patternFill patternType="lightVertical">
          <fgColor auto="1"/>
        </patternFill>
      </fill>
    </dxf>
    <dxf>
      <fill>
        <patternFill patternType="lightVertical">
          <fgColor auto="1"/>
        </patternFill>
      </fill>
    </dxf>
    <dxf>
      <fill>
        <patternFill patternType="lightVertical"/>
      </fill>
    </dxf>
    <dxf>
      <fill>
        <patternFill>
          <bgColor rgb="FFFF0000"/>
        </patternFill>
      </fill>
    </dxf>
    <dxf>
      <fill>
        <patternFill>
          <bgColor rgb="FFFF0000"/>
        </patternFill>
      </fill>
    </dxf>
    <dxf>
      <fill>
        <patternFill patternType="lightVertical">
          <fgColor auto="1"/>
          <bgColor rgb="FFFF0000"/>
        </patternFill>
      </fill>
    </dxf>
    <dxf>
      <fill>
        <patternFill patternType="lightVertical"/>
      </fill>
    </dxf>
    <dxf>
      <fill>
        <patternFill patternType="lightVertical"/>
      </fill>
    </dxf>
    <dxf>
      <fill>
        <patternFill>
          <bgColor rgb="FFFF0000"/>
        </patternFill>
      </fill>
    </dxf>
    <dxf>
      <fill>
        <patternFill patternType="lightVertical"/>
      </fill>
    </dxf>
    <dxf>
      <fill>
        <patternFill patternType="lightVertica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s-CO" sz="1800">
                <a:solidFill>
                  <a:sysClr val="windowText" lastClr="000000"/>
                </a:solidFill>
              </a:rPr>
              <a:t>Error de Indicación</a:t>
            </a:r>
          </a:p>
        </c:rich>
      </c:tx>
      <c:layout>
        <c:manualLayout>
          <c:xMode val="edge"/>
          <c:yMode val="edge"/>
          <c:x val="0.43514519938791935"/>
          <c:y val="7.044026087459494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manualLayout>
          <c:layoutTarget val="inner"/>
          <c:xMode val="edge"/>
          <c:yMode val="edge"/>
          <c:x val="6.1890469048334985E-2"/>
          <c:y val="0.15582854201337654"/>
          <c:w val="0.86747941318521582"/>
          <c:h val="0.72209587112311147"/>
        </c:manualLayout>
      </c:layout>
      <c:scatterChart>
        <c:scatterStyle val="lineMarker"/>
        <c:varyColors val="0"/>
        <c:ser>
          <c:idx val="0"/>
          <c:order val="0"/>
          <c:tx>
            <c:strRef>
              <c:f>'Calculo P Conformidad'!$O$71</c:f>
              <c:strCache>
                <c:ptCount val="1"/>
                <c:pt idx="0">
                  <c:v>Error</c:v>
                </c:pt>
              </c:strCache>
            </c:strRef>
          </c:tx>
          <c:spPr>
            <a:ln w="25400" cap="rnd">
              <a:noFill/>
              <a:round/>
            </a:ln>
            <a:effectLst/>
          </c:spPr>
          <c:marker>
            <c:symbol val="circle"/>
            <c:size val="5"/>
            <c:spPr>
              <a:solidFill>
                <a:schemeClr val="tx1"/>
              </a:solidFill>
              <a:ln w="9525">
                <a:solidFill>
                  <a:schemeClr val="tx1"/>
                </a:solidFill>
              </a:ln>
              <a:effectLst/>
            </c:spPr>
          </c:marker>
          <c:dPt>
            <c:idx val="0"/>
            <c:marker>
              <c:symbol val="circle"/>
              <c:size val="5"/>
              <c:spPr>
                <a:solidFill>
                  <a:schemeClr val="tx1"/>
                </a:solidFill>
                <a:ln w="9525">
                  <a:solidFill>
                    <a:schemeClr val="tx1"/>
                  </a:solidFill>
                </a:ln>
                <a:effectLst/>
              </c:spPr>
            </c:marker>
            <c:bubble3D val="0"/>
            <c:spPr>
              <a:ln w="25400" cap="rnd">
                <a:solidFill>
                  <a:schemeClr val="tx1"/>
                </a:solidFill>
                <a:round/>
              </a:ln>
              <a:effectLst/>
            </c:spPr>
            <c:extLst>
              <c:ext xmlns:c16="http://schemas.microsoft.com/office/drawing/2014/chart" uri="{C3380CC4-5D6E-409C-BE32-E72D297353CC}">
                <c16:uniqueId val="{00000001-F7CC-4DB3-B208-2F201E5EDCFE}"/>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0"/>
            <c:plus>
              <c:numRef>
                <c:f>'Certificado de calibración'!$AJ$92:$AJ$94</c:f>
                <c:numCache>
                  <c:formatCode>General</c:formatCode>
                  <c:ptCount val="3"/>
                  <c:pt idx="0">
                    <c:v>0.64980120000000008</c:v>
                  </c:pt>
                  <c:pt idx="1">
                    <c:v>0.93572359999999999</c:v>
                  </c:pt>
                  <c:pt idx="2">
                    <c:v>1.6131149</c:v>
                  </c:pt>
                </c:numCache>
              </c:numRef>
            </c:plus>
            <c:minus>
              <c:numRef>
                <c:f>'Certificado de calibración'!$AJ$92:$AJ$94</c:f>
                <c:numCache>
                  <c:formatCode>General</c:formatCode>
                  <c:ptCount val="3"/>
                  <c:pt idx="0">
                    <c:v>0.64980120000000008</c:v>
                  </c:pt>
                  <c:pt idx="1">
                    <c:v>0.93572359999999999</c:v>
                  </c:pt>
                  <c:pt idx="2">
                    <c:v>1.6131149</c:v>
                  </c:pt>
                </c:numCache>
              </c:numRef>
            </c:minus>
            <c:spPr>
              <a:noFill/>
              <a:ln w="9525" cap="flat" cmpd="sng" algn="ctr">
                <a:solidFill>
                  <a:schemeClr val="tx1"/>
                </a:solidFill>
                <a:round/>
              </a:ln>
              <a:effectLst/>
            </c:spPr>
          </c:errBars>
          <c:xVal>
            <c:numRef>
              <c:f>'Calculo P Conformidad'!$N$73:$N$75</c:f>
              <c:numCache>
                <c:formatCode>0.0000</c:formatCode>
                <c:ptCount val="3"/>
                <c:pt idx="0">
                  <c:v>100</c:v>
                </c:pt>
                <c:pt idx="1">
                  <c:v>500</c:v>
                </c:pt>
                <c:pt idx="2">
                  <c:v>1000</c:v>
                </c:pt>
              </c:numCache>
            </c:numRef>
          </c:xVal>
          <c:yVal>
            <c:numRef>
              <c:f>'Calculo P Conformidad'!$O$73:$O$75</c:f>
              <c:numCache>
                <c:formatCode>0.000</c:formatCode>
                <c:ptCount val="3"/>
                <c:pt idx="0">
                  <c:v>3.0935875463061109</c:v>
                </c:pt>
                <c:pt idx="1">
                  <c:v>3.4518237993391949</c:v>
                </c:pt>
                <c:pt idx="2">
                  <c:v>4.4438303975805411</c:v>
                </c:pt>
              </c:numCache>
            </c:numRef>
          </c:yVal>
          <c:smooth val="0"/>
          <c:extLst>
            <c:ext xmlns:c16="http://schemas.microsoft.com/office/drawing/2014/chart" uri="{C3380CC4-5D6E-409C-BE32-E72D297353CC}">
              <c16:uniqueId val="{00000002-F7CC-4DB3-B208-2F201E5EDCFE}"/>
            </c:ext>
          </c:extLst>
        </c:ser>
        <c:ser>
          <c:idx val="1"/>
          <c:order val="1"/>
          <c:tx>
            <c:strRef>
              <c:f>'Calculo P Conformidad'!$C$72</c:f>
              <c:strCache>
                <c:ptCount val="1"/>
                <c:pt idx="0">
                  <c:v>AL=TL</c:v>
                </c:pt>
              </c:strCache>
            </c:strRef>
          </c:tx>
          <c:spPr>
            <a:ln w="12700" cap="flat">
              <a:noFill/>
              <a:miter lim="800000"/>
            </a:ln>
            <a:effectLst/>
          </c:spPr>
          <c:marker>
            <c:symbol val="diamond"/>
            <c:size val="7"/>
            <c:spPr>
              <a:solidFill>
                <a:schemeClr val="tx2">
                  <a:lumMod val="60000"/>
                  <a:lumOff val="40000"/>
                </a:schemeClr>
              </a:solidFill>
              <a:ln w="9525" cap="sq">
                <a:solidFill>
                  <a:srgbClr val="92D050"/>
                </a:solidFill>
                <a:bevel/>
                <a:headEnd w="lg" len="med"/>
              </a:ln>
              <a:effectLst/>
            </c:spPr>
          </c:marker>
          <c:dPt>
            <c:idx val="2"/>
            <c:marker>
              <c:symbol val="diamond"/>
              <c:size val="5"/>
              <c:spPr>
                <a:solidFill>
                  <a:schemeClr val="tx2">
                    <a:lumMod val="60000"/>
                    <a:lumOff val="40000"/>
                  </a:schemeClr>
                </a:solidFill>
                <a:ln w="9525" cap="sq">
                  <a:solidFill>
                    <a:srgbClr val="92D050"/>
                  </a:solidFill>
                  <a:bevel/>
                  <a:headEnd w="lg" len="med"/>
                </a:ln>
                <a:effectLst/>
              </c:spPr>
            </c:marker>
            <c:bubble3D val="0"/>
            <c:extLst>
              <c:ext xmlns:c16="http://schemas.microsoft.com/office/drawing/2014/chart" uri="{C3380CC4-5D6E-409C-BE32-E72D297353CC}">
                <c16:uniqueId val="{00000007-F7CC-4DB3-B208-2F201E5EDCFE}"/>
              </c:ext>
            </c:extLst>
          </c:dPt>
          <c:xVal>
            <c:numRef>
              <c:f>'Calculo P Conformidad'!$N$73:$N$75</c:f>
              <c:numCache>
                <c:formatCode>0.0000</c:formatCode>
                <c:ptCount val="3"/>
                <c:pt idx="0">
                  <c:v>100</c:v>
                </c:pt>
                <c:pt idx="1">
                  <c:v>500</c:v>
                </c:pt>
                <c:pt idx="2">
                  <c:v>1000</c:v>
                </c:pt>
              </c:numCache>
            </c:numRef>
          </c:xVal>
          <c:yVal>
            <c:numRef>
              <c:f>'Calculo P Conformidad'!$C$73:$C$75</c:f>
              <c:numCache>
                <c:formatCode>0.00</c:formatCode>
                <c:ptCount val="3"/>
                <c:pt idx="0">
                  <c:v>8</c:v>
                </c:pt>
                <c:pt idx="1">
                  <c:v>8</c:v>
                </c:pt>
                <c:pt idx="2">
                  <c:v>8</c:v>
                </c:pt>
              </c:numCache>
            </c:numRef>
          </c:yVal>
          <c:smooth val="0"/>
          <c:extLst>
            <c:ext xmlns:c16="http://schemas.microsoft.com/office/drawing/2014/chart" uri="{C3380CC4-5D6E-409C-BE32-E72D297353CC}">
              <c16:uniqueId val="{00000003-F7CC-4DB3-B208-2F201E5EDCFE}"/>
            </c:ext>
          </c:extLst>
        </c:ser>
        <c:ser>
          <c:idx val="2"/>
          <c:order val="2"/>
          <c:tx>
            <c:strRef>
              <c:f>'Calculo P Conformidad'!$D$72</c:f>
              <c:strCache>
                <c:ptCount val="1"/>
                <c:pt idx="0">
                  <c:v>- AL= -TL</c:v>
                </c:pt>
              </c:strCache>
            </c:strRef>
          </c:tx>
          <c:spPr>
            <a:ln w="12700" cap="sq">
              <a:noFill/>
              <a:bevel/>
            </a:ln>
            <a:effectLst/>
          </c:spPr>
          <c:marker>
            <c:symbol val="square"/>
            <c:size val="5"/>
            <c:spPr>
              <a:solidFill>
                <a:srgbClr val="0070C0"/>
              </a:solidFill>
              <a:ln w="9525">
                <a:solidFill>
                  <a:srgbClr val="00B050"/>
                </a:solidFill>
                <a:bevel/>
              </a:ln>
              <a:effectLst/>
            </c:spPr>
          </c:marker>
          <c:xVal>
            <c:numRef>
              <c:f>'Calculo P Conformidad'!$N$73:$N$75</c:f>
              <c:numCache>
                <c:formatCode>0.0000</c:formatCode>
                <c:ptCount val="3"/>
                <c:pt idx="0">
                  <c:v>100</c:v>
                </c:pt>
                <c:pt idx="1">
                  <c:v>500</c:v>
                </c:pt>
                <c:pt idx="2">
                  <c:v>1000</c:v>
                </c:pt>
              </c:numCache>
            </c:numRef>
          </c:xVal>
          <c:yVal>
            <c:numRef>
              <c:f>'Calculo P Conformidad'!$D$73:$D$75</c:f>
              <c:numCache>
                <c:formatCode>0.00</c:formatCode>
                <c:ptCount val="3"/>
                <c:pt idx="0">
                  <c:v>-8</c:v>
                </c:pt>
                <c:pt idx="1">
                  <c:v>-8</c:v>
                </c:pt>
                <c:pt idx="2">
                  <c:v>-8</c:v>
                </c:pt>
              </c:numCache>
            </c:numRef>
          </c:yVal>
          <c:smooth val="0"/>
          <c:extLst>
            <c:ext xmlns:c16="http://schemas.microsoft.com/office/drawing/2014/chart" uri="{C3380CC4-5D6E-409C-BE32-E72D297353CC}">
              <c16:uniqueId val="{00000004-F7CC-4DB3-B208-2F201E5EDCFE}"/>
            </c:ext>
          </c:extLst>
        </c:ser>
        <c:ser>
          <c:idx val="3"/>
          <c:order val="3"/>
          <c:tx>
            <c:strRef>
              <c:f>'Calculo P Conformidad'!$B$72</c:f>
              <c:strCache>
                <c:ptCount val="1"/>
                <c:pt idx="0">
                  <c:v>TL</c:v>
                </c:pt>
              </c:strCache>
            </c:strRef>
          </c:tx>
          <c:spPr>
            <a:ln w="19050" cap="rnd">
              <a:solidFill>
                <a:srgbClr val="FF0000"/>
              </a:solidFill>
              <a:round/>
            </a:ln>
            <a:effectLst/>
          </c:spPr>
          <c:marker>
            <c:symbol val="circle"/>
            <c:size val="5"/>
            <c:spPr>
              <a:solidFill>
                <a:schemeClr val="accent4"/>
              </a:solidFill>
              <a:ln w="9525">
                <a:solidFill>
                  <a:srgbClr val="FF0000"/>
                </a:solidFill>
              </a:ln>
              <a:effectLst/>
            </c:spPr>
          </c:marker>
          <c:xVal>
            <c:numRef>
              <c:f>'Calculo P Conformidad'!$N$73:$N$75</c:f>
              <c:numCache>
                <c:formatCode>0.0000</c:formatCode>
                <c:ptCount val="3"/>
                <c:pt idx="0">
                  <c:v>100</c:v>
                </c:pt>
                <c:pt idx="1">
                  <c:v>500</c:v>
                </c:pt>
                <c:pt idx="2">
                  <c:v>1000</c:v>
                </c:pt>
              </c:numCache>
            </c:numRef>
          </c:xVal>
          <c:yVal>
            <c:numRef>
              <c:f>'Calculo P Conformidad'!$B$73:$B$75</c:f>
              <c:numCache>
                <c:formatCode>0.00</c:formatCode>
                <c:ptCount val="3"/>
                <c:pt idx="0">
                  <c:v>8</c:v>
                </c:pt>
                <c:pt idx="1">
                  <c:v>8</c:v>
                </c:pt>
                <c:pt idx="2">
                  <c:v>8</c:v>
                </c:pt>
              </c:numCache>
            </c:numRef>
          </c:yVal>
          <c:smooth val="1"/>
          <c:extLst>
            <c:ext xmlns:c16="http://schemas.microsoft.com/office/drawing/2014/chart" uri="{C3380CC4-5D6E-409C-BE32-E72D297353CC}">
              <c16:uniqueId val="{00000005-F7CC-4DB3-B208-2F201E5EDCFE}"/>
            </c:ext>
          </c:extLst>
        </c:ser>
        <c:ser>
          <c:idx val="4"/>
          <c:order val="4"/>
          <c:tx>
            <c:strRef>
              <c:f>'Calculo P Conformidad'!$E$72</c:f>
              <c:strCache>
                <c:ptCount val="1"/>
                <c:pt idx="0">
                  <c:v>-TL</c:v>
                </c:pt>
              </c:strCache>
            </c:strRef>
          </c:tx>
          <c:spPr>
            <a:ln w="19050" cap="rnd">
              <a:solidFill>
                <a:srgbClr val="FF0000"/>
              </a:solidFill>
              <a:round/>
            </a:ln>
            <a:effectLst/>
          </c:spPr>
          <c:marker>
            <c:symbol val="circle"/>
            <c:size val="5"/>
            <c:spPr>
              <a:solidFill>
                <a:schemeClr val="accent5"/>
              </a:solidFill>
              <a:ln w="9525">
                <a:solidFill>
                  <a:srgbClr val="FF0000"/>
                </a:solidFill>
              </a:ln>
              <a:effectLst/>
            </c:spPr>
          </c:marker>
          <c:xVal>
            <c:numRef>
              <c:f>'Calculo P Conformidad'!$N$73:$N$75</c:f>
              <c:numCache>
                <c:formatCode>0.0000</c:formatCode>
                <c:ptCount val="3"/>
                <c:pt idx="0">
                  <c:v>100</c:v>
                </c:pt>
                <c:pt idx="1">
                  <c:v>500</c:v>
                </c:pt>
                <c:pt idx="2">
                  <c:v>1000</c:v>
                </c:pt>
              </c:numCache>
            </c:numRef>
          </c:xVal>
          <c:yVal>
            <c:numRef>
              <c:f>'Calculo P Conformidad'!$E$73:$E$75</c:f>
              <c:numCache>
                <c:formatCode>0.00</c:formatCode>
                <c:ptCount val="3"/>
                <c:pt idx="0">
                  <c:v>-8</c:v>
                </c:pt>
                <c:pt idx="1">
                  <c:v>-8</c:v>
                </c:pt>
                <c:pt idx="2">
                  <c:v>-8</c:v>
                </c:pt>
              </c:numCache>
            </c:numRef>
          </c:yVal>
          <c:smooth val="1"/>
          <c:extLst>
            <c:ext xmlns:c16="http://schemas.microsoft.com/office/drawing/2014/chart" uri="{C3380CC4-5D6E-409C-BE32-E72D297353CC}">
              <c16:uniqueId val="{00000006-F7CC-4DB3-B208-2F201E5EDCFE}"/>
            </c:ext>
          </c:extLst>
        </c:ser>
        <c:dLbls>
          <c:showLegendKey val="0"/>
          <c:showVal val="0"/>
          <c:showCatName val="0"/>
          <c:showSerName val="0"/>
          <c:showPercent val="0"/>
          <c:showBubbleSize val="0"/>
        </c:dLbls>
        <c:axId val="1851176992"/>
        <c:axId val="1851180256"/>
      </c:scatterChart>
      <c:valAx>
        <c:axId val="1851176992"/>
        <c:scaling>
          <c:orientation val="minMax"/>
        </c:scaling>
        <c:delete val="0"/>
        <c:axPos val="b"/>
        <c:title>
          <c:tx>
            <c:strRef>
              <c:f>'Certificado de calibración'!$AH$99</c:f>
              <c:strCache>
                <c:ptCount val="1"/>
                <c:pt idx="0">
                  <c:v>Valor Nominal [ µL ]</c:v>
                </c:pt>
              </c:strCache>
            </c:strRef>
          </c:tx>
          <c:layout>
            <c:manualLayout>
              <c:xMode val="edge"/>
              <c:yMode val="edge"/>
              <c:x val="0.44201816018080997"/>
              <c:y val="0.850049786477831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419"/>
            </a:p>
          </c:txPr>
        </c:title>
        <c:numFmt formatCode="0" sourceLinked="0"/>
        <c:majorTickMark val="in"/>
        <c:minorTickMark val="none"/>
        <c:tickLblPos val="nextTo"/>
        <c:spPr>
          <a:noFill/>
          <a:ln w="12700" cap="flat" cmpd="sng" algn="ctr">
            <a:solidFill>
              <a:srgbClr val="00B05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1851180256"/>
        <c:crosses val="autoZero"/>
        <c:crossBetween val="midCat"/>
      </c:valAx>
      <c:valAx>
        <c:axId val="1851180256"/>
        <c:scaling>
          <c:orientation val="minMax"/>
        </c:scaling>
        <c:delete val="0"/>
        <c:axPos val="l"/>
        <c:title>
          <c:tx>
            <c:strRef>
              <c:f>'Certificado de calibración'!$AH$100</c:f>
              <c:strCache>
                <c:ptCount val="1"/>
                <c:pt idx="0">
                  <c:v>Error [ µL ]</c:v>
                </c:pt>
              </c:strCache>
            </c:strRef>
          </c:tx>
          <c:layout>
            <c:manualLayout>
              <c:xMode val="edge"/>
              <c:yMode val="edge"/>
              <c:x val="0"/>
              <c:y val="0.376068081783330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419"/>
            </a:p>
          </c:txPr>
        </c:title>
        <c:numFmt formatCode="#,##0.00" sourceLinked="0"/>
        <c:majorTickMark val="none"/>
        <c:minorTickMark val="none"/>
        <c:tickLblPos val="nextTo"/>
        <c:spPr>
          <a:noFill/>
          <a:ln w="9525" cap="flat" cmpd="sng" algn="ctr">
            <a:solidFill>
              <a:srgbClr val="00B05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1851176992"/>
        <c:crosses val="autoZero"/>
        <c:crossBetween val="midCat"/>
      </c:valAx>
      <c:spPr>
        <a:noFill/>
        <a:ln>
          <a:noFill/>
        </a:ln>
        <a:effectLst/>
      </c:spPr>
    </c:plotArea>
    <c:legend>
      <c:legendPos val="b"/>
      <c:layout>
        <c:manualLayout>
          <c:xMode val="edge"/>
          <c:yMode val="edge"/>
          <c:x val="0.68449123918220678"/>
          <c:y val="0.87323052786752631"/>
          <c:w val="0.31550876081779317"/>
          <c:h val="7.9599643292097511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chart>
  <c:spPr>
    <a:solidFill>
      <a:schemeClr val="bg1"/>
    </a:solidFill>
    <a:ln w="12700" cap="flat" cmpd="sng" algn="ctr">
      <a:solidFill>
        <a:schemeClr val="tx1"/>
      </a:solidFill>
      <a:round/>
    </a:ln>
    <a:effectLst/>
  </c:spPr>
  <c:txPr>
    <a:bodyPr/>
    <a:lstStyle/>
    <a:p>
      <a:pPr>
        <a:defRPr/>
      </a:pPr>
      <a:endParaRPr lang="es-419"/>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1333333333333332E-2"/>
          <c:y val="4.6296296296296294E-2"/>
          <c:w val="0.85733333333333328"/>
          <c:h val="0.8416746864975212"/>
        </c:manualLayout>
      </c:layout>
      <c:barChart>
        <c:barDir val="bar"/>
        <c:grouping val="clustered"/>
        <c:varyColors val="0"/>
        <c:ser>
          <c:idx val="0"/>
          <c:order val="0"/>
          <c:tx>
            <c:strRef>
              <c:f>'INCERTIDUMBRE DE LA MEDIDA'!$Q$9</c:f>
              <c:strCache>
                <c:ptCount val="1"/>
              </c:strCache>
            </c:strRef>
          </c:tx>
          <c:spPr>
            <a:solidFill>
              <a:schemeClr val="accent1"/>
            </a:solidFill>
            <a:ln>
              <a:noFill/>
            </a:ln>
            <a:effectLst/>
          </c:spPr>
          <c:invertIfNegative val="0"/>
          <c:val>
            <c:numRef>
              <c:f>'INCERTIDUMBRE DE LA MEDIDA'!$Q$10</c:f>
              <c:numCache>
                <c:formatCode>0.0E+00</c:formatCode>
                <c:ptCount val="1"/>
              </c:numCache>
            </c:numRef>
          </c:val>
          <c:extLst>
            <c:ext xmlns:c16="http://schemas.microsoft.com/office/drawing/2014/chart" uri="{C3380CC4-5D6E-409C-BE32-E72D297353CC}">
              <c16:uniqueId val="{00000000-A537-4B35-BA40-3142AEF2D526}"/>
            </c:ext>
          </c:extLst>
        </c:ser>
        <c:ser>
          <c:idx val="1"/>
          <c:order val="1"/>
          <c:tx>
            <c:strRef>
              <c:f>'INCERTIDUMBRE DE LA MEDIDA'!$Q$21</c:f>
              <c:strCache>
                <c:ptCount val="1"/>
              </c:strCache>
            </c:strRef>
          </c:tx>
          <c:spPr>
            <a:solidFill>
              <a:schemeClr val="accent2"/>
            </a:solidFill>
            <a:ln>
              <a:noFill/>
            </a:ln>
            <a:effectLst/>
          </c:spPr>
          <c:invertIfNegative val="0"/>
          <c:val>
            <c:numRef>
              <c:f>'INCERTIDUMBRE DE LA MEDIDA'!$Q$22</c:f>
              <c:numCache>
                <c:formatCode>0.0E+00</c:formatCode>
                <c:ptCount val="1"/>
              </c:numCache>
            </c:numRef>
          </c:val>
          <c:extLst>
            <c:ext xmlns:c16="http://schemas.microsoft.com/office/drawing/2014/chart" uri="{C3380CC4-5D6E-409C-BE32-E72D297353CC}">
              <c16:uniqueId val="{00000001-A537-4B35-BA40-3142AEF2D526}"/>
            </c:ext>
          </c:extLst>
        </c:ser>
        <c:ser>
          <c:idx val="2"/>
          <c:order val="2"/>
          <c:tx>
            <c:strRef>
              <c:f>'INCERTIDUMBRE DE LA MEDIDA'!$Q$29</c:f>
              <c:strCache>
                <c:ptCount val="1"/>
              </c:strCache>
            </c:strRef>
          </c:tx>
          <c:spPr>
            <a:solidFill>
              <a:schemeClr val="accent3"/>
            </a:solidFill>
            <a:ln>
              <a:noFill/>
            </a:ln>
            <a:effectLst/>
          </c:spPr>
          <c:invertIfNegative val="0"/>
          <c:val>
            <c:numRef>
              <c:f>'INCERTIDUMBRE DE LA MEDIDA'!$Q$30</c:f>
              <c:numCache>
                <c:formatCode>0.0E+00</c:formatCode>
                <c:ptCount val="1"/>
              </c:numCache>
            </c:numRef>
          </c:val>
          <c:extLst>
            <c:ext xmlns:c16="http://schemas.microsoft.com/office/drawing/2014/chart" uri="{C3380CC4-5D6E-409C-BE32-E72D297353CC}">
              <c16:uniqueId val="{00000002-A537-4B35-BA40-3142AEF2D526}"/>
            </c:ext>
          </c:extLst>
        </c:ser>
        <c:ser>
          <c:idx val="3"/>
          <c:order val="3"/>
          <c:tx>
            <c:strRef>
              <c:f>'INCERTIDUMBRE DE LA MEDIDA'!$Q$33</c:f>
              <c:strCache>
                <c:ptCount val="1"/>
              </c:strCache>
            </c:strRef>
          </c:tx>
          <c:spPr>
            <a:solidFill>
              <a:schemeClr val="accent4"/>
            </a:solidFill>
            <a:ln>
              <a:noFill/>
            </a:ln>
            <a:effectLst/>
          </c:spPr>
          <c:invertIfNegative val="0"/>
          <c:val>
            <c:numRef>
              <c:f>'INCERTIDUMBRE DE LA MEDIDA'!$Q$34</c:f>
              <c:numCache>
                <c:formatCode>0.0E+00</c:formatCode>
                <c:ptCount val="1"/>
              </c:numCache>
            </c:numRef>
          </c:val>
          <c:extLst>
            <c:ext xmlns:c16="http://schemas.microsoft.com/office/drawing/2014/chart" uri="{C3380CC4-5D6E-409C-BE32-E72D297353CC}">
              <c16:uniqueId val="{00000003-A537-4B35-BA40-3142AEF2D526}"/>
            </c:ext>
          </c:extLst>
        </c:ser>
        <c:ser>
          <c:idx val="4"/>
          <c:order val="4"/>
          <c:tx>
            <c:strRef>
              <c:f>'INCERTIDUMBRE DE LA MEDIDA'!$Q$37</c:f>
              <c:strCache>
                <c:ptCount val="1"/>
              </c:strCache>
            </c:strRef>
          </c:tx>
          <c:spPr>
            <a:solidFill>
              <a:schemeClr val="accent5"/>
            </a:solidFill>
            <a:ln>
              <a:noFill/>
            </a:ln>
            <a:effectLst/>
          </c:spPr>
          <c:invertIfNegative val="0"/>
          <c:val>
            <c:numRef>
              <c:f>'INCERTIDUMBRE DE LA MEDIDA'!$Q$38</c:f>
              <c:numCache>
                <c:formatCode>0.0E+00</c:formatCode>
                <c:ptCount val="1"/>
              </c:numCache>
            </c:numRef>
          </c:val>
          <c:extLst>
            <c:ext xmlns:c16="http://schemas.microsoft.com/office/drawing/2014/chart" uri="{C3380CC4-5D6E-409C-BE32-E72D297353CC}">
              <c16:uniqueId val="{00000004-A537-4B35-BA40-3142AEF2D526}"/>
            </c:ext>
          </c:extLst>
        </c:ser>
        <c:ser>
          <c:idx val="5"/>
          <c:order val="5"/>
          <c:tx>
            <c:strRef>
              <c:f>'INCERTIDUMBRE DE LA MEDIDA'!$Q$43</c:f>
              <c:strCache>
                <c:ptCount val="1"/>
              </c:strCache>
            </c:strRef>
          </c:tx>
          <c:spPr>
            <a:solidFill>
              <a:schemeClr val="accent6"/>
            </a:solidFill>
            <a:ln>
              <a:noFill/>
            </a:ln>
            <a:effectLst/>
          </c:spPr>
          <c:invertIfNegative val="0"/>
          <c:val>
            <c:numRef>
              <c:f>'INCERTIDUMBRE DE LA MEDIDA'!$Q$44</c:f>
              <c:numCache>
                <c:formatCode>General</c:formatCode>
                <c:ptCount val="1"/>
              </c:numCache>
            </c:numRef>
          </c:val>
          <c:extLst>
            <c:ext xmlns:c16="http://schemas.microsoft.com/office/drawing/2014/chart" uri="{C3380CC4-5D6E-409C-BE32-E72D297353CC}">
              <c16:uniqueId val="{00000005-A537-4B35-BA40-3142AEF2D526}"/>
            </c:ext>
          </c:extLst>
        </c:ser>
        <c:ser>
          <c:idx val="6"/>
          <c:order val="6"/>
          <c:tx>
            <c:strRef>
              <c:f>'INCERTIDUMBRE DE LA MEDIDA'!$Q$49</c:f>
              <c:strCache>
                <c:ptCount val="1"/>
              </c:strCache>
            </c:strRef>
          </c:tx>
          <c:spPr>
            <a:solidFill>
              <a:schemeClr val="accent1">
                <a:lumMod val="60000"/>
              </a:schemeClr>
            </a:solidFill>
            <a:ln>
              <a:noFill/>
            </a:ln>
            <a:effectLst/>
          </c:spPr>
          <c:invertIfNegative val="0"/>
          <c:val>
            <c:numRef>
              <c:f>'INCERTIDUMBRE DE LA MEDIDA'!#REF!</c:f>
              <c:numCache>
                <c:formatCode>General</c:formatCode>
                <c:ptCount val="1"/>
                <c:pt idx="0">
                  <c:v>1</c:v>
                </c:pt>
              </c:numCache>
            </c:numRef>
          </c:val>
          <c:extLst>
            <c:ext xmlns:c16="http://schemas.microsoft.com/office/drawing/2014/chart" uri="{C3380CC4-5D6E-409C-BE32-E72D297353CC}">
              <c16:uniqueId val="{00000006-A537-4B35-BA40-3142AEF2D526}"/>
            </c:ext>
          </c:extLst>
        </c:ser>
        <c:ser>
          <c:idx val="7"/>
          <c:order val="7"/>
          <c:tx>
            <c:strRef>
              <c:f>'INCERTIDUMBRE DE LA MEDIDA'!$Q$51</c:f>
              <c:strCache>
                <c:ptCount val="1"/>
              </c:strCache>
            </c:strRef>
          </c:tx>
          <c:spPr>
            <a:solidFill>
              <a:schemeClr val="accent2">
                <a:lumMod val="60000"/>
              </a:schemeClr>
            </a:solidFill>
            <a:ln>
              <a:noFill/>
            </a:ln>
            <a:effectLst/>
          </c:spPr>
          <c:invertIfNegative val="0"/>
          <c:val>
            <c:numRef>
              <c:f>'INCERTIDUMBRE DE LA MEDIDA'!$Q$61</c:f>
              <c:numCache>
                <c:formatCode>0.00E+00</c:formatCode>
                <c:ptCount val="1"/>
              </c:numCache>
            </c:numRef>
          </c:val>
          <c:extLst>
            <c:ext xmlns:c16="http://schemas.microsoft.com/office/drawing/2014/chart" uri="{C3380CC4-5D6E-409C-BE32-E72D297353CC}">
              <c16:uniqueId val="{00000007-A537-4B35-BA40-3142AEF2D526}"/>
            </c:ext>
          </c:extLst>
        </c:ser>
        <c:dLbls>
          <c:showLegendKey val="0"/>
          <c:showVal val="0"/>
          <c:showCatName val="0"/>
          <c:showSerName val="0"/>
          <c:showPercent val="0"/>
          <c:showBubbleSize val="0"/>
        </c:dLbls>
        <c:gapWidth val="182"/>
        <c:axId val="2030171264"/>
        <c:axId val="2030170176"/>
      </c:barChart>
      <c:catAx>
        <c:axId val="2030171264"/>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2030170176"/>
        <c:crosses val="autoZero"/>
        <c:auto val="1"/>
        <c:lblAlgn val="ctr"/>
        <c:lblOffset val="100"/>
        <c:noMultiLvlLbl val="0"/>
      </c:catAx>
      <c:valAx>
        <c:axId val="2030170176"/>
        <c:scaling>
          <c:orientation val="minMax"/>
        </c:scaling>
        <c:delete val="0"/>
        <c:axPos val="b"/>
        <c:majorGridlines>
          <c:spPr>
            <a:ln w="9525" cap="flat" cmpd="sng" algn="ctr">
              <a:solidFill>
                <a:schemeClr val="tx1">
                  <a:lumMod val="15000"/>
                  <a:lumOff val="85000"/>
                </a:schemeClr>
              </a:solidFill>
              <a:round/>
            </a:ln>
            <a:effectLst/>
          </c:spPr>
        </c:majorGridlines>
        <c:numFmt formatCode="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20301712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barChart>
        <c:barDir val="bar"/>
        <c:grouping val="clustered"/>
        <c:varyColors val="0"/>
        <c:ser>
          <c:idx val="0"/>
          <c:order val="0"/>
          <c:tx>
            <c:strRef>
              <c:f>'INCERTIDUMBRE DE LA MEDIDA'!$Q$70</c:f>
              <c:strCache>
                <c:ptCount val="1"/>
              </c:strCache>
            </c:strRef>
          </c:tx>
          <c:spPr>
            <a:solidFill>
              <a:schemeClr val="accent1"/>
            </a:solidFill>
            <a:ln>
              <a:noFill/>
            </a:ln>
            <a:effectLst/>
          </c:spPr>
          <c:invertIfNegative val="0"/>
          <c:val>
            <c:numRef>
              <c:f>'INCERTIDUMBRE DE LA MEDIDA'!$Q$71</c:f>
              <c:numCache>
                <c:formatCode>0.0E+00</c:formatCode>
                <c:ptCount val="1"/>
              </c:numCache>
            </c:numRef>
          </c:val>
          <c:extLst>
            <c:ext xmlns:c16="http://schemas.microsoft.com/office/drawing/2014/chart" uri="{C3380CC4-5D6E-409C-BE32-E72D297353CC}">
              <c16:uniqueId val="{00000000-5882-4B02-9478-C49B6CEF5A2F}"/>
            </c:ext>
          </c:extLst>
        </c:ser>
        <c:ser>
          <c:idx val="1"/>
          <c:order val="1"/>
          <c:tx>
            <c:strRef>
              <c:f>'INCERTIDUMBRE DE LA MEDIDA'!$Q$82</c:f>
              <c:strCache>
                <c:ptCount val="1"/>
              </c:strCache>
            </c:strRef>
          </c:tx>
          <c:spPr>
            <a:solidFill>
              <a:schemeClr val="accent2"/>
            </a:solidFill>
            <a:ln>
              <a:noFill/>
            </a:ln>
            <a:effectLst/>
          </c:spPr>
          <c:invertIfNegative val="0"/>
          <c:val>
            <c:numRef>
              <c:f>'INCERTIDUMBRE DE LA MEDIDA'!$Q$83</c:f>
              <c:numCache>
                <c:formatCode>0.0E+00</c:formatCode>
                <c:ptCount val="1"/>
              </c:numCache>
            </c:numRef>
          </c:val>
          <c:extLst>
            <c:ext xmlns:c16="http://schemas.microsoft.com/office/drawing/2014/chart" uri="{C3380CC4-5D6E-409C-BE32-E72D297353CC}">
              <c16:uniqueId val="{00000001-5882-4B02-9478-C49B6CEF5A2F}"/>
            </c:ext>
          </c:extLst>
        </c:ser>
        <c:ser>
          <c:idx val="2"/>
          <c:order val="2"/>
          <c:tx>
            <c:strRef>
              <c:f>'INCERTIDUMBRE DE LA MEDIDA'!$Q$90</c:f>
              <c:strCache>
                <c:ptCount val="1"/>
              </c:strCache>
            </c:strRef>
          </c:tx>
          <c:spPr>
            <a:solidFill>
              <a:schemeClr val="accent3"/>
            </a:solidFill>
            <a:ln>
              <a:noFill/>
            </a:ln>
            <a:effectLst/>
          </c:spPr>
          <c:invertIfNegative val="0"/>
          <c:val>
            <c:numRef>
              <c:f>'INCERTIDUMBRE DE LA MEDIDA'!$Q$91</c:f>
              <c:numCache>
                <c:formatCode>0.0E+00</c:formatCode>
                <c:ptCount val="1"/>
              </c:numCache>
            </c:numRef>
          </c:val>
          <c:extLst>
            <c:ext xmlns:c16="http://schemas.microsoft.com/office/drawing/2014/chart" uri="{C3380CC4-5D6E-409C-BE32-E72D297353CC}">
              <c16:uniqueId val="{00000002-5882-4B02-9478-C49B6CEF5A2F}"/>
            </c:ext>
          </c:extLst>
        </c:ser>
        <c:ser>
          <c:idx val="3"/>
          <c:order val="3"/>
          <c:tx>
            <c:strRef>
              <c:f>'INCERTIDUMBRE DE LA MEDIDA'!$Q$94</c:f>
              <c:strCache>
                <c:ptCount val="1"/>
              </c:strCache>
            </c:strRef>
          </c:tx>
          <c:spPr>
            <a:solidFill>
              <a:schemeClr val="accent4"/>
            </a:solidFill>
            <a:ln>
              <a:noFill/>
            </a:ln>
            <a:effectLst/>
          </c:spPr>
          <c:invertIfNegative val="0"/>
          <c:val>
            <c:numRef>
              <c:f>'INCERTIDUMBRE DE LA MEDIDA'!$Q$95</c:f>
              <c:numCache>
                <c:formatCode>0.0E+00</c:formatCode>
                <c:ptCount val="1"/>
              </c:numCache>
            </c:numRef>
          </c:val>
          <c:extLst>
            <c:ext xmlns:c16="http://schemas.microsoft.com/office/drawing/2014/chart" uri="{C3380CC4-5D6E-409C-BE32-E72D297353CC}">
              <c16:uniqueId val="{00000003-5882-4B02-9478-C49B6CEF5A2F}"/>
            </c:ext>
          </c:extLst>
        </c:ser>
        <c:ser>
          <c:idx val="4"/>
          <c:order val="4"/>
          <c:tx>
            <c:strRef>
              <c:f>'INCERTIDUMBRE DE LA MEDIDA'!$Q$98</c:f>
              <c:strCache>
                <c:ptCount val="1"/>
              </c:strCache>
            </c:strRef>
          </c:tx>
          <c:spPr>
            <a:solidFill>
              <a:schemeClr val="accent5"/>
            </a:solidFill>
            <a:ln>
              <a:noFill/>
            </a:ln>
            <a:effectLst/>
          </c:spPr>
          <c:invertIfNegative val="0"/>
          <c:val>
            <c:numRef>
              <c:f>'INCERTIDUMBRE DE LA MEDIDA'!$Q$99</c:f>
              <c:numCache>
                <c:formatCode>0.0E+00</c:formatCode>
                <c:ptCount val="1"/>
              </c:numCache>
            </c:numRef>
          </c:val>
          <c:extLst>
            <c:ext xmlns:c16="http://schemas.microsoft.com/office/drawing/2014/chart" uri="{C3380CC4-5D6E-409C-BE32-E72D297353CC}">
              <c16:uniqueId val="{00000004-5882-4B02-9478-C49B6CEF5A2F}"/>
            </c:ext>
          </c:extLst>
        </c:ser>
        <c:ser>
          <c:idx val="5"/>
          <c:order val="5"/>
          <c:tx>
            <c:strRef>
              <c:f>'INCERTIDUMBRE DE LA MEDIDA'!$Q$104</c:f>
              <c:strCache>
                <c:ptCount val="1"/>
              </c:strCache>
            </c:strRef>
          </c:tx>
          <c:spPr>
            <a:solidFill>
              <a:schemeClr val="accent6"/>
            </a:solidFill>
            <a:ln>
              <a:noFill/>
            </a:ln>
            <a:effectLst/>
          </c:spPr>
          <c:invertIfNegative val="0"/>
          <c:val>
            <c:numRef>
              <c:f>'INCERTIDUMBRE DE LA MEDIDA'!$Q$105</c:f>
              <c:numCache>
                <c:formatCode>General</c:formatCode>
                <c:ptCount val="1"/>
              </c:numCache>
            </c:numRef>
          </c:val>
          <c:extLst>
            <c:ext xmlns:c16="http://schemas.microsoft.com/office/drawing/2014/chart" uri="{C3380CC4-5D6E-409C-BE32-E72D297353CC}">
              <c16:uniqueId val="{00000005-5882-4B02-9478-C49B6CEF5A2F}"/>
            </c:ext>
          </c:extLst>
        </c:ser>
        <c:ser>
          <c:idx val="6"/>
          <c:order val="6"/>
          <c:tx>
            <c:strRef>
              <c:f>'INCERTIDUMBRE DE LA MEDIDA'!$Q$110</c:f>
              <c:strCache>
                <c:ptCount val="1"/>
              </c:strCache>
            </c:strRef>
          </c:tx>
          <c:spPr>
            <a:solidFill>
              <a:schemeClr val="accent1">
                <a:lumMod val="60000"/>
              </a:schemeClr>
            </a:solidFill>
            <a:ln>
              <a:noFill/>
            </a:ln>
            <a:effectLst/>
          </c:spPr>
          <c:invertIfNegative val="0"/>
          <c:val>
            <c:numRef>
              <c:f>'INCERTIDUMBRE DE LA MEDIDA'!#REF!</c:f>
              <c:numCache>
                <c:formatCode>General</c:formatCode>
                <c:ptCount val="1"/>
                <c:pt idx="0">
                  <c:v>1</c:v>
                </c:pt>
              </c:numCache>
            </c:numRef>
          </c:val>
          <c:extLst>
            <c:ext xmlns:c16="http://schemas.microsoft.com/office/drawing/2014/chart" uri="{C3380CC4-5D6E-409C-BE32-E72D297353CC}">
              <c16:uniqueId val="{00000006-5882-4B02-9478-C49B6CEF5A2F}"/>
            </c:ext>
          </c:extLst>
        </c:ser>
        <c:ser>
          <c:idx val="7"/>
          <c:order val="7"/>
          <c:tx>
            <c:strRef>
              <c:f>'INCERTIDUMBRE DE LA MEDIDA'!$Q$112</c:f>
              <c:strCache>
                <c:ptCount val="1"/>
              </c:strCache>
            </c:strRef>
          </c:tx>
          <c:spPr>
            <a:solidFill>
              <a:schemeClr val="accent2">
                <a:lumMod val="60000"/>
              </a:schemeClr>
            </a:solidFill>
            <a:ln>
              <a:noFill/>
            </a:ln>
            <a:effectLst/>
          </c:spPr>
          <c:invertIfNegative val="0"/>
          <c:val>
            <c:numRef>
              <c:f>'INCERTIDUMBRE DE LA MEDIDA'!$Q$122</c:f>
              <c:numCache>
                <c:formatCode>0.00E+00</c:formatCode>
                <c:ptCount val="1"/>
              </c:numCache>
            </c:numRef>
          </c:val>
          <c:extLst>
            <c:ext xmlns:c16="http://schemas.microsoft.com/office/drawing/2014/chart" uri="{C3380CC4-5D6E-409C-BE32-E72D297353CC}">
              <c16:uniqueId val="{00000007-5882-4B02-9478-C49B6CEF5A2F}"/>
            </c:ext>
          </c:extLst>
        </c:ser>
        <c:dLbls>
          <c:showLegendKey val="0"/>
          <c:showVal val="0"/>
          <c:showCatName val="0"/>
          <c:showSerName val="0"/>
          <c:showPercent val="0"/>
          <c:showBubbleSize val="0"/>
        </c:dLbls>
        <c:gapWidth val="182"/>
        <c:axId val="2030166368"/>
        <c:axId val="2030160928"/>
      </c:barChart>
      <c:catAx>
        <c:axId val="2030166368"/>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2030160928"/>
        <c:crosses val="autoZero"/>
        <c:auto val="1"/>
        <c:lblAlgn val="ctr"/>
        <c:lblOffset val="100"/>
        <c:noMultiLvlLbl val="0"/>
      </c:catAx>
      <c:valAx>
        <c:axId val="2030160928"/>
        <c:scaling>
          <c:orientation val="minMax"/>
        </c:scaling>
        <c:delete val="0"/>
        <c:axPos val="b"/>
        <c:majorGridlines>
          <c:spPr>
            <a:ln w="9525" cap="flat" cmpd="sng" algn="ctr">
              <a:solidFill>
                <a:schemeClr val="tx1">
                  <a:lumMod val="15000"/>
                  <a:lumOff val="85000"/>
                </a:schemeClr>
              </a:solidFill>
              <a:round/>
            </a:ln>
            <a:effectLst/>
          </c:spPr>
        </c:majorGridlines>
        <c:numFmt formatCode="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2030166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tx>
            <c:strRef>
              <c:f>'INCERTIDUMBRE DE LA MEDIDA'!$Q$131</c:f>
              <c:strCache>
                <c:ptCount val="1"/>
              </c:strCache>
            </c:strRef>
          </c:tx>
          <c:spPr>
            <a:solidFill>
              <a:schemeClr val="accent1"/>
            </a:solidFill>
            <a:ln>
              <a:noFill/>
            </a:ln>
            <a:effectLst/>
          </c:spPr>
          <c:invertIfNegative val="0"/>
          <c:val>
            <c:numRef>
              <c:f>'INCERTIDUMBRE DE LA MEDIDA'!$Q$132</c:f>
              <c:numCache>
                <c:formatCode>0.0E+00</c:formatCode>
                <c:ptCount val="1"/>
              </c:numCache>
            </c:numRef>
          </c:val>
          <c:extLst>
            <c:ext xmlns:c16="http://schemas.microsoft.com/office/drawing/2014/chart" uri="{C3380CC4-5D6E-409C-BE32-E72D297353CC}">
              <c16:uniqueId val="{00000000-5ACF-4A65-ADEA-A85B18CC661F}"/>
            </c:ext>
          </c:extLst>
        </c:ser>
        <c:ser>
          <c:idx val="1"/>
          <c:order val="1"/>
          <c:tx>
            <c:strRef>
              <c:f>'INCERTIDUMBRE DE LA MEDIDA'!$Q$143</c:f>
              <c:strCache>
                <c:ptCount val="1"/>
              </c:strCache>
            </c:strRef>
          </c:tx>
          <c:spPr>
            <a:solidFill>
              <a:schemeClr val="accent2"/>
            </a:solidFill>
            <a:ln>
              <a:noFill/>
            </a:ln>
            <a:effectLst/>
          </c:spPr>
          <c:invertIfNegative val="0"/>
          <c:val>
            <c:numRef>
              <c:f>'INCERTIDUMBRE DE LA MEDIDA'!$Q$144</c:f>
              <c:numCache>
                <c:formatCode>0.00000000</c:formatCode>
                <c:ptCount val="1"/>
              </c:numCache>
            </c:numRef>
          </c:val>
          <c:extLst>
            <c:ext xmlns:c16="http://schemas.microsoft.com/office/drawing/2014/chart" uri="{C3380CC4-5D6E-409C-BE32-E72D297353CC}">
              <c16:uniqueId val="{00000001-5ACF-4A65-ADEA-A85B18CC661F}"/>
            </c:ext>
          </c:extLst>
        </c:ser>
        <c:ser>
          <c:idx val="2"/>
          <c:order val="2"/>
          <c:tx>
            <c:strRef>
              <c:f>'INCERTIDUMBRE DE LA MEDIDA'!$Q$151</c:f>
              <c:strCache>
                <c:ptCount val="1"/>
              </c:strCache>
            </c:strRef>
          </c:tx>
          <c:spPr>
            <a:solidFill>
              <a:schemeClr val="accent3"/>
            </a:solidFill>
            <a:ln>
              <a:noFill/>
            </a:ln>
            <a:effectLst/>
          </c:spPr>
          <c:invertIfNegative val="0"/>
          <c:val>
            <c:numRef>
              <c:f>'INCERTIDUMBRE DE LA MEDIDA'!$Q$152</c:f>
              <c:numCache>
                <c:formatCode>0.0E+00</c:formatCode>
                <c:ptCount val="1"/>
              </c:numCache>
            </c:numRef>
          </c:val>
          <c:extLst>
            <c:ext xmlns:c16="http://schemas.microsoft.com/office/drawing/2014/chart" uri="{C3380CC4-5D6E-409C-BE32-E72D297353CC}">
              <c16:uniqueId val="{00000002-5ACF-4A65-ADEA-A85B18CC661F}"/>
            </c:ext>
          </c:extLst>
        </c:ser>
        <c:ser>
          <c:idx val="3"/>
          <c:order val="3"/>
          <c:tx>
            <c:strRef>
              <c:f>'INCERTIDUMBRE DE LA MEDIDA'!$Q$155</c:f>
              <c:strCache>
                <c:ptCount val="1"/>
              </c:strCache>
            </c:strRef>
          </c:tx>
          <c:spPr>
            <a:solidFill>
              <a:schemeClr val="accent4"/>
            </a:solidFill>
            <a:ln>
              <a:noFill/>
            </a:ln>
            <a:effectLst/>
          </c:spPr>
          <c:invertIfNegative val="0"/>
          <c:val>
            <c:numRef>
              <c:f>'INCERTIDUMBRE DE LA MEDIDA'!$Q$156</c:f>
              <c:numCache>
                <c:formatCode>0.0E+00</c:formatCode>
                <c:ptCount val="1"/>
              </c:numCache>
            </c:numRef>
          </c:val>
          <c:extLst>
            <c:ext xmlns:c16="http://schemas.microsoft.com/office/drawing/2014/chart" uri="{C3380CC4-5D6E-409C-BE32-E72D297353CC}">
              <c16:uniqueId val="{00000003-5ACF-4A65-ADEA-A85B18CC661F}"/>
            </c:ext>
          </c:extLst>
        </c:ser>
        <c:ser>
          <c:idx val="4"/>
          <c:order val="4"/>
          <c:tx>
            <c:strRef>
              <c:f>'INCERTIDUMBRE DE LA MEDIDA'!$Q$159</c:f>
              <c:strCache>
                <c:ptCount val="1"/>
              </c:strCache>
            </c:strRef>
          </c:tx>
          <c:spPr>
            <a:solidFill>
              <a:schemeClr val="accent5"/>
            </a:solidFill>
            <a:ln>
              <a:noFill/>
            </a:ln>
            <a:effectLst/>
          </c:spPr>
          <c:invertIfNegative val="0"/>
          <c:val>
            <c:numRef>
              <c:f>'INCERTIDUMBRE DE LA MEDIDA'!$Q$160</c:f>
              <c:numCache>
                <c:formatCode>0.0E+00</c:formatCode>
                <c:ptCount val="1"/>
              </c:numCache>
            </c:numRef>
          </c:val>
          <c:extLst>
            <c:ext xmlns:c16="http://schemas.microsoft.com/office/drawing/2014/chart" uri="{C3380CC4-5D6E-409C-BE32-E72D297353CC}">
              <c16:uniqueId val="{00000004-5ACF-4A65-ADEA-A85B18CC661F}"/>
            </c:ext>
          </c:extLst>
        </c:ser>
        <c:ser>
          <c:idx val="5"/>
          <c:order val="5"/>
          <c:tx>
            <c:strRef>
              <c:f>'INCERTIDUMBRE DE LA MEDIDA'!$Q$165</c:f>
              <c:strCache>
                <c:ptCount val="1"/>
              </c:strCache>
            </c:strRef>
          </c:tx>
          <c:spPr>
            <a:solidFill>
              <a:schemeClr val="accent6"/>
            </a:solidFill>
            <a:ln>
              <a:noFill/>
            </a:ln>
            <a:effectLst/>
          </c:spPr>
          <c:invertIfNegative val="0"/>
          <c:val>
            <c:numRef>
              <c:f>'INCERTIDUMBRE DE LA MEDIDA'!$Q$166</c:f>
              <c:numCache>
                <c:formatCode>General</c:formatCode>
                <c:ptCount val="1"/>
              </c:numCache>
            </c:numRef>
          </c:val>
          <c:extLst>
            <c:ext xmlns:c16="http://schemas.microsoft.com/office/drawing/2014/chart" uri="{C3380CC4-5D6E-409C-BE32-E72D297353CC}">
              <c16:uniqueId val="{00000005-5ACF-4A65-ADEA-A85B18CC661F}"/>
            </c:ext>
          </c:extLst>
        </c:ser>
        <c:ser>
          <c:idx val="6"/>
          <c:order val="6"/>
          <c:tx>
            <c:strRef>
              <c:f>'INCERTIDUMBRE DE LA MEDIDA'!$Q$171</c:f>
              <c:strCache>
                <c:ptCount val="1"/>
              </c:strCache>
            </c:strRef>
          </c:tx>
          <c:spPr>
            <a:solidFill>
              <a:schemeClr val="accent1">
                <a:lumMod val="60000"/>
              </a:schemeClr>
            </a:solidFill>
            <a:ln>
              <a:noFill/>
            </a:ln>
            <a:effectLst/>
          </c:spPr>
          <c:invertIfNegative val="0"/>
          <c:val>
            <c:numRef>
              <c:f>'INCERTIDUMBRE DE LA MEDIDA'!#REF!</c:f>
              <c:numCache>
                <c:formatCode>General</c:formatCode>
                <c:ptCount val="1"/>
                <c:pt idx="0">
                  <c:v>1</c:v>
                </c:pt>
              </c:numCache>
            </c:numRef>
          </c:val>
          <c:extLst>
            <c:ext xmlns:c16="http://schemas.microsoft.com/office/drawing/2014/chart" uri="{C3380CC4-5D6E-409C-BE32-E72D297353CC}">
              <c16:uniqueId val="{00000006-5ACF-4A65-ADEA-A85B18CC661F}"/>
            </c:ext>
          </c:extLst>
        </c:ser>
        <c:ser>
          <c:idx val="7"/>
          <c:order val="7"/>
          <c:tx>
            <c:strRef>
              <c:f>'INCERTIDUMBRE DE LA MEDIDA'!$Q$234</c:f>
              <c:strCache>
                <c:ptCount val="1"/>
              </c:strCache>
            </c:strRef>
          </c:tx>
          <c:spPr>
            <a:solidFill>
              <a:schemeClr val="accent2">
                <a:lumMod val="60000"/>
              </a:schemeClr>
            </a:solidFill>
            <a:ln>
              <a:noFill/>
            </a:ln>
            <a:effectLst/>
          </c:spPr>
          <c:invertIfNegative val="0"/>
          <c:val>
            <c:numRef>
              <c:f>'INCERTIDUMBRE DE LA MEDIDA'!$Q$244</c:f>
              <c:numCache>
                <c:formatCode>0.00E+00</c:formatCode>
                <c:ptCount val="1"/>
              </c:numCache>
            </c:numRef>
          </c:val>
          <c:extLst>
            <c:ext xmlns:c16="http://schemas.microsoft.com/office/drawing/2014/chart" uri="{C3380CC4-5D6E-409C-BE32-E72D297353CC}">
              <c16:uniqueId val="{00000007-5ACF-4A65-ADEA-A85B18CC661F}"/>
            </c:ext>
          </c:extLst>
        </c:ser>
        <c:dLbls>
          <c:showLegendKey val="0"/>
          <c:showVal val="0"/>
          <c:showCatName val="0"/>
          <c:showSerName val="0"/>
          <c:showPercent val="0"/>
          <c:showBubbleSize val="0"/>
        </c:dLbls>
        <c:gapWidth val="182"/>
        <c:axId val="2030169088"/>
        <c:axId val="2030170720"/>
      </c:barChart>
      <c:catAx>
        <c:axId val="2030169088"/>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2030170720"/>
        <c:crosses val="autoZero"/>
        <c:auto val="1"/>
        <c:lblAlgn val="ctr"/>
        <c:lblOffset val="100"/>
        <c:noMultiLvlLbl val="0"/>
      </c:catAx>
      <c:valAx>
        <c:axId val="2030170720"/>
        <c:scaling>
          <c:orientation val="minMax"/>
        </c:scaling>
        <c:delete val="0"/>
        <c:axPos val="b"/>
        <c:majorGridlines>
          <c:spPr>
            <a:ln w="9525" cap="flat" cmpd="sng" algn="ctr">
              <a:solidFill>
                <a:schemeClr val="tx1">
                  <a:lumMod val="15000"/>
                  <a:lumOff val="85000"/>
                </a:schemeClr>
              </a:solidFill>
              <a:round/>
            </a:ln>
            <a:effectLst/>
          </c:spPr>
        </c:majorGridlines>
        <c:numFmt formatCode="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2030169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limite de Advertencia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lineChart>
        <c:grouping val="standard"/>
        <c:varyColors val="0"/>
        <c:ser>
          <c:idx val="0"/>
          <c:order val="0"/>
          <c:tx>
            <c:strRef>
              <c:f>'medicion conductividad del agua'!$B$20:$C$20</c:f>
              <c:strCache>
                <c:ptCount val="1"/>
                <c:pt idx="0">
                  <c:v>INDICACIÓN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'medicion conductividad del agua'!$B$22:$B$23</c:f>
              <c:numCache>
                <c:formatCode>0.0</c:formatCode>
                <c:ptCount val="2"/>
                <c:pt idx="0">
                  <c:v>2</c:v>
                </c:pt>
                <c:pt idx="1">
                  <c:v>2</c:v>
                </c:pt>
              </c:numCache>
            </c:numRef>
          </c:val>
          <c:smooth val="0"/>
          <c:extLst>
            <c:ext xmlns:c16="http://schemas.microsoft.com/office/drawing/2014/chart" uri="{C3380CC4-5D6E-409C-BE32-E72D297353CC}">
              <c16:uniqueId val="{00000000-3720-4E04-8681-1448491154C3}"/>
            </c:ext>
          </c:extLst>
        </c:ser>
        <c:ser>
          <c:idx val="1"/>
          <c:order val="1"/>
          <c:tx>
            <c:v>Limite de Advertencia</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'medicion conductividad del agua'!$D$22:$D$23</c:f>
              <c:numCache>
                <c:formatCode>General</c:formatCode>
                <c:ptCount val="2"/>
                <c:pt idx="0">
                  <c:v>4</c:v>
                </c:pt>
                <c:pt idx="1">
                  <c:v>4</c:v>
                </c:pt>
              </c:numCache>
            </c:numRef>
          </c:val>
          <c:smooth val="0"/>
          <c:extLst>
            <c:ext xmlns:c16="http://schemas.microsoft.com/office/drawing/2014/chart" uri="{C3380CC4-5D6E-409C-BE32-E72D297353CC}">
              <c16:uniqueId val="{00000001-3720-4E04-8681-1448491154C3}"/>
            </c:ext>
          </c:extLst>
        </c:ser>
        <c:dLbls>
          <c:dLblPos val="t"/>
          <c:showLegendKey val="0"/>
          <c:showVal val="1"/>
          <c:showCatName val="0"/>
          <c:showSerName val="0"/>
          <c:showPercent val="0"/>
          <c:showBubbleSize val="0"/>
        </c:dLbls>
        <c:marker val="1"/>
        <c:smooth val="0"/>
        <c:axId val="2030165280"/>
        <c:axId val="2030163648"/>
      </c:lineChart>
      <c:catAx>
        <c:axId val="203016528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2030163648"/>
        <c:crosses val="autoZero"/>
        <c:auto val="1"/>
        <c:lblAlgn val="ctr"/>
        <c:lblOffset val="100"/>
        <c:noMultiLvlLbl val="0"/>
      </c:catAx>
      <c:valAx>
        <c:axId val="20301636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203016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barChart>
        <c:barDir val="bar"/>
        <c:grouping val="clustered"/>
        <c:varyColors val="0"/>
        <c:ser>
          <c:idx val="0"/>
          <c:order val="0"/>
          <c:spPr>
            <a:solidFill>
              <a:schemeClr val="accent1"/>
            </a:solidFill>
            <a:ln>
              <a:noFill/>
            </a:ln>
            <a:effectLst/>
          </c:spPr>
          <c:invertIfNegative val="0"/>
          <c:cat>
            <c:strRef>
              <c:f>Hoja2!$T$4:$T$16</c:f>
              <c:strCache>
                <c:ptCount val="13"/>
                <c:pt idx="0">
                  <c:v>Masa de agua (g)</c:v>
                </c:pt>
                <c:pt idx="1">
                  <c:v>densidad  del aire (g/cm³)</c:v>
                </c:pt>
                <c:pt idx="2">
                  <c:v>Densidad  del agua (g/cm³)</c:v>
                </c:pt>
                <c:pt idx="3">
                  <c:v>Densidad Masas (g/cm³)</c:v>
                </c:pt>
                <c:pt idx="4">
                  <c:v>Temperatura dispositivo (°C)</c:v>
                </c:pt>
                <c:pt idx="5">
                  <c:v>Coef. Cubico de Expansión (1/°C)</c:v>
                </c:pt>
                <c:pt idx="6">
                  <c:v>Evaporizacion y salpicaduras</c:v>
                </c:pt>
                <c:pt idx="7">
                  <c:v>Incertidumbre estandar tipo A, (Repetibilidad)</c:v>
                </c:pt>
                <c:pt idx="8">
                  <c:v>Proceso de calibración y manejo </c:v>
                </c:pt>
                <c:pt idx="9">
                  <c:v>Incertidumbre por resolución del instrumento</c:v>
                </c:pt>
                <c:pt idx="10">
                  <c:v>Incertidumbre por setting</c:v>
                </c:pt>
                <c:pt idx="11">
                  <c:v>Reproducibilidad</c:v>
                </c:pt>
                <c:pt idx="12">
                  <c:v>Colchon de aire</c:v>
                </c:pt>
              </c:strCache>
            </c:strRef>
          </c:cat>
          <c:val>
            <c:numRef>
              <c:f>Hoja2!$U$4:$U$16</c:f>
              <c:numCache>
                <c:formatCode>General</c:formatCode>
                <c:ptCount val="13"/>
                <c:pt idx="0">
                  <c:v>7.2265332189130422E-9</c:v>
                </c:pt>
                <c:pt idx="1">
                  <c:v>1.2662499200660395E-9</c:v>
                </c:pt>
                <c:pt idx="2">
                  <c:v>5.5974493079308077E-13</c:v>
                </c:pt>
                <c:pt idx="3">
                  <c:v>1.4922754307205484E-14</c:v>
                </c:pt>
                <c:pt idx="4">
                  <c:v>1.856216508870073E-11</c:v>
                </c:pt>
                <c:pt idx="5">
                  <c:v>2.2115029195501044E-13</c:v>
                </c:pt>
                <c:pt idx="6">
                  <c:v>7.5647386637287262E-11</c:v>
                </c:pt>
                <c:pt idx="7">
                  <c:v>8.1800438074825337E-9</c:v>
                </c:pt>
                <c:pt idx="8">
                  <c:v>0</c:v>
                </c:pt>
                <c:pt idx="9">
                  <c:v>0</c:v>
                </c:pt>
                <c:pt idx="10">
                  <c:v>8.3333333333333338E-8</c:v>
                </c:pt>
                <c:pt idx="11">
                  <c:v>3.5427625977226285E-9</c:v>
                </c:pt>
                <c:pt idx="12">
                  <c:v>1.2935969769244306E-11</c:v>
                </c:pt>
              </c:numCache>
            </c:numRef>
          </c:val>
          <c:extLst>
            <c:ext xmlns:c16="http://schemas.microsoft.com/office/drawing/2014/chart" uri="{C3380CC4-5D6E-409C-BE32-E72D297353CC}">
              <c16:uniqueId val="{00000000-9E03-4889-BBF7-872B6237EEE4}"/>
            </c:ext>
          </c:extLst>
        </c:ser>
        <c:dLbls>
          <c:showLegendKey val="0"/>
          <c:showVal val="0"/>
          <c:showCatName val="0"/>
          <c:showSerName val="0"/>
          <c:showPercent val="0"/>
          <c:showBubbleSize val="0"/>
        </c:dLbls>
        <c:gapWidth val="182"/>
        <c:axId val="802858968"/>
        <c:axId val="802866168"/>
      </c:barChart>
      <c:catAx>
        <c:axId val="802858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802866168"/>
        <c:crosses val="autoZero"/>
        <c:auto val="1"/>
        <c:lblAlgn val="ctr"/>
        <c:lblOffset val="100"/>
        <c:noMultiLvlLbl val="0"/>
      </c:catAx>
      <c:valAx>
        <c:axId val="802866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802858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barChart>
        <c:barDir val="bar"/>
        <c:grouping val="clustered"/>
        <c:varyColors val="0"/>
        <c:ser>
          <c:idx val="0"/>
          <c:order val="0"/>
          <c:spPr>
            <a:solidFill>
              <a:schemeClr val="accent1"/>
            </a:solidFill>
            <a:ln>
              <a:noFill/>
            </a:ln>
            <a:effectLst/>
          </c:spPr>
          <c:invertIfNegative val="0"/>
          <c:cat>
            <c:strRef>
              <c:f>Hoja2!$T$126:$T$138</c:f>
              <c:strCache>
                <c:ptCount val="13"/>
                <c:pt idx="0">
                  <c:v>Masa de agua (g)</c:v>
                </c:pt>
                <c:pt idx="1">
                  <c:v>densidad  del aire (g/cm³)</c:v>
                </c:pt>
                <c:pt idx="2">
                  <c:v>temperatura densidad  del agua (g/cm³)</c:v>
                </c:pt>
                <c:pt idx="3">
                  <c:v>Densidad Masas (g/cm³)</c:v>
                </c:pt>
                <c:pt idx="4">
                  <c:v>Temperatura dispositivo (°C)</c:v>
                </c:pt>
                <c:pt idx="5">
                  <c:v>Coef. Cubico de Expansión (1/°C)</c:v>
                </c:pt>
                <c:pt idx="6">
                  <c:v>Evaporizacion y salpicaduras</c:v>
                </c:pt>
                <c:pt idx="7">
                  <c:v>Incertidumbre estandar tipo A, (Repetibilidad)</c:v>
                </c:pt>
                <c:pt idx="8">
                  <c:v>Proceso de calibración y manejo </c:v>
                </c:pt>
                <c:pt idx="9">
                  <c:v>Incertidumbre por resolución del instrumento</c:v>
                </c:pt>
                <c:pt idx="10">
                  <c:v>Incertidumbre por setting</c:v>
                </c:pt>
                <c:pt idx="11">
                  <c:v>Reproducibilidad</c:v>
                </c:pt>
                <c:pt idx="12">
                  <c:v>Colchon de aire</c:v>
                </c:pt>
              </c:strCache>
            </c:strRef>
          </c:cat>
          <c:val>
            <c:numRef>
              <c:f>Hoja2!$U$126:$U$138</c:f>
              <c:numCache>
                <c:formatCode>General</c:formatCode>
                <c:ptCount val="13"/>
                <c:pt idx="0">
                  <c:v>7.2291663196093229E-9</c:v>
                </c:pt>
                <c:pt idx="1">
                  <c:v>1.2020141021055033E-7</c:v>
                </c:pt>
                <c:pt idx="2">
                  <c:v>5.2232991029158309E-11</c:v>
                </c:pt>
                <c:pt idx="3">
                  <c:v>4.7327169958572799E-11</c:v>
                </c:pt>
                <c:pt idx="4">
                  <c:v>1.6880046169407224E-9</c:v>
                </c:pt>
                <c:pt idx="5">
                  <c:v>1.1311140509720516E-11</c:v>
                </c:pt>
                <c:pt idx="6">
                  <c:v>7.5674949948821647E-11</c:v>
                </c:pt>
                <c:pt idx="7">
                  <c:v>9.1490986548287945E-8</c:v>
                </c:pt>
                <c:pt idx="8">
                  <c:v>0</c:v>
                </c:pt>
                <c:pt idx="9">
                  <c:v>0</c:v>
                </c:pt>
                <c:pt idx="10">
                  <c:v>8.3333333333333338E-8</c:v>
                </c:pt>
                <c:pt idx="11">
                  <c:v>3.3630246947458777E-7</c:v>
                </c:pt>
                <c:pt idx="12">
                  <c:v>1.0989190159688496E-9</c:v>
                </c:pt>
              </c:numCache>
            </c:numRef>
          </c:val>
          <c:extLst>
            <c:ext xmlns:c16="http://schemas.microsoft.com/office/drawing/2014/chart" uri="{C3380CC4-5D6E-409C-BE32-E72D297353CC}">
              <c16:uniqueId val="{00000000-4B46-4334-A8A3-0E42DA676C4F}"/>
            </c:ext>
          </c:extLst>
        </c:ser>
        <c:dLbls>
          <c:showLegendKey val="0"/>
          <c:showVal val="0"/>
          <c:showCatName val="0"/>
          <c:showSerName val="0"/>
          <c:showPercent val="0"/>
          <c:showBubbleSize val="0"/>
        </c:dLbls>
        <c:gapWidth val="182"/>
        <c:axId val="659901704"/>
        <c:axId val="659903144"/>
      </c:barChart>
      <c:catAx>
        <c:axId val="659901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659903144"/>
        <c:crosses val="autoZero"/>
        <c:auto val="1"/>
        <c:lblAlgn val="ctr"/>
        <c:lblOffset val="100"/>
        <c:noMultiLvlLbl val="0"/>
      </c:catAx>
      <c:valAx>
        <c:axId val="659903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659901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barChart>
        <c:barDir val="bar"/>
        <c:grouping val="clustered"/>
        <c:varyColors val="0"/>
        <c:ser>
          <c:idx val="0"/>
          <c:order val="0"/>
          <c:spPr>
            <a:solidFill>
              <a:schemeClr val="accent1"/>
            </a:solidFill>
            <a:ln>
              <a:noFill/>
            </a:ln>
            <a:effectLst/>
          </c:spPr>
          <c:invertIfNegative val="0"/>
          <c:cat>
            <c:strRef>
              <c:f>Hoja2!$T$65:$T$77</c:f>
              <c:strCache>
                <c:ptCount val="13"/>
                <c:pt idx="0">
                  <c:v>Masa de agua (g)</c:v>
                </c:pt>
                <c:pt idx="1">
                  <c:v>densidad  del aire (g/cm³)</c:v>
                </c:pt>
                <c:pt idx="2">
                  <c:v>temperatura densidad  del agua (g/cm³)</c:v>
                </c:pt>
                <c:pt idx="3">
                  <c:v>Densidad Masas (g/cm³)</c:v>
                </c:pt>
                <c:pt idx="4">
                  <c:v>Temperatura dispositivo (°C)</c:v>
                </c:pt>
                <c:pt idx="5">
                  <c:v>Coef. Cubico de Expansión (1/°C)</c:v>
                </c:pt>
                <c:pt idx="6">
                  <c:v>Evaporizacion y salpicaduras</c:v>
                </c:pt>
                <c:pt idx="7">
                  <c:v>Incertidumbre estandar tipo A, (Repetibilidad)</c:v>
                </c:pt>
                <c:pt idx="8">
                  <c:v>Proceso de calibración y manejo </c:v>
                </c:pt>
                <c:pt idx="9">
                  <c:v>Incertidumbre por resolución del instrumento</c:v>
                </c:pt>
                <c:pt idx="10">
                  <c:v>Incertidumbre por setting</c:v>
                </c:pt>
                <c:pt idx="11">
                  <c:v>Reproducibilidad</c:v>
                </c:pt>
                <c:pt idx="12">
                  <c:v>Colchon de aire</c:v>
                </c:pt>
              </c:strCache>
            </c:strRef>
          </c:cat>
          <c:val>
            <c:numRef>
              <c:f>Hoja2!$U$65:$U$77</c:f>
              <c:numCache>
                <c:formatCode>General</c:formatCode>
                <c:ptCount val="13"/>
                <c:pt idx="0">
                  <c:v>7.2291548637357711E-9</c:v>
                </c:pt>
                <c:pt idx="1">
                  <c:v>3.0198593160016929E-8</c:v>
                </c:pt>
                <c:pt idx="2">
                  <c:v>1.4658919059445978E-11</c:v>
                </c:pt>
                <c:pt idx="3">
                  <c:v>1.1870347960163066E-11</c:v>
                </c:pt>
                <c:pt idx="4">
                  <c:v>4.398771259478734E-10</c:v>
                </c:pt>
                <c:pt idx="5">
                  <c:v>3.8063242738415605E-12</c:v>
                </c:pt>
                <c:pt idx="6">
                  <c:v>7.5674830028678809E-11</c:v>
                </c:pt>
                <c:pt idx="7">
                  <c:v>1.0888378920757252E-8</c:v>
                </c:pt>
                <c:pt idx="8">
                  <c:v>0</c:v>
                </c:pt>
                <c:pt idx="9">
                  <c:v>0</c:v>
                </c:pt>
                <c:pt idx="10">
                  <c:v>8.3333333333333338E-8</c:v>
                </c:pt>
                <c:pt idx="11">
                  <c:v>8.4487912962293624E-8</c:v>
                </c:pt>
                <c:pt idx="12">
                  <c:v>3.1502865475610296E-10</c:v>
                </c:pt>
              </c:numCache>
            </c:numRef>
          </c:val>
          <c:extLst>
            <c:ext xmlns:c16="http://schemas.microsoft.com/office/drawing/2014/chart" uri="{C3380CC4-5D6E-409C-BE32-E72D297353CC}">
              <c16:uniqueId val="{00000000-F55D-48AD-82ED-504B53EE71AD}"/>
            </c:ext>
          </c:extLst>
        </c:ser>
        <c:dLbls>
          <c:showLegendKey val="0"/>
          <c:showVal val="0"/>
          <c:showCatName val="0"/>
          <c:showSerName val="0"/>
          <c:showPercent val="0"/>
          <c:showBubbleSize val="0"/>
        </c:dLbls>
        <c:gapWidth val="182"/>
        <c:axId val="812393392"/>
        <c:axId val="812389792"/>
      </c:barChart>
      <c:catAx>
        <c:axId val="81239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812389792"/>
        <c:crosses val="autoZero"/>
        <c:auto val="1"/>
        <c:lblAlgn val="ctr"/>
        <c:lblOffset val="100"/>
        <c:noMultiLvlLbl val="0"/>
      </c:catAx>
      <c:valAx>
        <c:axId val="81238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812393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barChart>
        <c:barDir val="bar"/>
        <c:grouping val="clustered"/>
        <c:varyColors val="0"/>
        <c:ser>
          <c:idx val="0"/>
          <c:order val="0"/>
          <c:spPr>
            <a:solidFill>
              <a:schemeClr val="accent1"/>
            </a:solidFill>
            <a:ln>
              <a:noFill/>
            </a:ln>
            <a:effectLst/>
          </c:spPr>
          <c:invertIfNegative val="0"/>
          <c:cat>
            <c:strRef>
              <c:f>Hoja2!$T$21:$T$27</c:f>
              <c:strCache>
                <c:ptCount val="7"/>
                <c:pt idx="0">
                  <c:v>Lectura recipiente lleno Resolucion</c:v>
                </c:pt>
                <c:pt idx="1">
                  <c:v>Lectura recipiente vacio Resolucion</c:v>
                </c:pt>
                <c:pt idx="2">
                  <c:v>Calibracion  recipiente vacio</c:v>
                </c:pt>
                <c:pt idx="3">
                  <c:v>Calibracion  recipiente lleno</c:v>
                </c:pt>
                <c:pt idx="4">
                  <c:v>linealidad</c:v>
                </c:pt>
                <c:pt idx="5">
                  <c:v>desviacion estandar</c:v>
                </c:pt>
                <c:pt idx="6">
                  <c:v>deriva</c:v>
                </c:pt>
              </c:strCache>
            </c:strRef>
          </c:cat>
          <c:val>
            <c:numRef>
              <c:f>Hoja2!$U$21:$U$27</c:f>
              <c:numCache>
                <c:formatCode>General</c:formatCode>
                <c:ptCount val="7"/>
                <c:pt idx="0">
                  <c:v>8.3757730373706732E-12</c:v>
                </c:pt>
                <c:pt idx="1">
                  <c:v>8.3757730373706732E-12</c:v>
                </c:pt>
                <c:pt idx="2">
                  <c:v>7.0582639385922643E-10</c:v>
                </c:pt>
                <c:pt idx="3">
                  <c:v>2.0807932956739956E-9</c:v>
                </c:pt>
                <c:pt idx="4">
                  <c:v>3.3503092149482691E-9</c:v>
                </c:pt>
                <c:pt idx="5">
                  <c:v>8.3757730373706726E-10</c:v>
                </c:pt>
                <c:pt idx="6">
                  <c:v>2.3527546461974218E-10</c:v>
                </c:pt>
              </c:numCache>
            </c:numRef>
          </c:val>
          <c:extLst>
            <c:ext xmlns:c16="http://schemas.microsoft.com/office/drawing/2014/chart" uri="{C3380CC4-5D6E-409C-BE32-E72D297353CC}">
              <c16:uniqueId val="{00000000-3AC3-47D5-AF08-B5D976E3F9F7}"/>
            </c:ext>
          </c:extLst>
        </c:ser>
        <c:dLbls>
          <c:showLegendKey val="0"/>
          <c:showVal val="0"/>
          <c:showCatName val="0"/>
          <c:showSerName val="0"/>
          <c:showPercent val="0"/>
          <c:showBubbleSize val="0"/>
        </c:dLbls>
        <c:gapWidth val="182"/>
        <c:axId val="478823568"/>
        <c:axId val="478818888"/>
      </c:barChart>
      <c:catAx>
        <c:axId val="47882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78818888"/>
        <c:crosses val="autoZero"/>
        <c:auto val="1"/>
        <c:lblAlgn val="ctr"/>
        <c:lblOffset val="100"/>
        <c:noMultiLvlLbl val="0"/>
      </c:catAx>
      <c:valAx>
        <c:axId val="478818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78823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barChart>
        <c:barDir val="bar"/>
        <c:grouping val="clustered"/>
        <c:varyColors val="0"/>
        <c:ser>
          <c:idx val="0"/>
          <c:order val="0"/>
          <c:spPr>
            <a:solidFill>
              <a:schemeClr val="accent1"/>
            </a:solidFill>
            <a:ln>
              <a:noFill/>
            </a:ln>
            <a:effectLst/>
          </c:spPr>
          <c:invertIfNegative val="0"/>
          <c:cat>
            <c:strRef>
              <c:f>Hoja2!$T$82:$T$88</c:f>
              <c:strCache>
                <c:ptCount val="7"/>
                <c:pt idx="0">
                  <c:v>Lectura recipiente lleno Resolucion</c:v>
                </c:pt>
                <c:pt idx="1">
                  <c:v>Lectura recipiente vacio Resolucion</c:v>
                </c:pt>
                <c:pt idx="2">
                  <c:v>Calibracion  recipiente vacio</c:v>
                </c:pt>
                <c:pt idx="3">
                  <c:v>Calibracion  recipiente lleno</c:v>
                </c:pt>
                <c:pt idx="4">
                  <c:v>linealidad</c:v>
                </c:pt>
                <c:pt idx="5">
                  <c:v>desviacion estandar</c:v>
                </c:pt>
                <c:pt idx="6">
                  <c:v>deriva</c:v>
                </c:pt>
              </c:strCache>
            </c:strRef>
          </c:cat>
          <c:val>
            <c:numRef>
              <c:f>Hoja2!$U$82:$U$88</c:f>
              <c:numCache>
                <c:formatCode>General</c:formatCode>
                <c:ptCount val="7"/>
                <c:pt idx="0">
                  <c:v>8.378811603907989E-12</c:v>
                </c:pt>
                <c:pt idx="1">
                  <c:v>8.378811603907989E-12</c:v>
                </c:pt>
                <c:pt idx="2">
                  <c:v>7.06082453861326E-10</c:v>
                </c:pt>
                <c:pt idx="3">
                  <c:v>2.0815481667588611E-9</c:v>
                </c:pt>
                <c:pt idx="4">
                  <c:v>3.3515246415631948E-9</c:v>
                </c:pt>
                <c:pt idx="5">
                  <c:v>8.3788116039079869E-10</c:v>
                </c:pt>
                <c:pt idx="6">
                  <c:v>2.3536081795377533E-10</c:v>
                </c:pt>
              </c:numCache>
            </c:numRef>
          </c:val>
          <c:extLst>
            <c:ext xmlns:c16="http://schemas.microsoft.com/office/drawing/2014/chart" uri="{C3380CC4-5D6E-409C-BE32-E72D297353CC}">
              <c16:uniqueId val="{00000000-9493-4A14-93C9-78049996F2EB}"/>
            </c:ext>
          </c:extLst>
        </c:ser>
        <c:dLbls>
          <c:showLegendKey val="0"/>
          <c:showVal val="0"/>
          <c:showCatName val="0"/>
          <c:showSerName val="0"/>
          <c:showPercent val="0"/>
          <c:showBubbleSize val="0"/>
        </c:dLbls>
        <c:gapWidth val="182"/>
        <c:axId val="812396632"/>
        <c:axId val="812398792"/>
      </c:barChart>
      <c:catAx>
        <c:axId val="812396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812398792"/>
        <c:crosses val="autoZero"/>
        <c:auto val="1"/>
        <c:lblAlgn val="ctr"/>
        <c:lblOffset val="100"/>
        <c:noMultiLvlLbl val="0"/>
      </c:catAx>
      <c:valAx>
        <c:axId val="812398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812396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barChart>
        <c:barDir val="bar"/>
        <c:grouping val="clustered"/>
        <c:varyColors val="0"/>
        <c:ser>
          <c:idx val="0"/>
          <c:order val="0"/>
          <c:spPr>
            <a:solidFill>
              <a:schemeClr val="accent1"/>
            </a:solidFill>
            <a:ln>
              <a:noFill/>
            </a:ln>
            <a:effectLst/>
          </c:spPr>
          <c:invertIfNegative val="0"/>
          <c:cat>
            <c:strRef>
              <c:f>Hoja2!$T$143:$T$149</c:f>
              <c:strCache>
                <c:ptCount val="7"/>
                <c:pt idx="0">
                  <c:v>Lectura recipiente lleno Resolucion</c:v>
                </c:pt>
                <c:pt idx="1">
                  <c:v>Lectura recipiente vacio Resolucion</c:v>
                </c:pt>
                <c:pt idx="2">
                  <c:v>Calibracion  recipiente vacio</c:v>
                </c:pt>
                <c:pt idx="3">
                  <c:v>Calibracion  recipiente lleno</c:v>
                </c:pt>
                <c:pt idx="4">
                  <c:v>linealidad</c:v>
                </c:pt>
                <c:pt idx="5">
                  <c:v>desviacion estandar</c:v>
                </c:pt>
                <c:pt idx="6">
                  <c:v>deriva</c:v>
                </c:pt>
              </c:strCache>
            </c:strRef>
          </c:cat>
          <c:val>
            <c:numRef>
              <c:f>Hoja2!$U$143:$U$149</c:f>
              <c:numCache>
                <c:formatCode>General</c:formatCode>
                <c:ptCount val="7"/>
                <c:pt idx="0">
                  <c:v>8.378824881615833E-12</c:v>
                </c:pt>
                <c:pt idx="1">
                  <c:v>8.378824881615833E-12</c:v>
                </c:pt>
                <c:pt idx="2">
                  <c:v>7.0608357277376602E-10</c:v>
                </c:pt>
                <c:pt idx="3">
                  <c:v>2.0815514653398202E-9</c:v>
                </c:pt>
                <c:pt idx="4">
                  <c:v>3.3515299526463331E-9</c:v>
                </c:pt>
                <c:pt idx="5">
                  <c:v>8.3788248816158326E-10</c:v>
                </c:pt>
                <c:pt idx="6">
                  <c:v>2.3536119092458866E-10</c:v>
                </c:pt>
              </c:numCache>
            </c:numRef>
          </c:val>
          <c:extLst>
            <c:ext xmlns:c16="http://schemas.microsoft.com/office/drawing/2014/chart" uri="{C3380CC4-5D6E-409C-BE32-E72D297353CC}">
              <c16:uniqueId val="{00000000-F689-43F7-A712-48806553F6C1}"/>
            </c:ext>
          </c:extLst>
        </c:ser>
        <c:dLbls>
          <c:showLegendKey val="0"/>
          <c:showVal val="0"/>
          <c:showCatName val="0"/>
          <c:showSerName val="0"/>
          <c:showPercent val="0"/>
          <c:showBubbleSize val="0"/>
        </c:dLbls>
        <c:gapWidth val="182"/>
        <c:axId val="603758264"/>
        <c:axId val="603758624"/>
      </c:barChart>
      <c:catAx>
        <c:axId val="603758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603758624"/>
        <c:crosses val="autoZero"/>
        <c:auto val="1"/>
        <c:lblAlgn val="ctr"/>
        <c:lblOffset val="100"/>
        <c:noMultiLvlLbl val="0"/>
      </c:catAx>
      <c:valAx>
        <c:axId val="603758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6037582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png"/><Relationship Id="rId7" Type="http://schemas.openxmlformats.org/officeDocument/2006/relationships/image" Target="../media/image8.emf"/><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11" Type="http://schemas.openxmlformats.org/officeDocument/2006/relationships/image" Target="../media/image12.emf"/><Relationship Id="rId5" Type="http://schemas.openxmlformats.org/officeDocument/2006/relationships/image" Target="../media/image6.emf"/><Relationship Id="rId10" Type="http://schemas.openxmlformats.org/officeDocument/2006/relationships/image" Target="../media/image11.emf"/><Relationship Id="rId4" Type="http://schemas.openxmlformats.org/officeDocument/2006/relationships/image" Target="../media/image5.png"/><Relationship Id="rId9" Type="http://schemas.openxmlformats.org/officeDocument/2006/relationships/image" Target="../media/image10.emf"/></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6.png"/></Relationships>
</file>

<file path=xl/drawings/_rels/drawing4.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19.png"/><Relationship Id="rId7" Type="http://schemas.openxmlformats.org/officeDocument/2006/relationships/image" Target="../media/image23.png"/><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22.png"/><Relationship Id="rId5" Type="http://schemas.openxmlformats.org/officeDocument/2006/relationships/image" Target="../media/image21.png"/><Relationship Id="rId4" Type="http://schemas.openxmlformats.org/officeDocument/2006/relationships/image" Target="../media/image20.png"/></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image" Target="../media/image25.png"/></Relationships>
</file>

<file path=xl/drawings/_rels/drawing7.xml.rels><?xml version="1.0" encoding="UTF-8" standalone="yes"?>
<Relationships xmlns="http://schemas.openxmlformats.org/package/2006/relationships"><Relationship Id="rId1" Type="http://schemas.openxmlformats.org/officeDocument/2006/relationships/image" Target="../media/image26.png"/></Relationships>
</file>

<file path=xl/drawings/_rels/drawing8.xml.rels><?xml version="1.0" encoding="UTF-8" standalone="yes"?>
<Relationships xmlns="http://schemas.openxmlformats.org/package/2006/relationships"><Relationship Id="rId1" Type="http://schemas.openxmlformats.org/officeDocument/2006/relationships/image" Target="../media/image27.gif"/></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15.jpeg"/><Relationship Id="rId2" Type="http://schemas.openxmlformats.org/officeDocument/2006/relationships/image" Target="../media/image14.png"/><Relationship Id="rId1" Type="http://schemas.openxmlformats.org/officeDocument/2006/relationships/image" Target="../media/image13.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30</xdr:col>
      <xdr:colOff>391506</xdr:colOff>
      <xdr:row>175</xdr:row>
      <xdr:rowOff>16528</xdr:rowOff>
    </xdr:from>
    <xdr:to>
      <xdr:col>37</xdr:col>
      <xdr:colOff>87818</xdr:colOff>
      <xdr:row>191</xdr:row>
      <xdr:rowOff>65520</xdr:rowOff>
    </xdr:to>
    <xdr:pic>
      <xdr:nvPicPr>
        <xdr:cNvPr id="10" name="Imagen 9">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53537" y="34151747"/>
          <a:ext cx="3601562" cy="2181656"/>
        </a:xfrm>
        <a:prstGeom prst="rect">
          <a:avLst/>
        </a:prstGeom>
        <a:noFill/>
        <a:ln>
          <a:noFill/>
        </a:ln>
      </xdr:spPr>
    </xdr:pic>
    <xdr:clientData/>
  </xdr:twoCellAnchor>
  <xdr:twoCellAnchor editAs="oneCell">
    <xdr:from>
      <xdr:col>30</xdr:col>
      <xdr:colOff>417529</xdr:colOff>
      <xdr:row>187</xdr:row>
      <xdr:rowOff>53495</xdr:rowOff>
    </xdr:from>
    <xdr:to>
      <xdr:col>43</xdr:col>
      <xdr:colOff>230435</xdr:colOff>
      <xdr:row>196</xdr:row>
      <xdr:rowOff>139065</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20479560" y="36403276"/>
          <a:ext cx="6004156" cy="1595281"/>
        </a:xfrm>
        <a:prstGeom prst="rect">
          <a:avLst/>
        </a:prstGeom>
      </xdr:spPr>
    </xdr:pic>
    <xdr:clientData/>
  </xdr:twoCellAnchor>
  <xdr:twoCellAnchor editAs="oneCell">
    <xdr:from>
      <xdr:col>27</xdr:col>
      <xdr:colOff>92869</xdr:colOff>
      <xdr:row>20</xdr:row>
      <xdr:rowOff>125076</xdr:rowOff>
    </xdr:from>
    <xdr:to>
      <xdr:col>34</xdr:col>
      <xdr:colOff>909639</xdr:colOff>
      <xdr:row>32</xdr:row>
      <xdr:rowOff>588</xdr:rowOff>
    </xdr:to>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3"/>
        <a:srcRect l="24255" t="34363" r="30227" b="32385"/>
        <a:stretch/>
      </xdr:blipFill>
      <xdr:spPr>
        <a:xfrm>
          <a:off x="17466469" y="3973176"/>
          <a:ext cx="6242845" cy="2828262"/>
        </a:xfrm>
        <a:prstGeom prst="rect">
          <a:avLst/>
        </a:prstGeom>
      </xdr:spPr>
    </xdr:pic>
    <xdr:clientData/>
  </xdr:twoCellAnchor>
  <xdr:twoCellAnchor editAs="oneCell">
    <xdr:from>
      <xdr:col>27</xdr:col>
      <xdr:colOff>383462</xdr:colOff>
      <xdr:row>37</xdr:row>
      <xdr:rowOff>171251</xdr:rowOff>
    </xdr:from>
    <xdr:to>
      <xdr:col>34</xdr:col>
      <xdr:colOff>1135610</xdr:colOff>
      <xdr:row>62</xdr:row>
      <xdr:rowOff>728</xdr:rowOff>
    </xdr:to>
    <xdr:pic>
      <xdr:nvPicPr>
        <xdr:cNvPr id="8" name="Imagen 7">
          <a:extLst>
            <a:ext uri="{FF2B5EF4-FFF2-40B4-BE49-F238E27FC236}">
              <a16:creationId xmlns:a16="http://schemas.microsoft.com/office/drawing/2014/main" id="{00000000-0008-0000-0000-000008000000}"/>
            </a:ext>
          </a:extLst>
        </xdr:cNvPr>
        <xdr:cNvPicPr>
          <a:picLocks noChangeAspect="1"/>
        </xdr:cNvPicPr>
      </xdr:nvPicPr>
      <xdr:blipFill rotWithShape="1">
        <a:blip xmlns:r="http://schemas.openxmlformats.org/officeDocument/2006/relationships" r:embed="rId4"/>
        <a:srcRect l="25378" t="26671" r="29584" b="16228"/>
        <a:stretch/>
      </xdr:blipFill>
      <xdr:spPr>
        <a:xfrm>
          <a:off x="16928387" y="8096051"/>
          <a:ext cx="6181398" cy="4919636"/>
        </a:xfrm>
        <a:prstGeom prst="rect">
          <a:avLst/>
        </a:prstGeom>
      </xdr:spPr>
    </xdr:pic>
    <xdr:clientData/>
  </xdr:twoCellAnchor>
  <xdr:twoCellAnchor editAs="oneCell">
    <xdr:from>
      <xdr:col>27</xdr:col>
      <xdr:colOff>169973</xdr:colOff>
      <xdr:row>64</xdr:row>
      <xdr:rowOff>170634</xdr:rowOff>
    </xdr:from>
    <xdr:to>
      <xdr:col>30</xdr:col>
      <xdr:colOff>285047</xdr:colOff>
      <xdr:row>80</xdr:row>
      <xdr:rowOff>119471</xdr:rowOff>
    </xdr:to>
    <xdr:pic>
      <xdr:nvPicPr>
        <xdr:cNvPr id="14" name="Imagen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7543573" y="12791259"/>
          <a:ext cx="3655199" cy="31280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149497</xdr:colOff>
      <xdr:row>81</xdr:row>
      <xdr:rowOff>23378</xdr:rowOff>
    </xdr:from>
    <xdr:to>
      <xdr:col>33</xdr:col>
      <xdr:colOff>171300</xdr:colOff>
      <xdr:row>85</xdr:row>
      <xdr:rowOff>138050</xdr:rowOff>
    </xdr:to>
    <xdr:pic>
      <xdr:nvPicPr>
        <xdr:cNvPr id="15" name="Imagen 14">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503922" y="16520678"/>
          <a:ext cx="5070053" cy="15211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156884</xdr:colOff>
      <xdr:row>68</xdr:row>
      <xdr:rowOff>78442</xdr:rowOff>
    </xdr:from>
    <xdr:to>
      <xdr:col>20</xdr:col>
      <xdr:colOff>836158</xdr:colOff>
      <xdr:row>68</xdr:row>
      <xdr:rowOff>638735</xdr:rowOff>
    </xdr:to>
    <xdr:pic>
      <xdr:nvPicPr>
        <xdr:cNvPr id="11" name="Imagen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166413" y="12382501"/>
          <a:ext cx="679274" cy="560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134471</xdr:colOff>
      <xdr:row>84</xdr:row>
      <xdr:rowOff>44823</xdr:rowOff>
    </xdr:from>
    <xdr:to>
      <xdr:col>20</xdr:col>
      <xdr:colOff>813745</xdr:colOff>
      <xdr:row>84</xdr:row>
      <xdr:rowOff>605116</xdr:rowOff>
    </xdr:to>
    <xdr:pic>
      <xdr:nvPicPr>
        <xdr:cNvPr id="12" name="Imagen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550089" y="15452911"/>
          <a:ext cx="679274" cy="560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123266</xdr:colOff>
      <xdr:row>100</xdr:row>
      <xdr:rowOff>67235</xdr:rowOff>
    </xdr:from>
    <xdr:to>
      <xdr:col>20</xdr:col>
      <xdr:colOff>802540</xdr:colOff>
      <xdr:row>100</xdr:row>
      <xdr:rowOff>627528</xdr:rowOff>
    </xdr:to>
    <xdr:pic>
      <xdr:nvPicPr>
        <xdr:cNvPr id="16" name="Imagen 15">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684560" y="18669000"/>
          <a:ext cx="679274" cy="560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311897</xdr:colOff>
      <xdr:row>63</xdr:row>
      <xdr:rowOff>39219</xdr:rowOff>
    </xdr:from>
    <xdr:to>
      <xdr:col>10</xdr:col>
      <xdr:colOff>457945</xdr:colOff>
      <xdr:row>66</xdr:row>
      <xdr:rowOff>109190</xdr:rowOff>
    </xdr:to>
    <xdr:pic>
      <xdr:nvPicPr>
        <xdr:cNvPr id="18" name="Imagen 17">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100730" y="13024969"/>
          <a:ext cx="1331382" cy="3768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572121</xdr:colOff>
      <xdr:row>62</xdr:row>
      <xdr:rowOff>31959</xdr:rowOff>
    </xdr:from>
    <xdr:to>
      <xdr:col>16</xdr:col>
      <xdr:colOff>243324</xdr:colOff>
      <xdr:row>67</xdr:row>
      <xdr:rowOff>238125</xdr:rowOff>
    </xdr:to>
    <xdr:pic>
      <xdr:nvPicPr>
        <xdr:cNvPr id="20" name="Imagen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906246" y="13041522"/>
          <a:ext cx="2600141" cy="857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325596</xdr:colOff>
      <xdr:row>63</xdr:row>
      <xdr:rowOff>58519</xdr:rowOff>
    </xdr:from>
    <xdr:to>
      <xdr:col>21</xdr:col>
      <xdr:colOff>304022</xdr:colOff>
      <xdr:row>67</xdr:row>
      <xdr:rowOff>79375</xdr:rowOff>
    </xdr:to>
    <xdr:pic>
      <xdr:nvPicPr>
        <xdr:cNvPr id="21" name="Imagen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432679" y="13044269"/>
          <a:ext cx="1809343" cy="512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151993</xdr:colOff>
      <xdr:row>86</xdr:row>
      <xdr:rowOff>86439</xdr:rowOff>
    </xdr:from>
    <xdr:to>
      <xdr:col>38</xdr:col>
      <xdr:colOff>375059</xdr:colOff>
      <xdr:row>96</xdr:row>
      <xdr:rowOff>75551</xdr:rowOff>
    </xdr:to>
    <xdr:pic>
      <xdr:nvPicPr>
        <xdr:cNvPr id="24" name="Imagen 23">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7525593" y="17612439"/>
          <a:ext cx="8062141" cy="15723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0</xdr:col>
          <xdr:colOff>219075</xdr:colOff>
          <xdr:row>0</xdr:row>
          <xdr:rowOff>76200</xdr:rowOff>
        </xdr:from>
        <xdr:to>
          <xdr:col>3</xdr:col>
          <xdr:colOff>647700</xdr:colOff>
          <xdr:row>1</xdr:row>
          <xdr:rowOff>200025</xdr:rowOff>
        </xdr:to>
        <xdr:sp macro="" textlink="">
          <xdr:nvSpPr>
            <xdr:cNvPr id="1087" name="Object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28576</xdr:colOff>
      <xdr:row>96</xdr:row>
      <xdr:rowOff>161927</xdr:rowOff>
    </xdr:from>
    <xdr:to>
      <xdr:col>26</xdr:col>
      <xdr:colOff>142875</xdr:colOff>
      <xdr:row>109</xdr:row>
      <xdr:rowOff>171451</xdr:rowOff>
    </xdr:to>
    <xdr:graphicFrame macro="">
      <xdr:nvGraphicFramePr>
        <xdr:cNvPr id="3" name="Gráfico 2">
          <a:extLst>
            <a:ext uri="{FF2B5EF4-FFF2-40B4-BE49-F238E27FC236}">
              <a16:creationId xmlns:a16="http://schemas.microsoft.com/office/drawing/2014/main" id="{33BC10A1-435F-41D5-B47E-E3AF11CAD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0</xdr:col>
          <xdr:colOff>114300</xdr:colOff>
          <xdr:row>0</xdr:row>
          <xdr:rowOff>57150</xdr:rowOff>
        </xdr:from>
        <xdr:to>
          <xdr:col>6</xdr:col>
          <xdr:colOff>133350</xdr:colOff>
          <xdr:row>1</xdr:row>
          <xdr:rowOff>180975</xdr:rowOff>
        </xdr:to>
        <xdr:sp macro="" textlink="">
          <xdr:nvSpPr>
            <xdr:cNvPr id="2114" name="Object 66" hidden="1">
              <a:extLst>
                <a:ext uri="{63B3BB69-23CF-44E3-9099-C40C66FF867C}">
                  <a14:compatExt spid="_x0000_s2114"/>
                </a:ext>
                <a:ext uri="{FF2B5EF4-FFF2-40B4-BE49-F238E27FC236}">
                  <a16:creationId xmlns:a16="http://schemas.microsoft.com/office/drawing/2014/main" id="{00000000-0008-0000-0100-00004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22</xdr:col>
      <xdr:colOff>666750</xdr:colOff>
      <xdr:row>18</xdr:row>
      <xdr:rowOff>38100</xdr:rowOff>
    </xdr:from>
    <xdr:to>
      <xdr:col>24</xdr:col>
      <xdr:colOff>190891</xdr:colOff>
      <xdr:row>41</xdr:row>
      <xdr:rowOff>95913</xdr:rowOff>
    </xdr:to>
    <xdr:pic>
      <xdr:nvPicPr>
        <xdr:cNvPr id="3" name="Imagen 2">
          <a:extLst>
            <a:ext uri="{FF2B5EF4-FFF2-40B4-BE49-F238E27FC236}">
              <a16:creationId xmlns:a16="http://schemas.microsoft.com/office/drawing/2014/main" id="{FF287F44-FB97-FE2F-D1D6-398B48788A82}"/>
            </a:ext>
          </a:extLst>
        </xdr:cNvPr>
        <xdr:cNvPicPr>
          <a:picLocks noChangeAspect="1"/>
        </xdr:cNvPicPr>
      </xdr:nvPicPr>
      <xdr:blipFill>
        <a:blip xmlns:r="http://schemas.openxmlformats.org/officeDocument/2006/relationships" r:embed="rId1"/>
        <a:stretch>
          <a:fillRect/>
        </a:stretch>
      </xdr:blipFill>
      <xdr:spPr>
        <a:xfrm>
          <a:off x="14154150" y="3952875"/>
          <a:ext cx="2800741" cy="4753638"/>
        </a:xfrm>
        <a:prstGeom prst="rect">
          <a:avLst/>
        </a:prstGeom>
      </xdr:spPr>
    </xdr:pic>
    <xdr:clientData/>
  </xdr:twoCellAnchor>
  <xdr:twoCellAnchor editAs="oneCell">
    <xdr:from>
      <xdr:col>22</xdr:col>
      <xdr:colOff>666750</xdr:colOff>
      <xdr:row>18</xdr:row>
      <xdr:rowOff>38100</xdr:rowOff>
    </xdr:from>
    <xdr:to>
      <xdr:col>24</xdr:col>
      <xdr:colOff>190891</xdr:colOff>
      <xdr:row>41</xdr:row>
      <xdr:rowOff>95913</xdr:rowOff>
    </xdr:to>
    <xdr:pic>
      <xdr:nvPicPr>
        <xdr:cNvPr id="4" name="Imagen 3">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14154150" y="3990975"/>
          <a:ext cx="2800741" cy="479173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139700</xdr:colOff>
      <xdr:row>15</xdr:row>
      <xdr:rowOff>111125</xdr:rowOff>
    </xdr:from>
    <xdr:to>
      <xdr:col>16</xdr:col>
      <xdr:colOff>581193</xdr:colOff>
      <xdr:row>17</xdr:row>
      <xdr:rowOff>158810</xdr:rowOff>
    </xdr:to>
    <xdr:pic>
      <xdr:nvPicPr>
        <xdr:cNvPr id="2" name="Imagen 1">
          <a:extLst>
            <a:ext uri="{FF2B5EF4-FFF2-40B4-BE49-F238E27FC236}">
              <a16:creationId xmlns:a16="http://schemas.microsoft.com/office/drawing/2014/main" id="{9145D710-FA61-4072-8970-58FAA8C9B4C9}"/>
            </a:ext>
          </a:extLst>
        </xdr:cNvPr>
        <xdr:cNvPicPr>
          <a:picLocks noChangeAspect="1"/>
        </xdr:cNvPicPr>
      </xdr:nvPicPr>
      <xdr:blipFill>
        <a:blip xmlns:r="http://schemas.openxmlformats.org/officeDocument/2006/relationships" r:embed="rId1"/>
        <a:stretch>
          <a:fillRect/>
        </a:stretch>
      </xdr:blipFill>
      <xdr:spPr>
        <a:xfrm>
          <a:off x="5084763" y="3167063"/>
          <a:ext cx="1203493" cy="428685"/>
        </a:xfrm>
        <a:prstGeom prst="rect">
          <a:avLst/>
        </a:prstGeom>
      </xdr:spPr>
    </xdr:pic>
    <xdr:clientData/>
  </xdr:twoCellAnchor>
  <xdr:twoCellAnchor editAs="oneCell">
    <xdr:from>
      <xdr:col>9</xdr:col>
      <xdr:colOff>1003300</xdr:colOff>
      <xdr:row>2</xdr:row>
      <xdr:rowOff>26713</xdr:rowOff>
    </xdr:from>
    <xdr:to>
      <xdr:col>16</xdr:col>
      <xdr:colOff>42333</xdr:colOff>
      <xdr:row>2</xdr:row>
      <xdr:rowOff>166686</xdr:rowOff>
    </xdr:to>
    <xdr:pic>
      <xdr:nvPicPr>
        <xdr:cNvPr id="3" name="Imagen 2">
          <a:extLst>
            <a:ext uri="{FF2B5EF4-FFF2-40B4-BE49-F238E27FC236}">
              <a16:creationId xmlns:a16="http://schemas.microsoft.com/office/drawing/2014/main" id="{6C4DD805-8711-4AFA-84D4-69657D79E75C}"/>
            </a:ext>
          </a:extLst>
        </xdr:cNvPr>
        <xdr:cNvPicPr>
          <a:picLocks noChangeAspect="1"/>
        </xdr:cNvPicPr>
      </xdr:nvPicPr>
      <xdr:blipFill>
        <a:blip xmlns:r="http://schemas.openxmlformats.org/officeDocument/2006/relationships" r:embed="rId2"/>
        <a:stretch>
          <a:fillRect/>
        </a:stretch>
      </xdr:blipFill>
      <xdr:spPr>
        <a:xfrm>
          <a:off x="1003300" y="407713"/>
          <a:ext cx="4862513" cy="139973"/>
        </a:xfrm>
        <a:prstGeom prst="rect">
          <a:avLst/>
        </a:prstGeom>
      </xdr:spPr>
    </xdr:pic>
    <xdr:clientData/>
  </xdr:twoCellAnchor>
  <xdr:twoCellAnchor editAs="oneCell">
    <xdr:from>
      <xdr:col>10</xdr:col>
      <xdr:colOff>49214</xdr:colOff>
      <xdr:row>5</xdr:row>
      <xdr:rowOff>66676</xdr:rowOff>
    </xdr:from>
    <xdr:to>
      <xdr:col>11</xdr:col>
      <xdr:colOff>58210</xdr:colOff>
      <xdr:row>5</xdr:row>
      <xdr:rowOff>297280</xdr:rowOff>
    </xdr:to>
    <xdr:pic>
      <xdr:nvPicPr>
        <xdr:cNvPr id="4" name="Imagen 3">
          <a:extLst>
            <a:ext uri="{FF2B5EF4-FFF2-40B4-BE49-F238E27FC236}">
              <a16:creationId xmlns:a16="http://schemas.microsoft.com/office/drawing/2014/main" id="{81002C06-2C88-420C-BD0E-D2ECD5023572}"/>
            </a:ext>
          </a:extLst>
        </xdr:cNvPr>
        <xdr:cNvPicPr>
          <a:picLocks noChangeAspect="1"/>
        </xdr:cNvPicPr>
      </xdr:nvPicPr>
      <xdr:blipFill>
        <a:blip xmlns:r="http://schemas.openxmlformats.org/officeDocument/2006/relationships" r:embed="rId3"/>
        <a:stretch>
          <a:fillRect/>
        </a:stretch>
      </xdr:blipFill>
      <xdr:spPr>
        <a:xfrm>
          <a:off x="1081089" y="1074739"/>
          <a:ext cx="855662" cy="230604"/>
        </a:xfrm>
        <a:prstGeom prst="rect">
          <a:avLst/>
        </a:prstGeom>
      </xdr:spPr>
    </xdr:pic>
    <xdr:clientData/>
  </xdr:twoCellAnchor>
  <xdr:twoCellAnchor editAs="oneCell">
    <xdr:from>
      <xdr:col>9</xdr:col>
      <xdr:colOff>1008064</xdr:colOff>
      <xdr:row>3</xdr:row>
      <xdr:rowOff>80962</xdr:rowOff>
    </xdr:from>
    <xdr:to>
      <xdr:col>11</xdr:col>
      <xdr:colOff>66147</xdr:colOff>
      <xdr:row>4</xdr:row>
      <xdr:rowOff>224971</xdr:rowOff>
    </xdr:to>
    <xdr:pic>
      <xdr:nvPicPr>
        <xdr:cNvPr id="5" name="Imagen 4">
          <a:extLst>
            <a:ext uri="{FF2B5EF4-FFF2-40B4-BE49-F238E27FC236}">
              <a16:creationId xmlns:a16="http://schemas.microsoft.com/office/drawing/2014/main" id="{8BD7EA2E-04E4-43D1-9CF6-F47649376FBF}"/>
            </a:ext>
          </a:extLst>
        </xdr:cNvPr>
        <xdr:cNvPicPr>
          <a:picLocks noChangeAspect="1"/>
        </xdr:cNvPicPr>
      </xdr:nvPicPr>
      <xdr:blipFill>
        <a:blip xmlns:r="http://schemas.openxmlformats.org/officeDocument/2006/relationships" r:embed="rId1"/>
        <a:stretch>
          <a:fillRect/>
        </a:stretch>
      </xdr:blipFill>
      <xdr:spPr>
        <a:xfrm>
          <a:off x="1008064" y="652462"/>
          <a:ext cx="936625" cy="334509"/>
        </a:xfrm>
        <a:prstGeom prst="rect">
          <a:avLst/>
        </a:prstGeom>
      </xdr:spPr>
    </xdr:pic>
    <xdr:clientData/>
  </xdr:twoCellAnchor>
  <xdr:twoCellAnchor editAs="oneCell">
    <xdr:from>
      <xdr:col>10</xdr:col>
      <xdr:colOff>42862</xdr:colOff>
      <xdr:row>8</xdr:row>
      <xdr:rowOff>26988</xdr:rowOff>
    </xdr:from>
    <xdr:to>
      <xdr:col>15</xdr:col>
      <xdr:colOff>329671</xdr:colOff>
      <xdr:row>13</xdr:row>
      <xdr:rowOff>153194</xdr:rowOff>
    </xdr:to>
    <xdr:pic>
      <xdr:nvPicPr>
        <xdr:cNvPr id="6" name="Imagen 5">
          <a:extLst>
            <a:ext uri="{FF2B5EF4-FFF2-40B4-BE49-F238E27FC236}">
              <a16:creationId xmlns:a16="http://schemas.microsoft.com/office/drawing/2014/main" id="{B3AF7B9B-A93C-40F6-9C20-7374D0B55EDE}"/>
            </a:ext>
          </a:extLst>
        </xdr:cNvPr>
        <xdr:cNvPicPr>
          <a:picLocks noChangeAspect="1"/>
        </xdr:cNvPicPr>
      </xdr:nvPicPr>
      <xdr:blipFill>
        <a:blip xmlns:r="http://schemas.openxmlformats.org/officeDocument/2006/relationships" r:embed="rId4"/>
        <a:stretch>
          <a:fillRect/>
        </a:stretch>
      </xdr:blipFill>
      <xdr:spPr>
        <a:xfrm>
          <a:off x="1074737" y="1749426"/>
          <a:ext cx="4316413" cy="1078706"/>
        </a:xfrm>
        <a:prstGeom prst="rect">
          <a:avLst/>
        </a:prstGeom>
      </xdr:spPr>
    </xdr:pic>
    <xdr:clientData/>
  </xdr:twoCellAnchor>
  <xdr:twoCellAnchor editAs="oneCell">
    <xdr:from>
      <xdr:col>17</xdr:col>
      <xdr:colOff>63500</xdr:colOff>
      <xdr:row>14</xdr:row>
      <xdr:rowOff>141287</xdr:rowOff>
    </xdr:from>
    <xdr:to>
      <xdr:col>20</xdr:col>
      <xdr:colOff>234422</xdr:colOff>
      <xdr:row>18</xdr:row>
      <xdr:rowOff>6454</xdr:rowOff>
    </xdr:to>
    <xdr:pic>
      <xdr:nvPicPr>
        <xdr:cNvPr id="7" name="Imagen 6">
          <a:extLst>
            <a:ext uri="{FF2B5EF4-FFF2-40B4-BE49-F238E27FC236}">
              <a16:creationId xmlns:a16="http://schemas.microsoft.com/office/drawing/2014/main" id="{6121AEF6-F558-4932-93C6-2665DA63D5D2}"/>
            </a:ext>
          </a:extLst>
        </xdr:cNvPr>
        <xdr:cNvPicPr>
          <a:picLocks noChangeAspect="1"/>
        </xdr:cNvPicPr>
      </xdr:nvPicPr>
      <xdr:blipFill>
        <a:blip xmlns:r="http://schemas.openxmlformats.org/officeDocument/2006/relationships" r:embed="rId5"/>
        <a:stretch>
          <a:fillRect/>
        </a:stretch>
      </xdr:blipFill>
      <xdr:spPr>
        <a:xfrm>
          <a:off x="6738938" y="3006725"/>
          <a:ext cx="2636838" cy="627167"/>
        </a:xfrm>
        <a:prstGeom prst="rect">
          <a:avLst/>
        </a:prstGeom>
      </xdr:spPr>
    </xdr:pic>
    <xdr:clientData/>
  </xdr:twoCellAnchor>
  <xdr:twoCellAnchor editAs="oneCell">
    <xdr:from>
      <xdr:col>10</xdr:col>
      <xdr:colOff>88900</xdr:colOff>
      <xdr:row>14</xdr:row>
      <xdr:rowOff>107951</xdr:rowOff>
    </xdr:from>
    <xdr:to>
      <xdr:col>14</xdr:col>
      <xdr:colOff>160323</xdr:colOff>
      <xdr:row>19</xdr:row>
      <xdr:rowOff>775</xdr:rowOff>
    </xdr:to>
    <xdr:pic>
      <xdr:nvPicPr>
        <xdr:cNvPr id="8" name="Imagen 7">
          <a:extLst>
            <a:ext uri="{FF2B5EF4-FFF2-40B4-BE49-F238E27FC236}">
              <a16:creationId xmlns:a16="http://schemas.microsoft.com/office/drawing/2014/main" id="{6D985121-EB4A-4BEF-BF4D-25B6C95E8D3C}"/>
            </a:ext>
          </a:extLst>
        </xdr:cNvPr>
        <xdr:cNvPicPr>
          <a:picLocks noChangeAspect="1"/>
        </xdr:cNvPicPr>
      </xdr:nvPicPr>
      <xdr:blipFill>
        <a:blip xmlns:r="http://schemas.openxmlformats.org/officeDocument/2006/relationships" r:embed="rId6"/>
        <a:stretch>
          <a:fillRect/>
        </a:stretch>
      </xdr:blipFill>
      <xdr:spPr>
        <a:xfrm>
          <a:off x="1120775" y="2973389"/>
          <a:ext cx="3235839" cy="845324"/>
        </a:xfrm>
        <a:prstGeom prst="rect">
          <a:avLst/>
        </a:prstGeom>
      </xdr:spPr>
    </xdr:pic>
    <xdr:clientData/>
  </xdr:twoCellAnchor>
  <xdr:twoCellAnchor editAs="oneCell">
    <xdr:from>
      <xdr:col>16</xdr:col>
      <xdr:colOff>60326</xdr:colOff>
      <xdr:row>9</xdr:row>
      <xdr:rowOff>71438</xdr:rowOff>
    </xdr:from>
    <xdr:to>
      <xdr:col>17</xdr:col>
      <xdr:colOff>1146176</xdr:colOff>
      <xdr:row>11</xdr:row>
      <xdr:rowOff>5614</xdr:rowOff>
    </xdr:to>
    <xdr:pic>
      <xdr:nvPicPr>
        <xdr:cNvPr id="9" name="Imagen 8">
          <a:extLst>
            <a:ext uri="{FF2B5EF4-FFF2-40B4-BE49-F238E27FC236}">
              <a16:creationId xmlns:a16="http://schemas.microsoft.com/office/drawing/2014/main" id="{D4DA4F8B-4436-4133-9877-F5D2C26044A2}"/>
            </a:ext>
          </a:extLst>
        </xdr:cNvPr>
        <xdr:cNvPicPr>
          <a:picLocks noChangeAspect="1"/>
        </xdr:cNvPicPr>
      </xdr:nvPicPr>
      <xdr:blipFill>
        <a:blip xmlns:r="http://schemas.openxmlformats.org/officeDocument/2006/relationships" r:embed="rId7"/>
        <a:stretch>
          <a:fillRect/>
        </a:stretch>
      </xdr:blipFill>
      <xdr:spPr>
        <a:xfrm>
          <a:off x="5767389" y="1984376"/>
          <a:ext cx="2054225" cy="315176"/>
        </a:xfrm>
        <a:prstGeom prst="rect">
          <a:avLst/>
        </a:prstGeom>
      </xdr:spPr>
    </xdr:pic>
    <xdr:clientData/>
  </xdr:twoCellAnchor>
  <xdr:twoCellAnchor editAs="oneCell">
    <xdr:from>
      <xdr:col>10</xdr:col>
      <xdr:colOff>9524</xdr:colOff>
      <xdr:row>23</xdr:row>
      <xdr:rowOff>152400</xdr:rowOff>
    </xdr:from>
    <xdr:to>
      <xdr:col>16</xdr:col>
      <xdr:colOff>77036</xdr:colOff>
      <xdr:row>39</xdr:row>
      <xdr:rowOff>152052</xdr:rowOff>
    </xdr:to>
    <xdr:pic>
      <xdr:nvPicPr>
        <xdr:cNvPr id="10" name="Imagen 9">
          <a:extLst>
            <a:ext uri="{FF2B5EF4-FFF2-40B4-BE49-F238E27FC236}">
              <a16:creationId xmlns:a16="http://schemas.microsoft.com/office/drawing/2014/main" id="{6E082FD5-350C-47D0-A700-304D1D7C1653}"/>
            </a:ext>
          </a:extLst>
        </xdr:cNvPr>
        <xdr:cNvPicPr>
          <a:picLocks noChangeAspect="1"/>
        </xdr:cNvPicPr>
      </xdr:nvPicPr>
      <xdr:blipFill>
        <a:blip xmlns:r="http://schemas.openxmlformats.org/officeDocument/2006/relationships" r:embed="rId8"/>
        <a:stretch>
          <a:fillRect/>
        </a:stretch>
      </xdr:blipFill>
      <xdr:spPr>
        <a:xfrm>
          <a:off x="1038224" y="5067300"/>
          <a:ext cx="4860703" cy="3047652"/>
        </a:xfrm>
        <a:prstGeom prst="rect">
          <a:avLst/>
        </a:prstGeom>
      </xdr:spPr>
    </xdr:pic>
    <xdr:clientData/>
  </xdr:twoCellAnchor>
  <xdr:twoCellAnchor>
    <xdr:from>
      <xdr:col>14</xdr:col>
      <xdr:colOff>259080</xdr:colOff>
      <xdr:row>33</xdr:row>
      <xdr:rowOff>137160</xdr:rowOff>
    </xdr:from>
    <xdr:to>
      <xdr:col>15</xdr:col>
      <xdr:colOff>251460</xdr:colOff>
      <xdr:row>36</xdr:row>
      <xdr:rowOff>167640</xdr:rowOff>
    </xdr:to>
    <xdr:sp macro="" textlink="">
      <xdr:nvSpPr>
        <xdr:cNvPr id="11" name="Elipse 10">
          <a:extLst>
            <a:ext uri="{FF2B5EF4-FFF2-40B4-BE49-F238E27FC236}">
              <a16:creationId xmlns:a16="http://schemas.microsoft.com/office/drawing/2014/main" id="{FD23C253-86BC-41BC-AEAE-E246BF15755D}"/>
            </a:ext>
          </a:extLst>
        </xdr:cNvPr>
        <xdr:cNvSpPr/>
      </xdr:nvSpPr>
      <xdr:spPr>
        <a:xfrm>
          <a:off x="4335780" y="6957060"/>
          <a:ext cx="859155" cy="601980"/>
        </a:xfrm>
        <a:prstGeom prst="ellipse">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CO" sz="1100"/>
        </a:p>
      </xdr:txBody>
    </xdr:sp>
    <xdr:clientData/>
  </xdr:twoCellAnchor>
  <xdr:twoCellAnchor>
    <xdr:from>
      <xdr:col>22</xdr:col>
      <xdr:colOff>83820</xdr:colOff>
      <xdr:row>40</xdr:row>
      <xdr:rowOff>121920</xdr:rowOff>
    </xdr:from>
    <xdr:to>
      <xdr:col>24</xdr:col>
      <xdr:colOff>83820</xdr:colOff>
      <xdr:row>48</xdr:row>
      <xdr:rowOff>7620</xdr:rowOff>
    </xdr:to>
    <xdr:sp macro="" textlink="">
      <xdr:nvSpPr>
        <xdr:cNvPr id="12" name="Elipse 11">
          <a:extLst>
            <a:ext uri="{FF2B5EF4-FFF2-40B4-BE49-F238E27FC236}">
              <a16:creationId xmlns:a16="http://schemas.microsoft.com/office/drawing/2014/main" id="{033B0566-2BEA-49C2-B9CA-713340FDFF1D}"/>
            </a:ext>
          </a:extLst>
        </xdr:cNvPr>
        <xdr:cNvSpPr/>
      </xdr:nvSpPr>
      <xdr:spPr>
        <a:xfrm>
          <a:off x="9170670" y="8275320"/>
          <a:ext cx="1524000" cy="1409700"/>
        </a:xfrm>
        <a:prstGeom prst="ellipse">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122013</xdr:colOff>
      <xdr:row>36</xdr:row>
      <xdr:rowOff>82830</xdr:rowOff>
    </xdr:from>
    <xdr:to>
      <xdr:col>22</xdr:col>
      <xdr:colOff>129540</xdr:colOff>
      <xdr:row>43</xdr:row>
      <xdr:rowOff>7620</xdr:rowOff>
    </xdr:to>
    <xdr:cxnSp macro="">
      <xdr:nvCxnSpPr>
        <xdr:cNvPr id="13" name="Conector recto de flecha 12">
          <a:extLst>
            <a:ext uri="{FF2B5EF4-FFF2-40B4-BE49-F238E27FC236}">
              <a16:creationId xmlns:a16="http://schemas.microsoft.com/office/drawing/2014/main" id="{B764542C-A5FC-49BC-B90F-16AAA045278F}"/>
            </a:ext>
          </a:extLst>
        </xdr:cNvPr>
        <xdr:cNvCxnSpPr>
          <a:stCxn id="11" idx="5"/>
        </xdr:cNvCxnSpPr>
      </xdr:nvCxnSpPr>
      <xdr:spPr>
        <a:xfrm>
          <a:off x="5065488" y="7474230"/>
          <a:ext cx="4150902" cy="1258290"/>
        </a:xfrm>
        <a:prstGeom prst="straightConnector1">
          <a:avLst/>
        </a:prstGeom>
        <a:ln>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32</xdr:col>
      <xdr:colOff>716705</xdr:colOff>
      <xdr:row>65</xdr:row>
      <xdr:rowOff>102448</xdr:rowOff>
    </xdr:from>
    <xdr:to>
      <xdr:col>37</xdr:col>
      <xdr:colOff>452424</xdr:colOff>
      <xdr:row>70</xdr:row>
      <xdr:rowOff>2892</xdr:rowOff>
    </xdr:to>
    <xdr:pic>
      <xdr:nvPicPr>
        <xdr:cNvPr id="14" name="Imagen 13">
          <a:extLst>
            <a:ext uri="{FF2B5EF4-FFF2-40B4-BE49-F238E27FC236}">
              <a16:creationId xmlns:a16="http://schemas.microsoft.com/office/drawing/2014/main" id="{19370D8A-99F8-4EF8-9607-C0D33C0767DD}"/>
            </a:ext>
          </a:extLst>
        </xdr:cNvPr>
        <xdr:cNvPicPr>
          <a:picLocks noChangeAspect="1"/>
        </xdr:cNvPicPr>
      </xdr:nvPicPr>
      <xdr:blipFill>
        <a:blip xmlns:r="http://schemas.openxmlformats.org/officeDocument/2006/relationships" r:embed="rId6"/>
        <a:stretch>
          <a:fillRect/>
        </a:stretch>
      </xdr:blipFill>
      <xdr:spPr>
        <a:xfrm>
          <a:off x="26169622" y="12686031"/>
          <a:ext cx="3207052" cy="852944"/>
        </a:xfrm>
        <a:prstGeom prst="rect">
          <a:avLst/>
        </a:prstGeom>
      </xdr:spPr>
    </xdr:pic>
    <xdr:clientData/>
  </xdr:twoCellAnchor>
  <xdr:twoCellAnchor>
    <xdr:from>
      <xdr:col>34</xdr:col>
      <xdr:colOff>99060</xdr:colOff>
      <xdr:row>66</xdr:row>
      <xdr:rowOff>45720</xdr:rowOff>
    </xdr:from>
    <xdr:to>
      <xdr:col>34</xdr:col>
      <xdr:colOff>594360</xdr:colOff>
      <xdr:row>68</xdr:row>
      <xdr:rowOff>129540</xdr:rowOff>
    </xdr:to>
    <xdr:sp macro="" textlink="">
      <xdr:nvSpPr>
        <xdr:cNvPr id="15" name="Elipse 14">
          <a:extLst>
            <a:ext uri="{FF2B5EF4-FFF2-40B4-BE49-F238E27FC236}">
              <a16:creationId xmlns:a16="http://schemas.microsoft.com/office/drawing/2014/main" id="{3DF7E9D6-2F24-4B52-B33E-E8D76DC8A74D}"/>
            </a:ext>
          </a:extLst>
        </xdr:cNvPr>
        <xdr:cNvSpPr/>
      </xdr:nvSpPr>
      <xdr:spPr>
        <a:xfrm>
          <a:off x="18501360" y="13152120"/>
          <a:ext cx="495300" cy="46482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20</xdr:col>
      <xdr:colOff>83820</xdr:colOff>
      <xdr:row>70</xdr:row>
      <xdr:rowOff>137160</xdr:rowOff>
    </xdr:from>
    <xdr:to>
      <xdr:col>20</xdr:col>
      <xdr:colOff>571500</xdr:colOff>
      <xdr:row>72</xdr:row>
      <xdr:rowOff>83820</xdr:rowOff>
    </xdr:to>
    <xdr:sp macro="" textlink="">
      <xdr:nvSpPr>
        <xdr:cNvPr id="16" name="Elipse 15">
          <a:extLst>
            <a:ext uri="{FF2B5EF4-FFF2-40B4-BE49-F238E27FC236}">
              <a16:creationId xmlns:a16="http://schemas.microsoft.com/office/drawing/2014/main" id="{F49B470E-48F2-44F2-A42F-8F33EFA5AE87}"/>
            </a:ext>
          </a:extLst>
        </xdr:cNvPr>
        <xdr:cNvSpPr/>
      </xdr:nvSpPr>
      <xdr:spPr>
        <a:xfrm>
          <a:off x="8522970" y="14005560"/>
          <a:ext cx="487680" cy="32766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20</xdr:col>
      <xdr:colOff>571500</xdr:colOff>
      <xdr:row>67</xdr:row>
      <xdr:rowOff>87630</xdr:rowOff>
    </xdr:from>
    <xdr:to>
      <xdr:col>34</xdr:col>
      <xdr:colOff>99060</xdr:colOff>
      <xdr:row>71</xdr:row>
      <xdr:rowOff>110490</xdr:rowOff>
    </xdr:to>
    <xdr:cxnSp macro="">
      <xdr:nvCxnSpPr>
        <xdr:cNvPr id="17" name="Conector recto de flecha 16">
          <a:extLst>
            <a:ext uri="{FF2B5EF4-FFF2-40B4-BE49-F238E27FC236}">
              <a16:creationId xmlns:a16="http://schemas.microsoft.com/office/drawing/2014/main" id="{D81E2B56-14A4-4871-9263-DD9302D3A9CE}"/>
            </a:ext>
          </a:extLst>
        </xdr:cNvPr>
        <xdr:cNvCxnSpPr>
          <a:stCxn id="16" idx="6"/>
          <a:endCxn id="15" idx="2"/>
        </xdr:cNvCxnSpPr>
      </xdr:nvCxnSpPr>
      <xdr:spPr>
        <a:xfrm flipV="1">
          <a:off x="9010650" y="13384530"/>
          <a:ext cx="9490710" cy="78486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251460</xdr:colOff>
      <xdr:row>70</xdr:row>
      <xdr:rowOff>152400</xdr:rowOff>
    </xdr:from>
    <xdr:to>
      <xdr:col>25</xdr:col>
      <xdr:colOff>571500</xdr:colOff>
      <xdr:row>72</xdr:row>
      <xdr:rowOff>91440</xdr:rowOff>
    </xdr:to>
    <xdr:sp macro="" textlink="">
      <xdr:nvSpPr>
        <xdr:cNvPr id="18" name="Elipse 17">
          <a:extLst>
            <a:ext uri="{FF2B5EF4-FFF2-40B4-BE49-F238E27FC236}">
              <a16:creationId xmlns:a16="http://schemas.microsoft.com/office/drawing/2014/main" id="{84A3B230-9398-496C-B12D-AFE2FD15C499}"/>
            </a:ext>
          </a:extLst>
        </xdr:cNvPr>
        <xdr:cNvSpPr/>
      </xdr:nvSpPr>
      <xdr:spPr>
        <a:xfrm>
          <a:off x="11624310" y="14020800"/>
          <a:ext cx="320040" cy="320040"/>
        </a:xfrm>
        <a:prstGeom prst="ellipse">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CO" sz="1100"/>
        </a:p>
      </xdr:txBody>
    </xdr:sp>
    <xdr:clientData/>
  </xdr:twoCellAnchor>
  <xdr:twoCellAnchor>
    <xdr:from>
      <xdr:col>34</xdr:col>
      <xdr:colOff>403860</xdr:colOff>
      <xdr:row>68</xdr:row>
      <xdr:rowOff>30480</xdr:rowOff>
    </xdr:from>
    <xdr:to>
      <xdr:col>35</xdr:col>
      <xdr:colOff>68580</xdr:colOff>
      <xdr:row>69</xdr:row>
      <xdr:rowOff>152400</xdr:rowOff>
    </xdr:to>
    <xdr:sp macro="" textlink="">
      <xdr:nvSpPr>
        <xdr:cNvPr id="19" name="Elipse 18">
          <a:extLst>
            <a:ext uri="{FF2B5EF4-FFF2-40B4-BE49-F238E27FC236}">
              <a16:creationId xmlns:a16="http://schemas.microsoft.com/office/drawing/2014/main" id="{82FA721B-0724-4946-8E75-648A7CE9B9B7}"/>
            </a:ext>
          </a:extLst>
        </xdr:cNvPr>
        <xdr:cNvSpPr/>
      </xdr:nvSpPr>
      <xdr:spPr>
        <a:xfrm>
          <a:off x="18806160" y="13517880"/>
          <a:ext cx="302895" cy="312420"/>
        </a:xfrm>
        <a:prstGeom prst="ellipse">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CO" sz="1100"/>
        </a:p>
      </xdr:txBody>
    </xdr:sp>
    <xdr:clientData/>
  </xdr:twoCellAnchor>
  <xdr:twoCellAnchor>
    <xdr:from>
      <xdr:col>25</xdr:col>
      <xdr:colOff>571500</xdr:colOff>
      <xdr:row>69</xdr:row>
      <xdr:rowOff>45720</xdr:rowOff>
    </xdr:from>
    <xdr:to>
      <xdr:col>34</xdr:col>
      <xdr:colOff>434340</xdr:colOff>
      <xdr:row>71</xdr:row>
      <xdr:rowOff>121920</xdr:rowOff>
    </xdr:to>
    <xdr:cxnSp macro="">
      <xdr:nvCxnSpPr>
        <xdr:cNvPr id="20" name="Conector recto de flecha 19">
          <a:extLst>
            <a:ext uri="{FF2B5EF4-FFF2-40B4-BE49-F238E27FC236}">
              <a16:creationId xmlns:a16="http://schemas.microsoft.com/office/drawing/2014/main" id="{5C26F768-71E5-4134-9552-83DB986923A4}"/>
            </a:ext>
          </a:extLst>
        </xdr:cNvPr>
        <xdr:cNvCxnSpPr>
          <a:stCxn id="18" idx="6"/>
        </xdr:cNvCxnSpPr>
      </xdr:nvCxnSpPr>
      <xdr:spPr>
        <a:xfrm flipV="1">
          <a:off x="11944350" y="13723620"/>
          <a:ext cx="6892290" cy="457200"/>
        </a:xfrm>
        <a:prstGeom prst="straightConnector1">
          <a:avLst/>
        </a:prstGeom>
        <a:ln>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330200</xdr:colOff>
      <xdr:row>83</xdr:row>
      <xdr:rowOff>152400</xdr:rowOff>
    </xdr:from>
    <xdr:to>
      <xdr:col>19</xdr:col>
      <xdr:colOff>601133</xdr:colOff>
      <xdr:row>84</xdr:row>
      <xdr:rowOff>169333</xdr:rowOff>
    </xdr:to>
    <xdr:sp macro="" textlink="">
      <xdr:nvSpPr>
        <xdr:cNvPr id="21" name="Flecha: a la derecha 20">
          <a:extLst>
            <a:ext uri="{FF2B5EF4-FFF2-40B4-BE49-F238E27FC236}">
              <a16:creationId xmlns:a16="http://schemas.microsoft.com/office/drawing/2014/main" id="{4B4CDB47-0721-8425-0983-85EA47DFBA40}"/>
            </a:ext>
          </a:extLst>
        </xdr:cNvPr>
        <xdr:cNvSpPr/>
      </xdr:nvSpPr>
      <xdr:spPr>
        <a:xfrm>
          <a:off x="15976600" y="15815733"/>
          <a:ext cx="778933" cy="2032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21</xdr:col>
      <xdr:colOff>445994</xdr:colOff>
      <xdr:row>10</xdr:row>
      <xdr:rowOff>8403</xdr:rowOff>
    </xdr:from>
    <xdr:to>
      <xdr:col>27</xdr:col>
      <xdr:colOff>445994</xdr:colOff>
      <xdr:row>27</xdr:row>
      <xdr:rowOff>78440</xdr:rowOff>
    </xdr:to>
    <xdr:graphicFrame macro="">
      <xdr:nvGraphicFramePr>
        <xdr:cNvPr id="3" name="Gráfico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694764</xdr:colOff>
      <xdr:row>80</xdr:row>
      <xdr:rowOff>9271</xdr:rowOff>
    </xdr:from>
    <xdr:to>
      <xdr:col>27</xdr:col>
      <xdr:colOff>694764</xdr:colOff>
      <xdr:row>97</xdr:row>
      <xdr:rowOff>21292</xdr:rowOff>
    </xdr:to>
    <xdr:graphicFrame macro="">
      <xdr:nvGraphicFramePr>
        <xdr:cNvPr id="8" name="Gráfico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268431</xdr:colOff>
      <xdr:row>131</xdr:row>
      <xdr:rowOff>5194</xdr:rowOff>
    </xdr:from>
    <xdr:to>
      <xdr:col>27</xdr:col>
      <xdr:colOff>268431</xdr:colOff>
      <xdr:row>148</xdr:row>
      <xdr:rowOff>81394</xdr:rowOff>
    </xdr:to>
    <xdr:graphicFrame macro="">
      <xdr:nvGraphicFramePr>
        <xdr:cNvPr id="9" name="Gráfico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xdr:from>
          <xdr:col>16</xdr:col>
          <xdr:colOff>1581150</xdr:colOff>
          <xdr:row>0</xdr:row>
          <xdr:rowOff>66675</xdr:rowOff>
        </xdr:from>
        <xdr:to>
          <xdr:col>19</xdr:col>
          <xdr:colOff>1019175</xdr:colOff>
          <xdr:row>3</xdr:row>
          <xdr:rowOff>123825</xdr:rowOff>
        </xdr:to>
        <xdr:sp macro="" textlink="">
          <xdr:nvSpPr>
            <xdr:cNvPr id="11283" name="Object 19" hidden="1">
              <a:extLst>
                <a:ext uri="{63B3BB69-23CF-44E3-9099-C40C66FF867C}">
                  <a14:compatExt spid="_x0000_s11283"/>
                </a:ext>
                <a:ext uri="{FF2B5EF4-FFF2-40B4-BE49-F238E27FC236}">
                  <a16:creationId xmlns:a16="http://schemas.microsoft.com/office/drawing/2014/main" id="{00000000-0008-0000-0400-0000132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20</xdr:col>
          <xdr:colOff>466725</xdr:colOff>
          <xdr:row>0</xdr:row>
          <xdr:rowOff>114300</xdr:rowOff>
        </xdr:from>
        <xdr:to>
          <xdr:col>23</xdr:col>
          <xdr:colOff>142875</xdr:colOff>
          <xdr:row>3</xdr:row>
          <xdr:rowOff>171450</xdr:rowOff>
        </xdr:to>
        <xdr:sp macro="" textlink="">
          <xdr:nvSpPr>
            <xdr:cNvPr id="11284" name="Object 20" hidden="1">
              <a:extLst>
                <a:ext uri="{63B3BB69-23CF-44E3-9099-C40C66FF867C}">
                  <a14:compatExt spid="_x0000_s11284"/>
                </a:ext>
                <a:ext uri="{FF2B5EF4-FFF2-40B4-BE49-F238E27FC236}">
                  <a16:creationId xmlns:a16="http://schemas.microsoft.com/office/drawing/2014/main" id="{00000000-0008-0000-0400-0000142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2</xdr:col>
          <xdr:colOff>1352550</xdr:colOff>
          <xdr:row>1</xdr:row>
          <xdr:rowOff>209550</xdr:rowOff>
        </xdr:to>
        <xdr:sp macro="" textlink="">
          <xdr:nvSpPr>
            <xdr:cNvPr id="11351" name="Object 87" hidden="1">
              <a:extLst>
                <a:ext uri="{63B3BB69-23CF-44E3-9099-C40C66FF867C}">
                  <a14:compatExt spid="_x0000_s11351"/>
                </a:ext>
                <a:ext uri="{FF2B5EF4-FFF2-40B4-BE49-F238E27FC236}">
                  <a16:creationId xmlns:a16="http://schemas.microsoft.com/office/drawing/2014/main" id="{00000000-0008-0000-0400-0000572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oneCellAnchor>
    <xdr:from>
      <xdr:col>7</xdr:col>
      <xdr:colOff>142875</xdr:colOff>
      <xdr:row>17</xdr:row>
      <xdr:rowOff>152400</xdr:rowOff>
    </xdr:from>
    <xdr:ext cx="1000126" cy="612353"/>
    <xdr:sp macro="" textlink="">
      <xdr:nvSpPr>
        <xdr:cNvPr id="8" name="7 CuadroTexto">
          <a:extLst>
            <a:ext uri="{FF2B5EF4-FFF2-40B4-BE49-F238E27FC236}">
              <a16:creationId xmlns:a16="http://schemas.microsoft.com/office/drawing/2014/main" id="{00000000-0008-0000-0500-000008000000}"/>
            </a:ext>
          </a:extLst>
        </xdr:cNvPr>
        <xdr:cNvSpPr txBox="1"/>
      </xdr:nvSpPr>
      <xdr:spPr>
        <a:xfrm>
          <a:off x="8191500" y="2257425"/>
          <a:ext cx="1000126" cy="612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noAutofit/>
        </a:bodyPr>
        <a:lstStyle/>
        <a:p>
          <a:r>
            <a:rPr lang="es-PA" sz="2400" b="1" i="0">
              <a:latin typeface="Cambria Math"/>
              <a:ea typeface="Cambria Math"/>
            </a:rPr>
            <a:t>𝝆_</a:t>
          </a:r>
          <a:r>
            <a:rPr lang="es-PA" sz="2400" b="1" i="0">
              <a:latin typeface="Cambria Math"/>
            </a:rPr>
            <a:t>𝟎=</a:t>
          </a:r>
          <a:endParaRPr lang="es-PA" sz="2400" b="1"/>
        </a:p>
      </xdr:txBody>
    </xdr:sp>
    <xdr:clientData/>
  </xdr:oneCellAnchor>
  <xdr:twoCellAnchor editAs="oneCell">
    <xdr:from>
      <xdr:col>1</xdr:col>
      <xdr:colOff>1008528</xdr:colOff>
      <xdr:row>1</xdr:row>
      <xdr:rowOff>33618</xdr:rowOff>
    </xdr:from>
    <xdr:to>
      <xdr:col>5</xdr:col>
      <xdr:colOff>605118</xdr:colOff>
      <xdr:row>10</xdr:row>
      <xdr:rowOff>154283</xdr:rowOff>
    </xdr:to>
    <xdr:pic>
      <xdr:nvPicPr>
        <xdr:cNvPr id="14" name="13 Imagen">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srcRect l="15903" t="27062" r="13592" b="17784"/>
        <a:stretch/>
      </xdr:blipFill>
      <xdr:spPr>
        <a:xfrm>
          <a:off x="1770528" y="381000"/>
          <a:ext cx="4784914" cy="23394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38101</xdr:colOff>
      <xdr:row>0</xdr:row>
      <xdr:rowOff>28575</xdr:rowOff>
    </xdr:from>
    <xdr:to>
      <xdr:col>9</xdr:col>
      <xdr:colOff>100854</xdr:colOff>
      <xdr:row>9</xdr:row>
      <xdr:rowOff>343507</xdr:rowOff>
    </xdr:to>
    <xdr:pic>
      <xdr:nvPicPr>
        <xdr:cNvPr id="3" name="2 Imagen">
          <a:extLst>
            <a:ext uri="{FF2B5EF4-FFF2-40B4-BE49-F238E27FC236}">
              <a16:creationId xmlns:a16="http://schemas.microsoft.com/office/drawing/2014/main" id="{00000000-0008-0000-0600-000003000000}"/>
            </a:ext>
          </a:extLst>
        </xdr:cNvPr>
        <xdr:cNvPicPr>
          <a:picLocks noChangeAspect="1"/>
        </xdr:cNvPicPr>
      </xdr:nvPicPr>
      <xdr:blipFill rotWithShape="1">
        <a:blip xmlns:r="http://schemas.openxmlformats.org/officeDocument/2006/relationships" r:embed="rId1"/>
        <a:srcRect l="13283" t="29754" r="13270" b="13989"/>
        <a:stretch/>
      </xdr:blipFill>
      <xdr:spPr>
        <a:xfrm>
          <a:off x="38101" y="28575"/>
          <a:ext cx="8175812" cy="394563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76200</xdr:colOff>
      <xdr:row>16</xdr:row>
      <xdr:rowOff>76200</xdr:rowOff>
    </xdr:from>
    <xdr:to>
      <xdr:col>13</xdr:col>
      <xdr:colOff>5443</xdr:colOff>
      <xdr:row>18</xdr:row>
      <xdr:rowOff>151765</xdr:rowOff>
    </xdr:to>
    <xdr:pic>
      <xdr:nvPicPr>
        <xdr:cNvPr id="3" name="2 Imagen" descr="http://www.astm.org/SNEWS/SPANISH/SPMA11/images/ma11dp_1_big.gif">
          <a:extLst>
            <a:ext uri="{FF2B5EF4-FFF2-40B4-BE49-F238E27FC236}">
              <a16:creationId xmlns:a16="http://schemas.microsoft.com/office/drawing/2014/main" id="{00000000-0008-0000-0700-000003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11316"/>
        <a:stretch/>
      </xdr:blipFill>
      <xdr:spPr bwMode="auto">
        <a:xfrm>
          <a:off x="8820150" y="9124950"/>
          <a:ext cx="2105025" cy="456565"/>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24</xdr:row>
      <xdr:rowOff>104775</xdr:rowOff>
    </xdr:from>
    <xdr:to>
      <xdr:col>4</xdr:col>
      <xdr:colOff>676275</xdr:colOff>
      <xdr:row>40</xdr:row>
      <xdr:rowOff>9525</xdr:rowOff>
    </xdr:to>
    <xdr:graphicFrame macro="">
      <xdr:nvGraphicFramePr>
        <xdr:cNvPr id="3" name="Gráfico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23</xdr:col>
      <xdr:colOff>19050</xdr:colOff>
      <xdr:row>3</xdr:row>
      <xdr:rowOff>9525</xdr:rowOff>
    </xdr:from>
    <xdr:to>
      <xdr:col>34</xdr:col>
      <xdr:colOff>466724</xdr:colOff>
      <xdr:row>21</xdr:row>
      <xdr:rowOff>9526</xdr:rowOff>
    </xdr:to>
    <xdr:graphicFrame macro="">
      <xdr:nvGraphicFramePr>
        <xdr:cNvPr id="2" name="Gráfico 1">
          <a:extLst>
            <a:ext uri="{FF2B5EF4-FFF2-40B4-BE49-F238E27FC236}">
              <a16:creationId xmlns:a16="http://schemas.microsoft.com/office/drawing/2014/main" id="{CE4CF1DC-A5B2-4DBB-B365-7422EF1DB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38098</xdr:colOff>
      <xdr:row>124</xdr:row>
      <xdr:rowOff>161924</xdr:rowOff>
    </xdr:from>
    <xdr:to>
      <xdr:col>31</xdr:col>
      <xdr:colOff>761999</xdr:colOff>
      <xdr:row>145</xdr:row>
      <xdr:rowOff>57150</xdr:rowOff>
    </xdr:to>
    <xdr:graphicFrame macro="">
      <xdr:nvGraphicFramePr>
        <xdr:cNvPr id="3" name="Gráfico 2">
          <a:extLst>
            <a:ext uri="{FF2B5EF4-FFF2-40B4-BE49-F238E27FC236}">
              <a16:creationId xmlns:a16="http://schemas.microsoft.com/office/drawing/2014/main" id="{A805B735-294A-4004-9181-15C286379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19049</xdr:colOff>
      <xdr:row>64</xdr:row>
      <xdr:rowOff>9525</xdr:rowOff>
    </xdr:from>
    <xdr:to>
      <xdr:col>32</xdr:col>
      <xdr:colOff>695324</xdr:colOff>
      <xdr:row>86</xdr:row>
      <xdr:rowOff>47625</xdr:rowOff>
    </xdr:to>
    <xdr:graphicFrame macro="">
      <xdr:nvGraphicFramePr>
        <xdr:cNvPr id="4" name="Gráfico 3">
          <a:extLst>
            <a:ext uri="{FF2B5EF4-FFF2-40B4-BE49-F238E27FC236}">
              <a16:creationId xmlns:a16="http://schemas.microsoft.com/office/drawing/2014/main" id="{996954A9-4EB9-46FC-8C87-AE662E8E7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9525</xdr:colOff>
      <xdr:row>21</xdr:row>
      <xdr:rowOff>66674</xdr:rowOff>
    </xdr:from>
    <xdr:to>
      <xdr:col>34</xdr:col>
      <xdr:colOff>466725</xdr:colOff>
      <xdr:row>39</xdr:row>
      <xdr:rowOff>95249</xdr:rowOff>
    </xdr:to>
    <xdr:graphicFrame macro="">
      <xdr:nvGraphicFramePr>
        <xdr:cNvPr id="5" name="Gráfico 4">
          <a:extLst>
            <a:ext uri="{FF2B5EF4-FFF2-40B4-BE49-F238E27FC236}">
              <a16:creationId xmlns:a16="http://schemas.microsoft.com/office/drawing/2014/main" id="{DCEE9C4C-FF57-42BD-86D8-938A64702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28574</xdr:colOff>
      <xdr:row>87</xdr:row>
      <xdr:rowOff>47625</xdr:rowOff>
    </xdr:from>
    <xdr:to>
      <xdr:col>32</xdr:col>
      <xdr:colOff>676275</xdr:colOff>
      <xdr:row>105</xdr:row>
      <xdr:rowOff>9525</xdr:rowOff>
    </xdr:to>
    <xdr:graphicFrame macro="">
      <xdr:nvGraphicFramePr>
        <xdr:cNvPr id="6" name="Gráfico 5">
          <a:extLst>
            <a:ext uri="{FF2B5EF4-FFF2-40B4-BE49-F238E27FC236}">
              <a16:creationId xmlns:a16="http://schemas.microsoft.com/office/drawing/2014/main" id="{0C693801-1202-49C4-911B-9330466E5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28574</xdr:colOff>
      <xdr:row>145</xdr:row>
      <xdr:rowOff>95249</xdr:rowOff>
    </xdr:from>
    <xdr:to>
      <xdr:col>32</xdr:col>
      <xdr:colOff>19049</xdr:colOff>
      <xdr:row>163</xdr:row>
      <xdr:rowOff>47624</xdr:rowOff>
    </xdr:to>
    <xdr:graphicFrame macro="">
      <xdr:nvGraphicFramePr>
        <xdr:cNvPr id="7" name="Gráfico 6">
          <a:extLst>
            <a:ext uri="{FF2B5EF4-FFF2-40B4-BE49-F238E27FC236}">
              <a16:creationId xmlns:a16="http://schemas.microsoft.com/office/drawing/2014/main" id="{50F33407-A909-48F3-A2C7-5BC1C51E1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alidad.TECSERVICE\Documents\DVERA\Mis%20Documentos\16%20ACTUALIZACIONES%20DOC%20LAB%202024\TVO637-24A%20Lafrancol%20S.A.S.%20bal&#243;n%20aforado%20(25ml)%20I-1393%20nueva%20interpol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7872D5D3\TVO859-24A%20Laboratorio%20Franco%20Colombiano%20Lafrancol%20S.A.S.%20micropipeta%20(10-100ul)(0,1ul)%20MICP-L2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CALIDAD.TECSERVICE\AppData\Local\Microsoft\Windows\INetCache\Content.Outlook\97TL5RHJ\DEFAnexo%201.%20V7%2018-LAC-027%20SEG2_2021%20Etap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cance"/>
      <sheetName val="DATOS GENERALES"/>
      <sheetName val="Certificado de calibración"/>
      <sheetName val="Trazabilidad"/>
      <sheetName val="INCERTIDUMBRE DE LA MEDIDA"/>
      <sheetName val="CONFIRMACION INCERTIDUMBRE"/>
      <sheetName val="DATOS CORRECCIONES EQUIPOS EMPL"/>
      <sheetName val="DENSIDAD DEL AIRE "/>
      <sheetName val="Densidad del Agua"/>
      <sheetName val="Chequeo Balanza "/>
      <sheetName val="medicion conductividad del agua"/>
    </sheetNames>
    <sheetDataSet>
      <sheetData sheetId="0"/>
      <sheetData sheetId="1">
        <row r="161">
          <cell r="C161">
            <v>0</v>
          </cell>
        </row>
        <row r="176">
          <cell r="A176">
            <v>0</v>
          </cell>
          <cell r="C176">
            <v>0</v>
          </cell>
        </row>
        <row r="191">
          <cell r="A191">
            <v>0</v>
          </cell>
          <cell r="C191">
            <v>0</v>
          </cell>
        </row>
        <row r="206">
          <cell r="A206">
            <v>0</v>
          </cell>
          <cell r="C206">
            <v>0</v>
          </cell>
        </row>
        <row r="221">
          <cell r="A221">
            <v>0</v>
          </cell>
          <cell r="C221">
            <v>0</v>
          </cell>
        </row>
        <row r="236">
          <cell r="A236">
            <v>0</v>
          </cell>
          <cell r="C236">
            <v>0</v>
          </cell>
        </row>
        <row r="251">
          <cell r="A251">
            <v>0</v>
          </cell>
          <cell r="C251">
            <v>0</v>
          </cell>
        </row>
      </sheetData>
      <sheetData sheetId="2"/>
      <sheetData sheetId="3">
        <row r="5">
          <cell r="T5" t="str">
            <v>TEC-LAB-BA-07</v>
          </cell>
          <cell r="U5" t="str">
            <v xml:space="preserve">Balanza semimicro </v>
          </cell>
          <cell r="W5" t="str">
            <v>TM704-23A</v>
          </cell>
          <cell r="X5">
            <v>45184</v>
          </cell>
          <cell r="Z5" t="str">
            <v>Tecservice S.A.S</v>
          </cell>
        </row>
        <row r="6">
          <cell r="T6" t="str">
            <v>TEC-LAB-BA-04</v>
          </cell>
          <cell r="U6" t="str">
            <v>Balanza</v>
          </cell>
          <cell r="W6" t="str">
            <v>56948-C</v>
          </cell>
          <cell r="X6">
            <v>45202</v>
          </cell>
          <cell r="Z6" t="str">
            <v>Detecto</v>
          </cell>
        </row>
        <row r="7">
          <cell r="T7" t="str">
            <v>TEC-LAB-BA-05</v>
          </cell>
          <cell r="U7" t="str">
            <v>Balanza</v>
          </cell>
          <cell r="W7" t="str">
            <v>TM708-23A</v>
          </cell>
          <cell r="X7">
            <v>45184</v>
          </cell>
          <cell r="Z7" t="str">
            <v>Tecservice S.A.S</v>
          </cell>
        </row>
        <row r="8">
          <cell r="T8" t="str">
            <v>TEC-LAB-BA-08</v>
          </cell>
          <cell r="U8" t="str">
            <v>Bascula</v>
          </cell>
          <cell r="W8" t="str">
            <v>TM707-23A</v>
          </cell>
          <cell r="X8">
            <v>45184</v>
          </cell>
          <cell r="Z8" t="str">
            <v>Tecservice S.A.S</v>
          </cell>
        </row>
        <row r="9">
          <cell r="T9" t="str">
            <v>N.A.</v>
          </cell>
          <cell r="U9" t="str">
            <v/>
          </cell>
          <cell r="W9" t="str">
            <v/>
          </cell>
          <cell r="X9" t="str">
            <v/>
          </cell>
          <cell r="Z9" t="str">
            <v/>
          </cell>
        </row>
        <row r="10">
          <cell r="T10" t="str">
            <v>TEC-LAB-TEM-33</v>
          </cell>
          <cell r="U10" t="str">
            <v>Termómetro digital</v>
          </cell>
          <cell r="W10" t="str">
            <v>4244-14900637</v>
          </cell>
          <cell r="X10">
            <v>45350</v>
          </cell>
          <cell r="Z10" t="str">
            <v>Control Company</v>
          </cell>
        </row>
        <row r="11">
          <cell r="T11" t="str">
            <v>TEC-LAB-TEM-11</v>
          </cell>
          <cell r="U11" t="str">
            <v>Termómetro digital</v>
          </cell>
          <cell r="W11" t="str">
            <v>TLM-T-2258</v>
          </cell>
          <cell r="X11">
            <v>45359</v>
          </cell>
          <cell r="Z11" t="str">
            <v>Tesla</v>
          </cell>
        </row>
        <row r="12">
          <cell r="T12" t="str">
            <v>TEC-LAB-PTHRI-01</v>
          </cell>
          <cell r="U12" t="str">
            <v>Termo higrómetro barómetro digital</v>
          </cell>
          <cell r="W12" t="str">
            <v>TLM-TH-1251/TLM-P-3401</v>
          </cell>
          <cell r="X12" t="str">
            <v>2023-06-01/2023-06-05</v>
          </cell>
          <cell r="Z12" t="str">
            <v>Tesla</v>
          </cell>
        </row>
        <row r="13">
          <cell r="T13" t="str">
            <v>TEC-LAB-TH-01</v>
          </cell>
          <cell r="U13" t="str">
            <v>Termo higrómetro digital</v>
          </cell>
          <cell r="W13" t="str">
            <v>TLM-TH-1859C</v>
          </cell>
          <cell r="X13">
            <v>45337</v>
          </cell>
          <cell r="Z13" t="str">
            <v>Tesla</v>
          </cell>
        </row>
      </sheetData>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GENERALES"/>
      <sheetName val="Certificado de calibración"/>
      <sheetName val="Trazabilidad"/>
      <sheetName val="INCERTIDUMBRE DE LA MEDIDA"/>
      <sheetName val="DATOS CORRECCIONES EQUIPOS EMPL"/>
      <sheetName val="DENSIDAD DEL AIRE "/>
      <sheetName val="Densidad del Agua"/>
      <sheetName val="Chequeo Balanza "/>
      <sheetName val="medicion conductividad del agua"/>
      <sheetName val="Hoja2"/>
      <sheetName val="Alcance"/>
    </sheetNames>
    <sheetDataSet>
      <sheetData sheetId="0"/>
      <sheetData sheetId="1"/>
      <sheetData sheetId="2"/>
      <sheetData sheetId="3">
        <row r="8">
          <cell r="Q8">
            <v>1</v>
          </cell>
        </row>
        <row r="61">
          <cell r="B61" t="str">
            <v>Incertidumbre estandar combinada</v>
          </cell>
          <cell r="M61">
            <v>1.3741270495484006E-4</v>
          </cell>
        </row>
        <row r="69">
          <cell r="Q69">
            <v>2</v>
          </cell>
        </row>
        <row r="122">
          <cell r="B122" t="str">
            <v>Incertidumbre estandar combinada</v>
          </cell>
          <cell r="M122">
            <v>1.3903762183136616E-4</v>
          </cell>
        </row>
        <row r="130">
          <cell r="Q130">
            <v>3</v>
          </cell>
        </row>
        <row r="183">
          <cell r="B183" t="str">
            <v>Incertidumbre estandar combinada</v>
          </cell>
          <cell r="M183">
            <v>1.4156075482701393E-4</v>
          </cell>
        </row>
      </sheetData>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0-03-30"/>
      <sheetName val="Hoja1"/>
      <sheetName val="Instrucciones diligenciamiento "/>
    </sheetNames>
    <sheetDataSet>
      <sheetData sheetId="0"/>
      <sheetData sheetId="1">
        <row r="1">
          <cell r="A1" t="str">
            <v>DA1</v>
          </cell>
          <cell r="B1" t="str">
            <v>Presión y frecuencia acústica</v>
          </cell>
        </row>
        <row r="2">
          <cell r="A2" t="str">
            <v>DA2</v>
          </cell>
          <cell r="B2" t="str">
            <v>Intensidad y velocidad acústica</v>
          </cell>
        </row>
        <row r="3">
          <cell r="A3" t="str">
            <v>DA3</v>
          </cell>
          <cell r="B3" t="str">
            <v>Impedancia acústica</v>
          </cell>
        </row>
        <row r="4">
          <cell r="A4" t="str">
            <v>DA4</v>
          </cell>
          <cell r="B4" t="str">
            <v>Potencia acústica (ultrasonido)</v>
          </cell>
        </row>
        <row r="5">
          <cell r="A5" t="str">
            <v>DA5</v>
          </cell>
          <cell r="B5" t="str">
            <v>Vibración</v>
          </cell>
        </row>
        <row r="6">
          <cell r="A6" t="str">
            <v>DB1</v>
          </cell>
          <cell r="B6" t="str">
            <v xml:space="preserve">Concentración de sustancia/ Fracción de cantidad </v>
          </cell>
        </row>
        <row r="7">
          <cell r="A7" t="str">
            <v>DB2</v>
          </cell>
          <cell r="B7" t="str">
            <v>Conductividad</v>
          </cell>
        </row>
        <row r="8">
          <cell r="A8" t="str">
            <v>DB5</v>
          </cell>
          <cell r="B8" t="str">
            <v>Potencial de Hidrógeno - pH</v>
          </cell>
        </row>
        <row r="9">
          <cell r="A9" t="str">
            <v>DC1</v>
          </cell>
          <cell r="B9" t="str">
            <v>Ángulo</v>
          </cell>
        </row>
        <row r="10">
          <cell r="A10" t="str">
            <v>DC2</v>
          </cell>
          <cell r="B10" t="str">
            <v xml:space="preserve">Formas (cilíndricas, esféricas, otras formas, paralelismo, parámetros de roscas, perpendicularidad, planitud, rectitud, redondez)  </v>
          </cell>
        </row>
        <row r="11">
          <cell r="A11" t="str">
            <v>DC3</v>
          </cell>
          <cell r="B11" t="str">
            <v>Longitud</v>
          </cell>
        </row>
        <row r="12">
          <cell r="A12" t="str">
            <v>DC4</v>
          </cell>
          <cell r="B12" t="str">
            <v>Rugosidad</v>
          </cell>
        </row>
        <row r="13">
          <cell r="A13" t="str">
            <v>DC5</v>
          </cell>
          <cell r="B13" t="str">
            <v>Tamaño de partícula (granulometría)</v>
          </cell>
        </row>
        <row r="14">
          <cell r="A14" t="str">
            <v>DC6</v>
          </cell>
          <cell r="B14" t="str">
            <v>Mediciones geodésicas</v>
          </cell>
        </row>
        <row r="15">
          <cell r="A15" t="str">
            <v>DC7</v>
          </cell>
          <cell r="B15" t="str">
            <v>Nivel</v>
          </cell>
        </row>
        <row r="16">
          <cell r="A16" t="str">
            <v>DD1</v>
          </cell>
          <cell r="B16" t="str">
            <v>Actividad de fuentes radioactivas</v>
          </cell>
        </row>
        <row r="17">
          <cell r="A17" t="str">
            <v>DD2</v>
          </cell>
          <cell r="B17" t="str">
            <v>Magnitudes dosimétricas (kerma en el aire, exposición, tasa de kerma en el aire, tasa de exposición)</v>
          </cell>
        </row>
        <row r="18">
          <cell r="A18" t="str">
            <v>DD3</v>
          </cell>
          <cell r="B18" t="str">
            <v>Magnitudes radiométricas</v>
          </cell>
        </row>
        <row r="19">
          <cell r="A19" t="str">
            <v>DD4</v>
          </cell>
          <cell r="B19" t="str">
            <v xml:space="preserve">Magnitudes de radioprotección (dosis equivalentes, tasa de dosis equivalentes, dosis equivalente personal, dosis equivalente ambiental, tasa de dosis equivalente personal, tasa de dosis equivalente ambiental, tasa de tejido bajo un determinado espesor) </v>
          </cell>
        </row>
        <row r="20">
          <cell r="A20" t="str">
            <v>DE1</v>
          </cell>
          <cell r="B20" t="str">
            <v xml:space="preserve">Ángulo de fase </v>
          </cell>
        </row>
        <row r="21">
          <cell r="A21" t="str">
            <v>DE2</v>
          </cell>
          <cell r="B21" t="str">
            <v>Capacitancia eléctrica</v>
          </cell>
        </row>
        <row r="22">
          <cell r="A22" t="str">
            <v>DE3</v>
          </cell>
          <cell r="B22" t="str">
            <v>Energía</v>
          </cell>
        </row>
        <row r="23">
          <cell r="A23" t="str">
            <v>DE4</v>
          </cell>
          <cell r="B23" t="str">
            <v>Factor de disipación</v>
          </cell>
        </row>
        <row r="24">
          <cell r="A24" t="str">
            <v>DE5</v>
          </cell>
          <cell r="B24" t="str">
            <v>Impulsos de alta tensión</v>
          </cell>
        </row>
        <row r="25">
          <cell r="A25" t="str">
            <v>DE6</v>
          </cell>
          <cell r="B25" t="str">
            <v>Inductancia</v>
          </cell>
        </row>
        <row r="26">
          <cell r="A26" t="str">
            <v>DE7</v>
          </cell>
          <cell r="B26" t="str">
            <v>Corriente eléctrica C.A.</v>
          </cell>
        </row>
        <row r="27">
          <cell r="A27" t="str">
            <v>DE8</v>
          </cell>
          <cell r="B27" t="str">
            <v>Corriente eléctrica C.C.</v>
          </cell>
        </row>
        <row r="28">
          <cell r="A28" t="str">
            <v>DE9</v>
          </cell>
          <cell r="B28" t="str">
            <v>Potencia C.A.</v>
          </cell>
        </row>
        <row r="29">
          <cell r="A29" t="str">
            <v>DE10</v>
          </cell>
          <cell r="B29" t="str">
            <v>Potencia C.C.</v>
          </cell>
        </row>
        <row r="30">
          <cell r="A30" t="str">
            <v>DE11</v>
          </cell>
          <cell r="B30" t="str">
            <v>Transformación C.A./C.C. (Tensión y corriente eléctrica)</v>
          </cell>
        </row>
        <row r="31">
          <cell r="A31" t="str">
            <v>DE12</v>
          </cell>
          <cell r="B31" t="str">
            <v>Resistencia</v>
          </cell>
        </row>
        <row r="32">
          <cell r="A32" t="str">
            <v>DE13</v>
          </cell>
          <cell r="B32" t="str">
            <v>Tensión eléctrica C.A.</v>
          </cell>
        </row>
        <row r="33">
          <cell r="A33" t="str">
            <v>DE14</v>
          </cell>
          <cell r="B33" t="str">
            <v>Tensión eléctrica C.C.</v>
          </cell>
        </row>
        <row r="34">
          <cell r="A34" t="str">
            <v>DE15</v>
          </cell>
          <cell r="B34" t="str">
            <v>Transferencia de tensión C.A. /C.C.</v>
          </cell>
        </row>
        <row r="35">
          <cell r="A35" t="str">
            <v>DE16</v>
          </cell>
          <cell r="B35" t="str">
            <v>Simulación eléctrica de temperatura</v>
          </cell>
        </row>
        <row r="36">
          <cell r="A36" t="str">
            <v>DE17</v>
          </cell>
          <cell r="B36" t="str">
            <v>Densidad del flujo electrónico</v>
          </cell>
        </row>
        <row r="37">
          <cell r="A37" t="str">
            <v>DE18</v>
          </cell>
          <cell r="B37" t="str">
            <v>Inducción magnética</v>
          </cell>
        </row>
        <row r="38">
          <cell r="A38" t="str">
            <v>DE19</v>
          </cell>
          <cell r="B38" t="str">
            <v>Propiedades de materiales electrónicos (permeabilidad, pérdidas magnéticas)</v>
          </cell>
        </row>
        <row r="39">
          <cell r="A39" t="str">
            <v>DE20</v>
          </cell>
          <cell r="B39" t="str">
            <v>Potencia en RF (atenuación)</v>
          </cell>
        </row>
        <row r="40">
          <cell r="A40" t="str">
            <v>DE21</v>
          </cell>
          <cell r="B40" t="str">
            <v>Potencia en RF (parámetros de dispersión, coeficiente de reflexión, coeficiente de transmisión)</v>
          </cell>
        </row>
        <row r="41">
          <cell r="A41" t="str">
            <v>DE22</v>
          </cell>
          <cell r="B41" t="str">
            <v>Potencia en RF (factor de calibración)</v>
          </cell>
        </row>
        <row r="42">
          <cell r="A42" t="str">
            <v>DE23</v>
          </cell>
          <cell r="B42" t="str">
            <v>Ruido</v>
          </cell>
        </row>
        <row r="43">
          <cell r="A43" t="str">
            <v>DF1</v>
          </cell>
          <cell r="B43" t="str">
            <v>Caudal másico</v>
          </cell>
        </row>
        <row r="44">
          <cell r="A44" t="str">
            <v>DF2</v>
          </cell>
          <cell r="B44" t="str">
            <v>Caudal volumétrico</v>
          </cell>
        </row>
        <row r="45">
          <cell r="A45" t="str">
            <v>DF3</v>
          </cell>
          <cell r="B45" t="str">
            <v>Caudal en canales</v>
          </cell>
        </row>
        <row r="46">
          <cell r="A46" t="str">
            <v>DF4</v>
          </cell>
          <cell r="B46" t="str">
            <v>Tamaño de partícula (fluidos)</v>
          </cell>
        </row>
        <row r="47">
          <cell r="A47" t="str">
            <v>DF5</v>
          </cell>
          <cell r="B47" t="str">
            <v>Velocidad de fluidos</v>
          </cell>
        </row>
        <row r="48">
          <cell r="A48" t="str">
            <v>DF6</v>
          </cell>
          <cell r="B48" t="str">
            <v>Pequeños volúmenes (hasta 5 L)</v>
          </cell>
        </row>
        <row r="49">
          <cell r="A49" t="str">
            <v>DF7</v>
          </cell>
          <cell r="B49" t="str">
            <v>Medianos volúmenes (5 L ≤ V &lt; 5000 L)</v>
          </cell>
        </row>
        <row r="50">
          <cell r="A50" t="str">
            <v>DF8</v>
          </cell>
          <cell r="B50" t="str">
            <v>Grandes volúmenes (mayor a 5000 L)</v>
          </cell>
        </row>
        <row r="51">
          <cell r="A51" t="str">
            <v>DF9</v>
          </cell>
          <cell r="B51" t="str">
            <v>Probadores de caudal/volumen</v>
          </cell>
        </row>
        <row r="52">
          <cell r="A52" t="str">
            <v>DG1</v>
          </cell>
          <cell r="B52" t="str">
            <v xml:space="preserve">Masa </v>
          </cell>
        </row>
        <row r="53">
          <cell r="A53" t="str">
            <v>DG2</v>
          </cell>
          <cell r="B53" t="str">
            <v>Aceleración</v>
          </cell>
        </row>
        <row r="54">
          <cell r="A54" t="str">
            <v>DG3</v>
          </cell>
          <cell r="B54" t="str">
            <v>Densidad</v>
          </cell>
        </row>
        <row r="55">
          <cell r="A55" t="str">
            <v>DG4</v>
          </cell>
          <cell r="B55" t="str">
            <v>Viscosidad</v>
          </cell>
        </row>
        <row r="56">
          <cell r="A56" t="str">
            <v>DG5</v>
          </cell>
          <cell r="B56" t="str">
            <v>Fuerza</v>
          </cell>
        </row>
        <row r="57">
          <cell r="A57" t="str">
            <v>DG6</v>
          </cell>
          <cell r="B57" t="str">
            <v>Par torsional</v>
          </cell>
        </row>
        <row r="58">
          <cell r="A58" t="str">
            <v>DG7</v>
          </cell>
          <cell r="B58" t="str">
            <v>Dureza</v>
          </cell>
        </row>
        <row r="59">
          <cell r="A59" t="str">
            <v>DG8</v>
          </cell>
          <cell r="B59" t="str">
            <v>Presión</v>
          </cell>
        </row>
        <row r="60">
          <cell r="A60" t="str">
            <v>DG9</v>
          </cell>
          <cell r="B60" t="str">
            <v>Velocidad lineal</v>
          </cell>
        </row>
        <row r="61">
          <cell r="A61" t="str">
            <v>DH1</v>
          </cell>
          <cell r="B61" t="str">
            <v>Radiometría</v>
          </cell>
        </row>
        <row r="62">
          <cell r="A62" t="str">
            <v>DH2</v>
          </cell>
          <cell r="B62" t="str">
            <v>Fotometría</v>
          </cell>
        </row>
        <row r="63">
          <cell r="A63" t="str">
            <v>DH3</v>
          </cell>
          <cell r="B63" t="str">
            <v>Propiedades de los sistemas ópticos (atenuación óptica, longitud de onda, potencia óptica)</v>
          </cell>
        </row>
        <row r="64">
          <cell r="A64" t="str">
            <v>DH4</v>
          </cell>
          <cell r="B64" t="str">
            <v>Espectrofotometría</v>
          </cell>
        </row>
        <row r="65">
          <cell r="A65" t="str">
            <v>DH5</v>
          </cell>
          <cell r="B65" t="str">
            <v>Opacidad</v>
          </cell>
        </row>
        <row r="66">
          <cell r="A66" t="str">
            <v>DH6</v>
          </cell>
          <cell r="B66" t="str">
            <v>Radiación UV</v>
          </cell>
        </row>
        <row r="67">
          <cell r="A67" t="str">
            <v>DH7</v>
          </cell>
          <cell r="B67" t="str">
            <v>Colorimetría</v>
          </cell>
        </row>
        <row r="68">
          <cell r="A68" t="str">
            <v>DH8</v>
          </cell>
          <cell r="B68" t="str">
            <v>Refractometría</v>
          </cell>
        </row>
        <row r="69">
          <cell r="A69" t="str">
            <v>DH9</v>
          </cell>
          <cell r="B69" t="str">
            <v>Turbidimetría</v>
          </cell>
        </row>
        <row r="70">
          <cell r="A70" t="str">
            <v>DI1</v>
          </cell>
          <cell r="B70" t="str">
            <v>Humedad relativa</v>
          </cell>
        </row>
        <row r="71">
          <cell r="A71" t="str">
            <v>DI2</v>
          </cell>
          <cell r="B71" t="str">
            <v>Temperatura</v>
          </cell>
        </row>
        <row r="72">
          <cell r="A72" t="str">
            <v>DI3</v>
          </cell>
          <cell r="B72" t="str">
            <v>Temperatura de punto de rocío</v>
          </cell>
        </row>
        <row r="73">
          <cell r="A73" t="str">
            <v>DI4</v>
          </cell>
          <cell r="B73" t="str">
            <v>Termometría de radiación (infrarrojos)</v>
          </cell>
        </row>
        <row r="74">
          <cell r="A74" t="str">
            <v>DI5</v>
          </cell>
          <cell r="B74" t="str">
            <v>Caracterización medios isotérmicos en humedad relativa (exactitud conjunto sensor indicador, homogeneidad y estabilidad)</v>
          </cell>
        </row>
        <row r="75">
          <cell r="A75" t="str">
            <v>DI6</v>
          </cell>
          <cell r="B75" t="str">
            <v>Caracterización de medios isotérmicos en temperatura (exactitud conjunto sensor indicador, homogeneidad y estabilidad)</v>
          </cell>
        </row>
        <row r="76">
          <cell r="A76" t="str">
            <v>DI7</v>
          </cell>
          <cell r="B76" t="str">
            <v>Propiedades térmicas de los materiales</v>
          </cell>
        </row>
        <row r="77">
          <cell r="A77" t="str">
            <v>DJ1</v>
          </cell>
          <cell r="B77" t="str">
            <v>Frecuencia</v>
          </cell>
        </row>
        <row r="78">
          <cell r="A78" t="str">
            <v>DJ2</v>
          </cell>
          <cell r="B78" t="str">
            <v>Intervalo de tiempo</v>
          </cell>
        </row>
        <row r="79">
          <cell r="A79" t="str">
            <v>DJ3</v>
          </cell>
          <cell r="B79" t="str">
            <v>Periodo</v>
          </cell>
        </row>
        <row r="80">
          <cell r="A80" t="str">
            <v>DJ4</v>
          </cell>
          <cell r="B80" t="str">
            <v>Velocidad de vehículo</v>
          </cell>
        </row>
        <row r="81">
          <cell r="A81" t="str">
            <v>DK1</v>
          </cell>
          <cell r="B81" t="str">
            <v>Energía Eléctrica (Medidores de energía eléctrica)</v>
          </cell>
        </row>
        <row r="82">
          <cell r="A82" t="str">
            <v>DK2</v>
          </cell>
          <cell r="B82" t="str">
            <v>Volumen (Medidores de gas)</v>
          </cell>
        </row>
        <row r="83">
          <cell r="A83" t="str">
            <v>DK3</v>
          </cell>
          <cell r="B83" t="str">
            <v>Volumen (Medidores de agua)</v>
          </cell>
        </row>
      </sheetData>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image" Target="../media/image1.emf"/><Relationship Id="rId5" Type="http://schemas.openxmlformats.org/officeDocument/2006/relationships/oleObject" Target="../embeddings/oleObject2.bin"/><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hyperlink" Target="https://youtu.be/WtRRT4YwAyM?si=vyZ179gciL1UpRil" TargetMode="Externa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vmlDrawing" Target="../drawings/vmlDrawing5.vml"/><Relationship Id="rId7" Type="http://schemas.openxmlformats.org/officeDocument/2006/relationships/oleObject" Target="../embeddings/oleObject5.bin"/><Relationship Id="rId2" Type="http://schemas.openxmlformats.org/officeDocument/2006/relationships/drawing" Target="../drawings/drawing5.xml"/><Relationship Id="rId1" Type="http://schemas.openxmlformats.org/officeDocument/2006/relationships/printerSettings" Target="../printerSettings/printerSettings3.bin"/><Relationship Id="rId6" Type="http://schemas.openxmlformats.org/officeDocument/2006/relationships/oleObject" Target="../embeddings/oleObject4.bin"/><Relationship Id="rId5" Type="http://schemas.openxmlformats.org/officeDocument/2006/relationships/image" Target="../media/image1.emf"/><Relationship Id="rId4" Type="http://schemas.openxmlformats.org/officeDocument/2006/relationships/oleObject" Target="../embeddings/oleObject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88"/>
  <sheetViews>
    <sheetView showGridLines="0" tabSelected="1" view="pageBreakPreview" topLeftCell="A71" zoomScaleNormal="80" zoomScaleSheetLayoutView="100" workbookViewId="0">
      <selection activeCell="B151" sqref="B151:S151"/>
    </sheetView>
  </sheetViews>
  <sheetFormatPr baseColWidth="10" defaultColWidth="11.42578125" defaultRowHeight="12.75" x14ac:dyDescent="0.2"/>
  <cols>
    <col min="1" max="1" width="9.42578125" style="3" customWidth="1"/>
    <col min="2" max="2" width="4.7109375" style="3" customWidth="1"/>
    <col min="3" max="3" width="7.5703125" style="3" customWidth="1"/>
    <col min="4" max="4" width="21.85546875" style="3" customWidth="1"/>
    <col min="5" max="5" width="6.42578125" style="3" customWidth="1"/>
    <col min="6" max="7" width="4.7109375" style="3" customWidth="1"/>
    <col min="8" max="8" width="6.28515625" style="3" customWidth="1"/>
    <col min="9" max="9" width="5.5703125" style="3" customWidth="1"/>
    <col min="10" max="10" width="5.85546875" style="3" customWidth="1"/>
    <col min="11" max="11" width="9.28515625" style="3" customWidth="1"/>
    <col min="12" max="12" width="8.28515625" style="3" customWidth="1"/>
    <col min="13" max="13" width="12.5703125" style="3" customWidth="1"/>
    <col min="14" max="14" width="9.85546875" style="3" customWidth="1"/>
    <col min="15" max="15" width="5.28515625" style="3" customWidth="1"/>
    <col min="16" max="16" width="16.140625" style="3" customWidth="1"/>
    <col min="17" max="17" width="7.28515625" style="3" customWidth="1"/>
    <col min="18" max="18" width="8.28515625" style="3" customWidth="1"/>
    <col min="19" max="19" width="5.85546875" style="3" customWidth="1"/>
    <col min="20" max="20" width="7.42578125" style="3" customWidth="1"/>
    <col min="21" max="21" width="14.140625" style="3" customWidth="1"/>
    <col min="22" max="22" width="15.28515625" style="3" customWidth="1"/>
    <col min="23" max="23" width="10.85546875" style="177" customWidth="1"/>
    <col min="24" max="24" width="11" style="3" customWidth="1"/>
    <col min="25" max="25" width="10.85546875" style="3" customWidth="1"/>
    <col min="26" max="26" width="11.140625" style="3" customWidth="1"/>
    <col min="27" max="27" width="10" style="3" customWidth="1"/>
    <col min="28" max="28" width="20.28515625" style="3" customWidth="1"/>
    <col min="29" max="30" width="16.42578125" style="3" customWidth="1"/>
    <col min="31" max="31" width="8.28515625" style="3" customWidth="1"/>
    <col min="32" max="32" width="5.7109375" style="3" customWidth="1"/>
    <col min="33" max="33" width="8.5703125" style="3" customWidth="1"/>
    <col min="34" max="34" width="5.7109375" style="3" customWidth="1"/>
    <col min="35" max="35" width="19" style="3" customWidth="1"/>
    <col min="36" max="66" width="5.7109375" style="3" customWidth="1"/>
    <col min="67" max="16384" width="11.42578125" style="3"/>
  </cols>
  <sheetData>
    <row r="1" spans="1:29" ht="20.25" customHeight="1" x14ac:dyDescent="0.2">
      <c r="A1" s="1139"/>
      <c r="B1" s="1139"/>
      <c r="C1" s="1139"/>
      <c r="D1" s="1139"/>
      <c r="E1" s="1139"/>
      <c r="F1" s="1138" t="s">
        <v>780</v>
      </c>
      <c r="G1" s="1138"/>
      <c r="H1" s="1138"/>
      <c r="I1" s="1138"/>
      <c r="J1" s="1138"/>
      <c r="K1" s="1138"/>
      <c r="L1" s="1138"/>
      <c r="M1" s="1138"/>
      <c r="N1" s="1138"/>
      <c r="O1" s="1138"/>
      <c r="P1" s="1138"/>
      <c r="Q1" s="1138"/>
      <c r="R1" s="1138"/>
      <c r="S1" s="1138"/>
      <c r="T1" s="1138"/>
      <c r="U1" s="1138"/>
      <c r="V1" s="1138"/>
    </row>
    <row r="2" spans="1:29" ht="25.5" customHeight="1" x14ac:dyDescent="0.2">
      <c r="A2" s="1139"/>
      <c r="B2" s="1139"/>
      <c r="C2" s="1139"/>
      <c r="D2" s="1139"/>
      <c r="E2" s="1139"/>
      <c r="F2" s="1140" t="s">
        <v>781</v>
      </c>
      <c r="G2" s="1140"/>
      <c r="H2" s="1140"/>
      <c r="I2" s="1140"/>
      <c r="J2" s="1140"/>
      <c r="K2" s="1140"/>
      <c r="L2" s="1140"/>
      <c r="M2" s="1140"/>
      <c r="N2" s="1140"/>
      <c r="O2" s="1140"/>
      <c r="P2" s="1140"/>
      <c r="Q2" s="1140"/>
      <c r="R2" s="1140"/>
      <c r="S2" s="1140"/>
      <c r="T2" s="1140"/>
      <c r="U2" s="1140"/>
      <c r="V2" s="1140"/>
    </row>
    <row r="3" spans="1:29" ht="13.9" customHeight="1" x14ac:dyDescent="0.2">
      <c r="A3" s="1070"/>
      <c r="B3" s="1070"/>
      <c r="C3" s="1070"/>
      <c r="D3" s="1070"/>
      <c r="E3" s="1070"/>
      <c r="F3" s="1070"/>
      <c r="G3" s="1070"/>
      <c r="H3" s="1070"/>
      <c r="I3" s="1070"/>
      <c r="J3" s="1070"/>
      <c r="K3" s="1070"/>
      <c r="L3" s="1070"/>
      <c r="M3" s="1070"/>
      <c r="N3" s="1070"/>
      <c r="O3" s="1070"/>
      <c r="P3" s="1070"/>
      <c r="Q3" s="1070"/>
      <c r="R3" s="1070"/>
      <c r="S3" s="1071"/>
      <c r="T3" s="1071"/>
      <c r="U3" s="1071"/>
      <c r="V3" s="1071"/>
    </row>
    <row r="4" spans="1:29" ht="20.25" customHeight="1" x14ac:dyDescent="0.2">
      <c r="A4" s="1141" t="s">
        <v>782</v>
      </c>
      <c r="B4" s="1141"/>
      <c r="C4" s="1141"/>
      <c r="D4" s="1141"/>
      <c r="E4" s="1141"/>
      <c r="F4" s="1141"/>
      <c r="G4" s="1141"/>
      <c r="H4" s="1141"/>
      <c r="I4" s="1141"/>
      <c r="J4" s="1141"/>
      <c r="K4" s="1141"/>
      <c r="L4" s="1141"/>
      <c r="M4" s="1141"/>
      <c r="N4" s="1141"/>
      <c r="O4" s="1141"/>
      <c r="P4" s="1141"/>
      <c r="Q4" s="1141"/>
      <c r="R4" s="1141"/>
      <c r="S4" s="1141"/>
      <c r="T4" s="1141"/>
      <c r="U4" s="1141"/>
      <c r="V4" s="1141"/>
    </row>
    <row r="5" spans="1:29" ht="7.5" customHeight="1" x14ac:dyDescent="0.2"/>
    <row r="6" spans="1:29" ht="7.5" customHeight="1" thickBot="1" x14ac:dyDescent="0.25"/>
    <row r="7" spans="1:29" ht="18.75" customHeight="1" thickBot="1" x14ac:dyDescent="0.25">
      <c r="A7" s="1290" t="s">
        <v>7</v>
      </c>
      <c r="B7" s="1290"/>
      <c r="C7" s="1290"/>
      <c r="D7" s="1290"/>
      <c r="E7" s="1387"/>
      <c r="F7" s="1401" t="s">
        <v>788</v>
      </c>
      <c r="G7" s="1402"/>
      <c r="H7" s="1402"/>
      <c r="I7" s="1402"/>
      <c r="J7" s="1403"/>
      <c r="K7" s="1288" t="s">
        <v>298</v>
      </c>
      <c r="L7" s="1288"/>
      <c r="M7" s="1288"/>
      <c r="N7" s="1384"/>
      <c r="O7" s="1388">
        <v>0.33750000000000002</v>
      </c>
      <c r="P7" s="1389"/>
      <c r="Q7" s="1389"/>
      <c r="R7" s="1389"/>
      <c r="S7" s="1390"/>
      <c r="T7" s="119"/>
    </row>
    <row r="8" spans="1:29" ht="5.25" customHeight="1" thickBot="1" x14ac:dyDescent="0.25">
      <c r="A8" s="119"/>
      <c r="B8" s="119"/>
      <c r="C8" s="119"/>
      <c r="D8" s="119"/>
      <c r="E8" s="119"/>
      <c r="F8" s="453"/>
      <c r="G8" s="453"/>
      <c r="H8" s="453"/>
      <c r="I8" s="453"/>
      <c r="J8" s="453"/>
      <c r="O8" s="452"/>
      <c r="P8" s="452"/>
      <c r="Q8" s="452"/>
      <c r="R8" s="452"/>
      <c r="S8" s="452"/>
      <c r="T8" s="119"/>
    </row>
    <row r="9" spans="1:29" ht="18" customHeight="1" thickBot="1" x14ac:dyDescent="0.25">
      <c r="A9" s="1289" t="s">
        <v>41</v>
      </c>
      <c r="B9" s="1290"/>
      <c r="C9" s="1290"/>
      <c r="D9" s="1290"/>
      <c r="E9" s="1387"/>
      <c r="F9" s="1404">
        <v>46042</v>
      </c>
      <c r="G9" s="1405"/>
      <c r="H9" s="1405"/>
      <c r="I9" s="1405"/>
      <c r="J9" s="1406"/>
      <c r="K9" s="1385" t="s">
        <v>297</v>
      </c>
      <c r="L9" s="1386"/>
      <c r="M9" s="1386"/>
      <c r="N9" s="1386"/>
      <c r="O9" s="1395">
        <v>0.36666666666666664</v>
      </c>
      <c r="P9" s="1396"/>
      <c r="Q9" s="1396"/>
      <c r="R9" s="1396"/>
      <c r="S9" s="1397"/>
      <c r="T9" s="119"/>
    </row>
    <row r="10" spans="1:29" ht="3.75" customHeight="1" thickBot="1" x14ac:dyDescent="0.25">
      <c r="F10" s="454"/>
      <c r="G10" s="454"/>
      <c r="H10" s="454"/>
      <c r="I10" s="454"/>
      <c r="J10" s="453"/>
      <c r="O10" s="119"/>
      <c r="P10" s="416"/>
      <c r="Q10" s="416"/>
      <c r="R10" s="416"/>
      <c r="S10" s="416"/>
      <c r="T10" s="119"/>
    </row>
    <row r="11" spans="1:29" ht="18.75" customHeight="1" thickBot="1" x14ac:dyDescent="0.25">
      <c r="A11" s="1290" t="s">
        <v>4</v>
      </c>
      <c r="B11" s="1290"/>
      <c r="C11" s="1290"/>
      <c r="D11" s="1290"/>
      <c r="E11" s="1387"/>
      <c r="F11" s="1404">
        <v>46049</v>
      </c>
      <c r="G11" s="1405"/>
      <c r="H11" s="1405"/>
      <c r="I11" s="1405"/>
      <c r="J11" s="1406"/>
    </row>
    <row r="12" spans="1:29" ht="14.25" customHeight="1" x14ac:dyDescent="0.2">
      <c r="K12" s="177"/>
      <c r="L12" s="177"/>
      <c r="M12" s="177"/>
      <c r="N12" s="177"/>
    </row>
    <row r="13" spans="1:29" ht="13.5" thickBot="1" x14ac:dyDescent="0.25">
      <c r="A13" s="1168" t="s">
        <v>17</v>
      </c>
      <c r="B13" s="1168"/>
      <c r="C13" s="1168"/>
      <c r="D13" s="1168"/>
      <c r="E13" s="1168"/>
      <c r="F13" s="1168"/>
      <c r="G13" s="1168"/>
      <c r="H13" s="1168"/>
      <c r="I13" s="1380"/>
      <c r="J13" s="1380"/>
      <c r="K13" s="1168"/>
      <c r="L13" s="1168"/>
      <c r="M13" s="1168"/>
      <c r="N13" s="1168"/>
      <c r="O13" s="1168"/>
      <c r="P13" s="1168"/>
      <c r="Q13" s="1168"/>
      <c r="R13" s="1168"/>
      <c r="S13" s="1168"/>
      <c r="T13" s="1168"/>
    </row>
    <row r="14" spans="1:29" s="119" customFormat="1" ht="22.5" customHeight="1" thickBot="1" x14ac:dyDescent="0.25">
      <c r="A14" s="1393" t="s">
        <v>3</v>
      </c>
      <c r="B14" s="1394"/>
      <c r="C14" s="1298" t="s">
        <v>789</v>
      </c>
      <c r="D14" s="1299"/>
      <c r="E14" s="1299"/>
      <c r="F14" s="1299"/>
      <c r="G14" s="1299"/>
      <c r="H14" s="1300"/>
      <c r="I14" s="1391" t="s">
        <v>1</v>
      </c>
      <c r="J14" s="1392"/>
      <c r="K14" s="1301" t="s">
        <v>790</v>
      </c>
      <c r="L14" s="1302"/>
      <c r="M14" s="1302"/>
      <c r="N14" s="1302"/>
      <c r="O14" s="1303"/>
      <c r="P14" s="1383" t="s">
        <v>5</v>
      </c>
      <c r="Q14" s="1383"/>
      <c r="R14" s="1398" t="s">
        <v>791</v>
      </c>
      <c r="S14" s="1399"/>
      <c r="T14" s="1400"/>
      <c r="W14" s="1277"/>
      <c r="X14" s="1277"/>
      <c r="Y14" s="1277"/>
      <c r="Z14" s="1277"/>
      <c r="AA14" s="133"/>
    </row>
    <row r="15" spans="1:29" s="119" customFormat="1" ht="22.5" customHeight="1" thickBot="1" x14ac:dyDescent="0.25">
      <c r="A15" s="1393" t="s">
        <v>714</v>
      </c>
      <c r="B15" s="1394"/>
      <c r="C15" s="1298" t="s">
        <v>792</v>
      </c>
      <c r="D15" s="1299"/>
      <c r="E15" s="1299"/>
      <c r="F15" s="1299"/>
      <c r="G15" s="1299"/>
      <c r="H15" s="1300"/>
      <c r="I15" s="1391" t="s">
        <v>715</v>
      </c>
      <c r="J15" s="1392"/>
      <c r="K15" s="1301" t="s">
        <v>793</v>
      </c>
      <c r="L15" s="1302"/>
      <c r="M15" s="1302"/>
      <c r="N15" s="1302"/>
      <c r="O15" s="1302"/>
      <c r="P15" s="1420"/>
      <c r="Q15" s="1421"/>
      <c r="R15" s="1407"/>
      <c r="S15" s="1407"/>
      <c r="T15" s="1408"/>
      <c r="W15" s="1277"/>
      <c r="X15" s="1277"/>
      <c r="Y15" s="1277"/>
      <c r="Z15" s="1277"/>
      <c r="AA15" s="133"/>
    </row>
    <row r="16" spans="1:29" ht="15" customHeight="1" thickBot="1" x14ac:dyDescent="0.25">
      <c r="A16" s="1168" t="s">
        <v>18</v>
      </c>
      <c r="B16" s="1168"/>
      <c r="C16" s="1380"/>
      <c r="D16" s="1380"/>
      <c r="E16" s="1380"/>
      <c r="F16" s="1380"/>
      <c r="G16" s="1380"/>
      <c r="H16" s="1168"/>
      <c r="I16" s="1381"/>
      <c r="J16" s="1382"/>
      <c r="K16" s="1380"/>
      <c r="L16" s="1380"/>
      <c r="M16" s="1380"/>
      <c r="N16" s="1168"/>
      <c r="O16" s="1168"/>
      <c r="P16" s="1382"/>
      <c r="Q16" s="1382"/>
      <c r="R16" s="1382"/>
      <c r="S16" s="1382"/>
      <c r="T16" s="1382"/>
      <c r="AC16" s="304">
        <f>F22</f>
        <v>2.4000000000000001E-4</v>
      </c>
    </row>
    <row r="17" spans="1:24" s="119" customFormat="1" ht="18.75" customHeight="1" thickBot="1" x14ac:dyDescent="0.25">
      <c r="A17" s="1282" t="s">
        <v>6</v>
      </c>
      <c r="B17" s="1283"/>
      <c r="C17" s="1304" t="s">
        <v>561</v>
      </c>
      <c r="D17" s="1305"/>
      <c r="E17" s="1305"/>
      <c r="F17" s="1305"/>
      <c r="G17" s="1306"/>
      <c r="H17" s="1292" t="s">
        <v>11</v>
      </c>
      <c r="I17" s="1293"/>
      <c r="J17" s="1160" t="s">
        <v>794</v>
      </c>
      <c r="K17" s="1161"/>
      <c r="L17" s="1161"/>
      <c r="M17" s="1162"/>
      <c r="N17" s="1292" t="s">
        <v>270</v>
      </c>
      <c r="O17" s="1293"/>
      <c r="P17" s="1160" t="s">
        <v>795</v>
      </c>
      <c r="Q17" s="1161"/>
      <c r="R17" s="1161"/>
      <c r="S17" s="1161"/>
      <c r="T17" s="1162"/>
      <c r="W17" s="133"/>
    </row>
    <row r="18" spans="1:24" s="119" customFormat="1" ht="18.75" customHeight="1" thickBot="1" x14ac:dyDescent="0.25">
      <c r="A18" s="1291" t="s">
        <v>21</v>
      </c>
      <c r="B18" s="1289"/>
      <c r="C18" s="1307" t="s">
        <v>796</v>
      </c>
      <c r="D18" s="1305"/>
      <c r="E18" s="1305"/>
      <c r="F18" s="1305"/>
      <c r="G18" s="1306"/>
      <c r="H18" s="1294" t="s">
        <v>12</v>
      </c>
      <c r="I18" s="1295"/>
      <c r="J18" s="1308" t="s">
        <v>797</v>
      </c>
      <c r="K18" s="1309"/>
      <c r="L18" s="1309"/>
      <c r="M18" s="1310"/>
      <c r="N18" s="1296" t="s">
        <v>40</v>
      </c>
      <c r="O18" s="1288"/>
      <c r="P18" s="1160" t="s">
        <v>798</v>
      </c>
      <c r="Q18" s="1161"/>
      <c r="R18" s="1161"/>
      <c r="S18" s="1161"/>
      <c r="T18" s="1162"/>
      <c r="W18" s="133"/>
    </row>
    <row r="19" spans="1:24" s="119" customFormat="1" ht="18.75" customHeight="1" thickBot="1" x14ac:dyDescent="0.25">
      <c r="A19" s="1289" t="s">
        <v>248</v>
      </c>
      <c r="B19" s="1290"/>
      <c r="C19" s="1283"/>
      <c r="D19" s="1283"/>
      <c r="E19" s="1285" t="s">
        <v>269</v>
      </c>
      <c r="F19" s="1286"/>
      <c r="G19" s="1286"/>
      <c r="H19" s="1286"/>
      <c r="I19" s="1286"/>
      <c r="J19" s="1286"/>
      <c r="K19" s="1286"/>
      <c r="L19" s="1286"/>
      <c r="M19" s="1287"/>
      <c r="N19" s="1288" t="s">
        <v>371</v>
      </c>
      <c r="O19" s="1288"/>
      <c r="P19" s="1160">
        <v>1</v>
      </c>
      <c r="Q19" s="1161"/>
      <c r="R19" s="1161"/>
      <c r="S19" s="1162"/>
      <c r="T19" s="455" t="s">
        <v>315</v>
      </c>
      <c r="U19" s="188">
        <f>LEN(P19)</f>
        <v>1</v>
      </c>
      <c r="W19" s="133"/>
    </row>
    <row r="20" spans="1:24" s="119" customFormat="1" ht="18.75" customHeight="1" x14ac:dyDescent="0.2">
      <c r="A20" s="1279" t="s">
        <v>19</v>
      </c>
      <c r="B20" s="1279"/>
      <c r="C20" s="1279"/>
      <c r="D20" s="1279"/>
      <c r="E20" s="1280"/>
      <c r="F20" s="1280"/>
      <c r="G20" s="1280"/>
      <c r="H20" s="1280"/>
      <c r="I20" s="1280"/>
      <c r="J20" s="1280"/>
      <c r="K20" s="1280"/>
      <c r="L20" s="1280"/>
      <c r="M20" s="1280"/>
      <c r="N20" s="1279"/>
      <c r="O20" s="1279"/>
      <c r="P20" s="1280"/>
      <c r="Q20" s="1280"/>
      <c r="R20" s="1280"/>
      <c r="S20" s="1280"/>
      <c r="T20" s="1280"/>
      <c r="W20" s="133"/>
    </row>
    <row r="21" spans="1:24" s="119" customFormat="1" ht="18.75" customHeight="1" x14ac:dyDescent="0.2">
      <c r="A21" s="1281" t="s">
        <v>57</v>
      </c>
      <c r="B21" s="1281"/>
      <c r="C21" s="1281"/>
      <c r="D21" s="1297" t="s">
        <v>336</v>
      </c>
      <c r="E21" s="1297"/>
      <c r="F21" s="1297"/>
      <c r="G21" s="1297"/>
      <c r="H21" s="1284" t="s">
        <v>783</v>
      </c>
      <c r="I21" s="1284"/>
      <c r="J21" s="1284"/>
      <c r="K21" s="604">
        <v>100</v>
      </c>
      <c r="L21" s="609" t="s">
        <v>268</v>
      </c>
      <c r="M21" s="604">
        <v>1000</v>
      </c>
      <c r="N21" s="604" t="s">
        <v>315</v>
      </c>
      <c r="O21" s="1291" t="s">
        <v>62</v>
      </c>
      <c r="P21" s="1291"/>
      <c r="Q21" s="1291"/>
      <c r="R21" s="608">
        <v>7.96</v>
      </c>
      <c r="S21" s="1278" t="s">
        <v>383</v>
      </c>
      <c r="T21" s="1278"/>
      <c r="W21" s="133"/>
    </row>
    <row r="22" spans="1:24" s="119" customFormat="1" ht="18.75" customHeight="1" x14ac:dyDescent="0.2">
      <c r="A22" s="1291" t="s">
        <v>391</v>
      </c>
      <c r="B22" s="1291"/>
      <c r="C22" s="1291"/>
      <c r="D22" s="1291"/>
      <c r="E22" s="1291"/>
      <c r="F22" s="1326">
        <f>IF(D21="","",VLOOKUP(D21,Z164:AB178,3,FALSE))</f>
        <v>2.4000000000000001E-4</v>
      </c>
      <c r="G22" s="1326"/>
      <c r="H22" s="1291" t="s">
        <v>58</v>
      </c>
      <c r="I22" s="1291"/>
      <c r="J22" s="1291"/>
      <c r="K22" s="1291"/>
      <c r="L22" s="1291"/>
      <c r="M22" s="604">
        <v>20</v>
      </c>
      <c r="N22" s="605" t="s">
        <v>23</v>
      </c>
      <c r="O22" s="1281" t="s">
        <v>78</v>
      </c>
      <c r="P22" s="605" t="str">
        <f>CONCATENATE("E"," ",N21)</f>
        <v>E µL</v>
      </c>
      <c r="Q22" s="697">
        <v>8</v>
      </c>
      <c r="R22" s="613" t="s">
        <v>274</v>
      </c>
      <c r="S22" s="607"/>
      <c r="T22" s="696">
        <v>0.8</v>
      </c>
      <c r="W22" s="188">
        <f>LEN(Q22)</f>
        <v>1</v>
      </c>
      <c r="X22" s="188">
        <f>W22-1</f>
        <v>0</v>
      </c>
    </row>
    <row r="23" spans="1:24" ht="18" customHeight="1" x14ac:dyDescent="0.2">
      <c r="A23" s="1333" t="s">
        <v>324</v>
      </c>
      <c r="B23" s="1333"/>
      <c r="C23" s="1333"/>
      <c r="D23" s="1332" t="s">
        <v>325</v>
      </c>
      <c r="E23" s="1332"/>
      <c r="F23" s="1332"/>
      <c r="G23" s="1332"/>
      <c r="H23" s="1342" t="s">
        <v>329</v>
      </c>
      <c r="I23" s="1342"/>
      <c r="J23" s="1342"/>
      <c r="K23" s="1331" t="s">
        <v>330</v>
      </c>
      <c r="L23" s="1331"/>
      <c r="M23" s="1331"/>
      <c r="N23" s="1331"/>
      <c r="O23" s="1281"/>
      <c r="P23" s="606" t="str">
        <f>CONCATENATE("CV"," ",N21)</f>
        <v>CV µL</v>
      </c>
      <c r="Q23" s="698">
        <v>3</v>
      </c>
      <c r="R23" s="613" t="s">
        <v>271</v>
      </c>
      <c r="S23" s="573"/>
      <c r="T23" s="647">
        <v>0.3</v>
      </c>
      <c r="W23" s="188">
        <f>LEN(Q23)</f>
        <v>1</v>
      </c>
      <c r="X23" s="188">
        <f>W23-1</f>
        <v>0</v>
      </c>
    </row>
    <row r="24" spans="1:24" ht="27" customHeight="1" x14ac:dyDescent="0.2">
      <c r="A24" s="623" t="s">
        <v>716</v>
      </c>
      <c r="B24" s="572"/>
      <c r="C24" s="624"/>
      <c r="D24" s="700" t="s">
        <v>559</v>
      </c>
      <c r="E24" s="478"/>
      <c r="F24" s="1063"/>
      <c r="G24" s="1064"/>
      <c r="H24" s="1065"/>
      <c r="I24" s="1065"/>
      <c r="J24" s="1065"/>
      <c r="K24" s="1066"/>
      <c r="L24" s="480" t="s">
        <v>456</v>
      </c>
      <c r="M24" s="481"/>
      <c r="N24" s="1318"/>
      <c r="O24" s="1319"/>
      <c r="P24" s="1315" t="s">
        <v>458</v>
      </c>
      <c r="Q24" s="1316"/>
      <c r="R24" s="1316"/>
      <c r="S24" s="1317"/>
      <c r="T24" s="618"/>
      <c r="U24" s="479" t="s">
        <v>461</v>
      </c>
    </row>
    <row r="25" spans="1:24" ht="24.75" customHeight="1" x14ac:dyDescent="0.2">
      <c r="A25" s="623" t="s">
        <v>717</v>
      </c>
      <c r="B25" s="626"/>
      <c r="C25" s="624"/>
      <c r="D25" s="625" t="s">
        <v>14</v>
      </c>
      <c r="E25" s="478"/>
      <c r="F25" s="1064"/>
      <c r="G25" s="1064"/>
      <c r="H25" s="1065"/>
      <c r="I25" s="1065"/>
      <c r="J25" s="1065"/>
      <c r="K25" s="1066"/>
      <c r="L25" s="1320" t="str">
        <f>IF($N$24="Simple","Aceptación simple (ILAC G8), evaluando tanto el error sistematico como el error aleatorio,",IF($N$24="Conservadora","Declaración Binaria con zona de seguridad (ILAC G8), zona de seguridad igual a la incertidumbre expandida, evaluando tanto el error sistematico como el error aleatorio, ","N.A. No fue requeridad declaracion de conformidad."))</f>
        <v>N.A. No fue requeridad declaracion de conformidad.</v>
      </c>
      <c r="M25" s="1321"/>
      <c r="N25" s="1321"/>
      <c r="O25" s="1321"/>
      <c r="P25" s="1324" t="s">
        <v>718</v>
      </c>
      <c r="Q25" s="1324"/>
      <c r="R25" s="1324"/>
      <c r="S25" s="1324"/>
      <c r="T25" s="1324"/>
    </row>
    <row r="26" spans="1:24" ht="28.5" customHeight="1" x14ac:dyDescent="0.2">
      <c r="A26" s="1330" t="s">
        <v>585</v>
      </c>
      <c r="B26" s="1330"/>
      <c r="C26" s="1330"/>
      <c r="D26" s="1330"/>
      <c r="E26" s="625" t="s">
        <v>10</v>
      </c>
      <c r="F26" s="1064"/>
      <c r="G26" s="1064"/>
      <c r="H26" s="1065"/>
      <c r="I26" s="1065"/>
      <c r="J26" s="1065"/>
      <c r="K26" s="1066"/>
      <c r="L26" s="1322" t="str">
        <f>IF(T24="No","",IF(T24="N.A.","",IF(T24="","",IF($N$24="Simple"," con probabilidad de no conformidad menor al 50 %.",IF($N$24="Conservadora","con probabilidad de no conformidad menor al 2,3 %.","")))))</f>
        <v/>
      </c>
      <c r="M26" s="1323"/>
      <c r="N26" s="1323"/>
      <c r="O26" s="1323"/>
      <c r="P26" s="1325"/>
      <c r="Q26" s="1325"/>
      <c r="R26" s="1325"/>
      <c r="S26" s="1325"/>
      <c r="T26" s="1325"/>
    </row>
    <row r="27" spans="1:24" ht="15" customHeight="1" x14ac:dyDescent="0.2">
      <c r="A27" s="1409" t="s">
        <v>25</v>
      </c>
      <c r="B27" s="1410"/>
      <c r="C27" s="1410"/>
      <c r="D27" s="1410"/>
      <c r="E27" s="1411"/>
      <c r="F27" s="1410"/>
      <c r="G27" s="1410"/>
      <c r="H27" s="1410"/>
      <c r="I27" s="1410"/>
      <c r="J27" s="1410"/>
      <c r="K27" s="1410"/>
      <c r="L27" s="1410"/>
      <c r="M27" s="1410"/>
      <c r="N27" s="1410"/>
      <c r="O27" s="1410"/>
      <c r="P27" s="1410"/>
      <c r="Q27" s="1410"/>
      <c r="R27" s="1410"/>
      <c r="S27" s="1410"/>
      <c r="T27" s="1412"/>
    </row>
    <row r="28" spans="1:24" ht="17.25" customHeight="1" x14ac:dyDescent="0.2">
      <c r="A28" s="1313" t="s">
        <v>26</v>
      </c>
      <c r="B28" s="1313"/>
      <c r="C28" s="1313"/>
      <c r="D28" s="1313"/>
      <c r="E28" s="1313"/>
      <c r="F28" s="1313"/>
      <c r="G28" s="1313"/>
      <c r="H28" s="1313"/>
      <c r="I28" s="1313"/>
      <c r="J28" s="1343" t="s">
        <v>24</v>
      </c>
      <c r="K28" s="1343"/>
      <c r="L28" s="1343"/>
      <c r="M28" s="1413" t="s">
        <v>9</v>
      </c>
      <c r="N28" s="1414"/>
      <c r="O28" s="1414"/>
      <c r="P28" s="1414"/>
      <c r="Q28" s="1414"/>
      <c r="R28" s="1414"/>
      <c r="S28" s="1414"/>
      <c r="T28" s="1415"/>
    </row>
    <row r="29" spans="1:24" ht="19.5" customHeight="1" x14ac:dyDescent="0.2">
      <c r="A29" s="1314"/>
      <c r="B29" s="1314"/>
      <c r="C29" s="1314"/>
      <c r="D29" s="1314"/>
      <c r="E29" s="1314"/>
      <c r="F29" s="1314"/>
      <c r="G29" s="1314"/>
      <c r="H29" s="1314"/>
      <c r="I29" s="1314"/>
      <c r="J29" s="181" t="s">
        <v>14</v>
      </c>
      <c r="K29" s="181" t="s">
        <v>10</v>
      </c>
      <c r="L29" s="182" t="s">
        <v>13</v>
      </c>
      <c r="M29" s="1327"/>
      <c r="N29" s="1328"/>
      <c r="O29" s="1328"/>
      <c r="P29" s="1328"/>
      <c r="Q29" s="1328"/>
      <c r="R29" s="1328"/>
      <c r="S29" s="1328"/>
      <c r="T29" s="1329"/>
    </row>
    <row r="30" spans="1:24" ht="15" customHeight="1" x14ac:dyDescent="0.2">
      <c r="A30" s="1135" t="s">
        <v>719</v>
      </c>
      <c r="B30" s="1136"/>
      <c r="C30" s="1136"/>
      <c r="D30" s="1136"/>
      <c r="E30" s="1136"/>
      <c r="F30" s="1136"/>
      <c r="G30" s="1136"/>
      <c r="H30" s="1136"/>
      <c r="I30" s="1136"/>
      <c r="J30" s="610"/>
      <c r="K30" s="610" t="s">
        <v>787</v>
      </c>
      <c r="L30" s="611"/>
      <c r="M30" s="1312"/>
      <c r="N30" s="1312"/>
      <c r="O30" s="1312"/>
      <c r="P30" s="1312"/>
      <c r="Q30" s="1312"/>
      <c r="R30" s="1312"/>
      <c r="S30" s="1312"/>
      <c r="T30" s="1312"/>
    </row>
    <row r="31" spans="1:24" ht="15" customHeight="1" x14ac:dyDescent="0.2">
      <c r="A31" s="1291" t="s">
        <v>720</v>
      </c>
      <c r="B31" s="1291"/>
      <c r="C31" s="1291"/>
      <c r="D31" s="1291"/>
      <c r="E31" s="1291"/>
      <c r="F31" s="1291"/>
      <c r="G31" s="1291"/>
      <c r="H31" s="1291"/>
      <c r="I31" s="1289"/>
      <c r="J31" s="612"/>
      <c r="K31" s="612" t="s">
        <v>787</v>
      </c>
      <c r="L31" s="611"/>
      <c r="M31" s="1311"/>
      <c r="N31" s="1311"/>
      <c r="O31" s="1311"/>
      <c r="P31" s="1311"/>
      <c r="Q31" s="1311"/>
      <c r="R31" s="1311"/>
      <c r="S31" s="1311"/>
      <c r="T31" s="1311"/>
    </row>
    <row r="32" spans="1:24" ht="15" customHeight="1" x14ac:dyDescent="0.2">
      <c r="A32" s="1291" t="s">
        <v>178</v>
      </c>
      <c r="B32" s="1291"/>
      <c r="C32" s="1291"/>
      <c r="D32" s="1291"/>
      <c r="E32" s="1291"/>
      <c r="F32" s="1291"/>
      <c r="G32" s="1291"/>
      <c r="H32" s="1291"/>
      <c r="I32" s="1289"/>
      <c r="J32" s="612" t="s">
        <v>787</v>
      </c>
      <c r="K32" s="612"/>
      <c r="L32" s="611"/>
      <c r="M32" s="1311"/>
      <c r="N32" s="1311"/>
      <c r="O32" s="1311"/>
      <c r="P32" s="1311"/>
      <c r="Q32" s="1311"/>
      <c r="R32" s="1311"/>
      <c r="S32" s="1311"/>
      <c r="T32" s="1311"/>
    </row>
    <row r="33" spans="1:32" ht="15" customHeight="1" x14ac:dyDescent="0.2">
      <c r="A33" s="1135" t="s">
        <v>179</v>
      </c>
      <c r="B33" s="1136"/>
      <c r="C33" s="1136"/>
      <c r="D33" s="1136"/>
      <c r="E33" s="1136"/>
      <c r="F33" s="1136"/>
      <c r="G33" s="1136"/>
      <c r="H33" s="1136"/>
      <c r="I33" s="1136"/>
      <c r="J33" s="612"/>
      <c r="K33" s="612" t="s">
        <v>787</v>
      </c>
      <c r="L33" s="611"/>
      <c r="M33" s="1311"/>
      <c r="N33" s="1311"/>
      <c r="O33" s="1311"/>
      <c r="P33" s="1311"/>
      <c r="Q33" s="1311"/>
      <c r="R33" s="1311"/>
      <c r="S33" s="1311"/>
      <c r="T33" s="1311"/>
    </row>
    <row r="34" spans="1:32" ht="14.25" x14ac:dyDescent="0.2">
      <c r="J34" s="1337"/>
      <c r="K34" s="1337"/>
      <c r="L34" s="1337"/>
      <c r="M34" s="1337"/>
      <c r="N34" s="1337"/>
      <c r="O34" s="1337"/>
      <c r="P34" s="1337"/>
      <c r="Q34" s="1337"/>
      <c r="R34" s="1337"/>
    </row>
    <row r="35" spans="1:32" ht="13.5" thickBot="1" x14ac:dyDescent="0.25">
      <c r="F35" s="1168" t="s">
        <v>15</v>
      </c>
      <c r="G35" s="1168"/>
      <c r="H35" s="1168"/>
      <c r="I35" s="1168"/>
      <c r="J35" s="1168"/>
      <c r="K35" s="1168"/>
      <c r="L35" s="1168"/>
      <c r="M35" s="1168"/>
      <c r="N35" s="1168"/>
      <c r="O35" s="1168"/>
    </row>
    <row r="36" spans="1:32" ht="13.5" thickBot="1" x14ac:dyDescent="0.25">
      <c r="D36" s="411" t="s">
        <v>721</v>
      </c>
      <c r="E36" s="132"/>
      <c r="F36" s="1338" t="s">
        <v>2</v>
      </c>
      <c r="G36" s="1339"/>
      <c r="H36" s="1339"/>
      <c r="I36" s="1340"/>
      <c r="J36" s="1269" t="s">
        <v>0</v>
      </c>
      <c r="K36" s="1269"/>
      <c r="L36" s="1269"/>
      <c r="M36" s="1269"/>
      <c r="N36" s="1269"/>
      <c r="O36" s="1270"/>
      <c r="P36" s="970" t="s">
        <v>712</v>
      </c>
      <c r="Q36" s="1342" t="s">
        <v>711</v>
      </c>
      <c r="R36" s="1342"/>
      <c r="X36" s="119"/>
    </row>
    <row r="37" spans="1:32" ht="15.75" customHeight="1" thickBot="1" x14ac:dyDescent="0.25">
      <c r="D37" s="444">
        <v>2.0000000000000001E-4</v>
      </c>
      <c r="F37" s="1334" t="s">
        <v>344</v>
      </c>
      <c r="G37" s="1335"/>
      <c r="H37" s="1335"/>
      <c r="I37" s="1336"/>
      <c r="J37" s="1266" t="str">
        <f>VLOOKUP(F37,Trazabilidad!$T$5:$Z$14,2,FALSE)</f>
        <v xml:space="preserve">Balanza semimicro </v>
      </c>
      <c r="K37" s="1267"/>
      <c r="L37" s="1267"/>
      <c r="M37" s="1267"/>
      <c r="N37" s="1267"/>
      <c r="O37" s="1268"/>
      <c r="P37" s="986">
        <f>VLOOKUP(F37,Trazabilidad!$T$5:$Z$14,5,FALSE)</f>
        <v>45832</v>
      </c>
      <c r="Q37" s="1341">
        <f>VLOOKUP(F37,Trazabilidad!$T$5:$Z$14,6,FALSE)</f>
        <v>46197</v>
      </c>
      <c r="R37" s="1341"/>
      <c r="S37" s="134" t="str">
        <f ca="1">IF(Q37&lt;TODAY(),"OJO EQ PATRON FUERA DE SERVICIO","")</f>
        <v/>
      </c>
      <c r="U37" s="987"/>
      <c r="X37" s="119"/>
      <c r="AB37" s="119"/>
      <c r="AC37" s="119"/>
      <c r="AD37" s="119"/>
      <c r="AE37" s="119"/>
      <c r="AF37" s="119"/>
    </row>
    <row r="38" spans="1:32" ht="15.75" customHeight="1" thickBot="1" x14ac:dyDescent="0.25">
      <c r="D38" s="412" t="s">
        <v>350</v>
      </c>
      <c r="F38" s="1334" t="s">
        <v>487</v>
      </c>
      <c r="G38" s="1335"/>
      <c r="H38" s="1335"/>
      <c r="I38" s="1336"/>
      <c r="J38" s="1266" t="str">
        <f>VLOOKUP(F38,Trazabilidad!$T$5:$Z$14,2,FALSE)</f>
        <v>Termo higrómetro barómetro digital</v>
      </c>
      <c r="K38" s="1267"/>
      <c r="L38" s="1267"/>
      <c r="M38" s="1267"/>
      <c r="N38" s="1267"/>
      <c r="O38" s="1268"/>
      <c r="P38" s="986">
        <f>VLOOKUP(F38,Trazabilidad!$T$5:$Z$14,5,FALSE)</f>
        <v>45343</v>
      </c>
      <c r="Q38" s="1341">
        <f>VLOOKUP(F38,Trazabilidad!$T$5:$Z$14,6,FALSE)</f>
        <v>46074</v>
      </c>
      <c r="R38" s="1341"/>
      <c r="S38" s="134" t="str">
        <f t="shared" ref="S38:S40" ca="1" si="0">IF(Q38&lt;TODAY(),"OJO EQ PATRON FUERA DE SERVICIO","")</f>
        <v/>
      </c>
      <c r="X38" s="119"/>
      <c r="AB38" s="119"/>
      <c r="AC38" s="119"/>
      <c r="AD38" s="119"/>
      <c r="AE38" s="119"/>
      <c r="AF38" s="119"/>
    </row>
    <row r="39" spans="1:32" ht="15.75" customHeight="1" thickBot="1" x14ac:dyDescent="0.25">
      <c r="D39" s="445">
        <v>1E-4</v>
      </c>
      <c r="F39" s="1334" t="s">
        <v>588</v>
      </c>
      <c r="G39" s="1335"/>
      <c r="H39" s="1335"/>
      <c r="I39" s="1336"/>
      <c r="J39" s="1266" t="str">
        <f>VLOOKUP(F39,Trazabilidad!$T$5:$Z$14,2,FALSE)</f>
        <v>Termo higrómetro digital</v>
      </c>
      <c r="K39" s="1267"/>
      <c r="L39" s="1267"/>
      <c r="M39" s="1267"/>
      <c r="N39" s="1267"/>
      <c r="O39" s="1268"/>
      <c r="P39" s="986">
        <f>VLOOKUP(F39,Trazabilidad!$T$5:$Z$14,5,FALSE)</f>
        <v>45337</v>
      </c>
      <c r="Q39" s="1341">
        <f>VLOOKUP(F39,Trazabilidad!$T$5:$Z$14,6,FALSE)</f>
        <v>46068</v>
      </c>
      <c r="R39" s="1341"/>
      <c r="S39" s="134" t="str">
        <f t="shared" ca="1" si="0"/>
        <v/>
      </c>
      <c r="X39" s="119"/>
      <c r="AB39" s="119"/>
      <c r="AC39" s="119"/>
      <c r="AD39" s="119"/>
      <c r="AE39" s="119"/>
      <c r="AF39" s="119"/>
    </row>
    <row r="40" spans="1:32" ht="15.75" customHeight="1" thickBot="1" x14ac:dyDescent="0.25">
      <c r="D40" s="412" t="s">
        <v>722</v>
      </c>
      <c r="F40" s="1334" t="s">
        <v>586</v>
      </c>
      <c r="G40" s="1335"/>
      <c r="H40" s="1335"/>
      <c r="I40" s="1336"/>
      <c r="J40" s="1266" t="str">
        <f>VLOOKUP(F40,Trazabilidad!$T$5:$Z$14,2,FALSE)</f>
        <v>Termómetro digital</v>
      </c>
      <c r="K40" s="1267"/>
      <c r="L40" s="1267"/>
      <c r="M40" s="1267"/>
      <c r="N40" s="1267"/>
      <c r="O40" s="1268"/>
      <c r="P40" s="986">
        <f>VLOOKUP(F40,Trazabilidad!$T$5:$Z$14,5,FALSE)</f>
        <v>45695</v>
      </c>
      <c r="Q40" s="1341">
        <f>VLOOKUP(F40,Trazabilidad!$T$5:$Z$14,6,FALSE)</f>
        <v>46060</v>
      </c>
      <c r="R40" s="1341"/>
      <c r="S40" s="134" t="str">
        <f t="shared" ca="1" si="0"/>
        <v/>
      </c>
      <c r="X40" s="119"/>
      <c r="AB40" s="119"/>
      <c r="AC40" s="119"/>
      <c r="AD40" s="119"/>
      <c r="AE40" s="119"/>
      <c r="AF40" s="119"/>
    </row>
    <row r="41" spans="1:32" ht="15.75" customHeight="1" thickBot="1" x14ac:dyDescent="0.25">
      <c r="D41" s="445">
        <v>-1.9999999999999999E-6</v>
      </c>
      <c r="F41" s="1334" t="s">
        <v>259</v>
      </c>
      <c r="G41" s="1335"/>
      <c r="H41" s="1335"/>
      <c r="I41" s="1336"/>
      <c r="J41" s="1266" t="str">
        <f>VLOOKUP(F41,Trazabilidad!$T$5:$Z$16,2,FALSE)</f>
        <v/>
      </c>
      <c r="K41" s="1267"/>
      <c r="L41" s="1267"/>
      <c r="M41" s="1267"/>
      <c r="N41" s="1267"/>
      <c r="O41" s="1268"/>
      <c r="P41" s="986" t="str">
        <f>VLOOKUP(F41,Trazabilidad!$T$5:$Z$16,5,FALSE)</f>
        <v/>
      </c>
      <c r="Q41" s="1341" t="str">
        <f>VLOOKUP(F41,Trazabilidad!$T$5:$Z$16,6,FALSE)</f>
        <v/>
      </c>
      <c r="R41" s="1341"/>
      <c r="S41" s="134" t="str">
        <f ca="1">IF(Q41&lt;TODAY(),"OJO Auxiliar FUERA DE SERVICIO","")</f>
        <v/>
      </c>
      <c r="X41" s="119"/>
      <c r="AB41" s="119"/>
      <c r="AC41" s="119"/>
      <c r="AD41" s="119"/>
      <c r="AE41" s="119"/>
      <c r="AF41" s="119"/>
    </row>
    <row r="42" spans="1:32" x14ac:dyDescent="0.2">
      <c r="X42" s="119"/>
    </row>
    <row r="43" spans="1:32" x14ac:dyDescent="0.2">
      <c r="A43" s="1168" t="s">
        <v>176</v>
      </c>
      <c r="B43" s="1168"/>
      <c r="C43" s="1168"/>
      <c r="D43" s="1168"/>
      <c r="E43" s="1168"/>
      <c r="F43" s="1168"/>
      <c r="G43" s="1168"/>
      <c r="H43" s="1168"/>
      <c r="I43" s="1168"/>
      <c r="J43" s="1168"/>
      <c r="K43" s="1168" t="s">
        <v>175</v>
      </c>
      <c r="L43" s="1168"/>
      <c r="M43" s="1168"/>
      <c r="N43" s="1168"/>
      <c r="O43" s="1168"/>
      <c r="P43" s="1168"/>
      <c r="Q43" s="1168"/>
      <c r="R43" s="1168"/>
      <c r="S43" s="1168"/>
      <c r="T43" s="1168"/>
      <c r="V43" s="571" t="s">
        <v>537</v>
      </c>
      <c r="W43" s="192"/>
      <c r="X43" s="572"/>
      <c r="Y43" s="573"/>
    </row>
    <row r="44" spans="1:32" ht="36.75" customHeight="1" thickBot="1" x14ac:dyDescent="0.25">
      <c r="A44" s="1281" t="s">
        <v>16</v>
      </c>
      <c r="B44" s="1281"/>
      <c r="C44" s="1145" t="s">
        <v>56</v>
      </c>
      <c r="D44" s="1145"/>
      <c r="E44" s="1145"/>
      <c r="F44" s="1145" t="s">
        <v>28</v>
      </c>
      <c r="G44" s="1145"/>
      <c r="H44" s="1145"/>
      <c r="I44" s="1145" t="s">
        <v>723</v>
      </c>
      <c r="J44" s="1145"/>
      <c r="K44" s="1281" t="s">
        <v>16</v>
      </c>
      <c r="L44" s="1281"/>
      <c r="M44" s="1265" t="s">
        <v>56</v>
      </c>
      <c r="N44" s="1265"/>
      <c r="O44" s="1265"/>
      <c r="P44" s="1265" t="s">
        <v>28</v>
      </c>
      <c r="Q44" s="1265"/>
      <c r="R44" s="1265"/>
      <c r="S44" s="1265" t="s">
        <v>723</v>
      </c>
      <c r="T44" s="1265"/>
      <c r="V44" s="568" t="s">
        <v>534</v>
      </c>
      <c r="W44" s="576" t="s">
        <v>535</v>
      </c>
      <c r="X44" s="568" t="s">
        <v>536</v>
      </c>
      <c r="Y44" s="568" t="s">
        <v>538</v>
      </c>
    </row>
    <row r="45" spans="1:32" ht="15.75" customHeight="1" thickBot="1" x14ac:dyDescent="0.25">
      <c r="A45" s="1143" t="s">
        <v>724</v>
      </c>
      <c r="B45" s="1144"/>
      <c r="C45" s="1261">
        <f>IF(ISBLANK(G70),"",MIN(G70:H79,G86:H95,G102:H111,G118:H127))</f>
        <v>20.6</v>
      </c>
      <c r="D45" s="1147"/>
      <c r="E45" s="1148"/>
      <c r="F45" s="1146">
        <f>IF(ISBLANK(I70),"",MIN(I70:J79,I86:J95,I102:J111,I118:J127))</f>
        <v>54.5</v>
      </c>
      <c r="G45" s="1147"/>
      <c r="H45" s="1148"/>
      <c r="I45" s="1146">
        <f>IF(ISBLANK(K70),"",MIN(K70:L79,K86:L95,K102:L111,K118:L127))</f>
        <v>910</v>
      </c>
      <c r="J45" s="1148"/>
      <c r="K45" s="1256" t="s">
        <v>29</v>
      </c>
      <c r="L45" s="1257"/>
      <c r="M45" s="1258">
        <f>IF(ISBLANK(G70),"",C45+'DATOS CORRECCIONES EQUIPOS EMPL'!AA105)</f>
        <v>20.786416832831947</v>
      </c>
      <c r="N45" s="1259"/>
      <c r="O45" s="1260"/>
      <c r="P45" s="1258">
        <f>IF(ISBLANK(I70),"",F45+'DATOS CORRECCIONES EQUIPOS EMPL'!AH105)</f>
        <v>54.29141783194715</v>
      </c>
      <c r="Q45" s="1262"/>
      <c r="R45" s="1263"/>
      <c r="S45" s="1169">
        <f>IF(ISBLANK(K70),"",I45+'DATOS CORRECCIONES EQUIPOS EMPL'!AO105)</f>
        <v>910.34412607728154</v>
      </c>
      <c r="T45" s="1170"/>
      <c r="V45" s="568">
        <v>0.5</v>
      </c>
      <c r="W45" s="576">
        <v>0.5</v>
      </c>
      <c r="X45" s="568">
        <v>5</v>
      </c>
      <c r="Y45" s="568">
        <v>5</v>
      </c>
    </row>
    <row r="46" spans="1:32" ht="15.75" customHeight="1" thickBot="1" x14ac:dyDescent="0.25">
      <c r="A46" s="1233" t="s">
        <v>725</v>
      </c>
      <c r="B46" s="1227"/>
      <c r="C46" s="1261">
        <f>IF(ISBLANK(G70),"",MAX(G70:H79,G86:H95,G102:H111,G118:H127))</f>
        <v>20.8</v>
      </c>
      <c r="D46" s="1271"/>
      <c r="E46" s="1272"/>
      <c r="F46" s="1146">
        <f>IF(ISBLANK(I70),"",MAX(I70:J79,I86:J95,I102:J111,I118:J127))</f>
        <v>56</v>
      </c>
      <c r="G46" s="1147"/>
      <c r="H46" s="1148"/>
      <c r="I46" s="1146">
        <f>IF(ISBLANK(K70),"",MAX(K70:L79,K86:L95,K102:L111))</f>
        <v>911</v>
      </c>
      <c r="J46" s="1148"/>
      <c r="K46" s="1222" t="s">
        <v>27</v>
      </c>
      <c r="L46" s="1223"/>
      <c r="M46" s="1246">
        <f>IF(ISBLANK(G70),"",C46+'DATOS CORRECCIONES EQUIPOS EMPL'!AA106)</f>
        <v>20.983065402808375</v>
      </c>
      <c r="N46" s="1254"/>
      <c r="O46" s="1255"/>
      <c r="P46" s="1246">
        <f>IF(ISBLANK(I70),"",F46+'DATOS CORRECCIONES EQUIPOS EMPL'!AH106)</f>
        <v>55.90079436867709</v>
      </c>
      <c r="Q46" s="1247"/>
      <c r="R46" s="1248"/>
      <c r="S46" s="1252">
        <f>IF(ISBLANK(K70),"",I46+'DATOS CORRECCIONES EQUIPOS EMPL'!AO106)</f>
        <v>911.34039976853819</v>
      </c>
      <c r="T46" s="1253"/>
    </row>
    <row r="47" spans="1:32" ht="13.5" customHeight="1" thickBot="1" x14ac:dyDescent="0.25">
      <c r="A47" s="1223" t="s">
        <v>331</v>
      </c>
      <c r="B47" s="1227"/>
      <c r="C47" s="1224">
        <f>ABS(C45-C46)</f>
        <v>0.19999999999999929</v>
      </c>
      <c r="D47" s="1225"/>
      <c r="E47" s="1226"/>
      <c r="K47" s="1223" t="s">
        <v>331</v>
      </c>
      <c r="L47" s="1227"/>
      <c r="M47" s="1234">
        <f>ABS(M45-M46)</f>
        <v>0.19664856997642843</v>
      </c>
      <c r="N47" s="1235"/>
      <c r="O47" s="1235"/>
      <c r="P47" s="176"/>
      <c r="Q47" s="176"/>
      <c r="R47" s="176"/>
    </row>
    <row r="48" spans="1:32" ht="13.5" customHeight="1" x14ac:dyDescent="0.2">
      <c r="A48" s="1229" t="s">
        <v>318</v>
      </c>
      <c r="B48" s="1230"/>
      <c r="C48" s="1230"/>
      <c r="D48" s="1230"/>
      <c r="E48" s="1230"/>
      <c r="F48" s="1230"/>
      <c r="G48" s="1230"/>
      <c r="H48" s="1230"/>
      <c r="I48" s="1230"/>
      <c r="J48" s="1230"/>
      <c r="K48" s="1230"/>
      <c r="L48" s="1230"/>
      <c r="M48" s="1230"/>
      <c r="N48" s="1230"/>
      <c r="O48" s="1231"/>
      <c r="P48" s="438"/>
    </row>
    <row r="49" spans="1:24" ht="15" customHeight="1" thickBot="1" x14ac:dyDescent="0.25">
      <c r="A49" s="1232" t="s">
        <v>319</v>
      </c>
      <c r="B49" s="1145"/>
      <c r="C49" s="1145"/>
      <c r="D49" s="1145"/>
      <c r="E49" s="1145"/>
      <c r="F49" s="1145" t="s">
        <v>320</v>
      </c>
      <c r="G49" s="1145"/>
      <c r="H49" s="1145"/>
      <c r="I49" s="1145"/>
      <c r="J49" s="1228"/>
      <c r="K49" s="1145" t="s">
        <v>321</v>
      </c>
      <c r="L49" s="1145"/>
      <c r="M49" s="1145"/>
      <c r="N49" s="1145"/>
      <c r="O49" s="1228"/>
      <c r="P49" s="303"/>
    </row>
    <row r="50" spans="1:24" ht="15" customHeight="1" thickBot="1" x14ac:dyDescent="0.25">
      <c r="A50" s="1243">
        <f>+G70+'DATOS CORRECCIONES EQUIPOS EMPL'!G8</f>
        <v>20.75</v>
      </c>
      <c r="B50" s="1244"/>
      <c r="C50" s="1244"/>
      <c r="D50" s="1244"/>
      <c r="E50" s="1245"/>
      <c r="F50" s="1243">
        <f>IF(H21=Q164,G79+'DATOS CORRECCIONES EQUIPOS EMPL'!G8,G111+'DATOS CORRECCIONES EQUIPOS EMPL'!G8)</f>
        <v>20.55</v>
      </c>
      <c r="G50" s="1244"/>
      <c r="H50" s="1244"/>
      <c r="I50" s="1244"/>
      <c r="J50" s="1245"/>
      <c r="K50" s="1236">
        <f>IF(A50="","",(F50-A50))</f>
        <v>-0.19999999999999929</v>
      </c>
      <c r="L50" s="1237"/>
      <c r="M50" s="1237"/>
      <c r="N50" s="1237"/>
      <c r="O50" s="1238"/>
      <c r="P50" s="303"/>
    </row>
    <row r="51" spans="1:24" ht="12.75" customHeight="1" x14ac:dyDescent="0.2">
      <c r="A51" s="1229" t="s">
        <v>543</v>
      </c>
      <c r="B51" s="1230"/>
      <c r="C51" s="1230"/>
      <c r="D51" s="1230"/>
      <c r="E51" s="1230"/>
      <c r="F51" s="1230"/>
      <c r="G51" s="1230"/>
      <c r="H51" s="1230"/>
      <c r="I51" s="1230"/>
      <c r="J51" s="1230"/>
      <c r="K51" s="1230"/>
      <c r="L51" s="1230"/>
      <c r="M51" s="1230"/>
      <c r="N51" s="1230"/>
      <c r="O51" s="1231"/>
    </row>
    <row r="52" spans="1:24" ht="11.25" customHeight="1" thickBot="1" x14ac:dyDescent="0.25">
      <c r="A52" s="1232" t="s">
        <v>319</v>
      </c>
      <c r="B52" s="1145"/>
      <c r="C52" s="1145"/>
      <c r="D52" s="1145"/>
      <c r="E52" s="1145"/>
      <c r="F52" s="1145" t="s">
        <v>320</v>
      </c>
      <c r="G52" s="1145"/>
      <c r="H52" s="1145"/>
      <c r="I52" s="1145"/>
      <c r="J52" s="1228"/>
      <c r="K52" s="1145" t="s">
        <v>321</v>
      </c>
      <c r="L52" s="1145"/>
      <c r="M52" s="1145"/>
      <c r="N52" s="1145"/>
      <c r="O52" s="1228"/>
    </row>
    <row r="53" spans="1:24" ht="15" customHeight="1" thickBot="1" x14ac:dyDescent="0.25">
      <c r="A53" s="1243">
        <f>+E70+'DATOS CORRECCIONES EQUIPOS EMPL'!T14</f>
        <v>20.694310518778522</v>
      </c>
      <c r="B53" s="1244"/>
      <c r="C53" s="1244"/>
      <c r="D53" s="1244"/>
      <c r="E53" s="1245"/>
      <c r="F53" s="1243">
        <f>IF(H21=Q164,E79+'DATOS CORRECCIONES EQUIPOS EMPL'!T23,E111+'DATOS CORRECCIONES EQUIPOS EMPL'!T59)</f>
        <v>20.45422096638497</v>
      </c>
      <c r="G53" s="1244"/>
      <c r="H53" s="1244"/>
      <c r="I53" s="1244"/>
      <c r="J53" s="1245"/>
      <c r="K53" s="1236">
        <f>IF(A53="","",(F53-A53))</f>
        <v>-0.24008955239355245</v>
      </c>
      <c r="L53" s="1237"/>
      <c r="M53" s="1237"/>
      <c r="N53" s="1237"/>
      <c r="O53" s="1238"/>
    </row>
    <row r="54" spans="1:24" ht="16.5" customHeight="1" x14ac:dyDescent="0.2">
      <c r="A54" s="1275"/>
      <c r="B54" s="1275"/>
      <c r="C54" s="1275"/>
      <c r="D54" s="1275"/>
      <c r="E54" s="1276"/>
      <c r="F54" s="1273"/>
      <c r="G54" s="1274"/>
      <c r="H54" s="1274"/>
      <c r="I54" s="1274"/>
      <c r="J54" s="1274"/>
      <c r="K54" s="1219"/>
      <c r="L54" s="1220"/>
      <c r="M54" s="1220"/>
      <c r="N54" s="1220"/>
      <c r="O54" s="1221"/>
    </row>
    <row r="55" spans="1:24" x14ac:dyDescent="0.2">
      <c r="A55" s="1249"/>
      <c r="B55" s="1249"/>
      <c r="C55" s="1249"/>
      <c r="D55" s="1249"/>
      <c r="E55" s="1249"/>
      <c r="F55" s="1250"/>
      <c r="G55" s="1250"/>
      <c r="H55" s="1250"/>
      <c r="I55" s="1250"/>
      <c r="J55" s="1250"/>
      <c r="K55" s="1251"/>
      <c r="L55" s="1251"/>
      <c r="M55" s="1251"/>
      <c r="N55" s="1251"/>
      <c r="O55" s="1251"/>
      <c r="P55" s="596"/>
      <c r="Q55" s="596"/>
      <c r="R55" s="596"/>
      <c r="S55" s="596"/>
      <c r="T55" s="596"/>
    </row>
    <row r="56" spans="1:24" x14ac:dyDescent="0.2">
      <c r="A56" s="1163"/>
      <c r="B56" s="1163"/>
      <c r="C56" s="1177"/>
      <c r="D56" s="1177"/>
      <c r="E56" s="1177"/>
      <c r="F56" s="1177"/>
      <c r="G56" s="1177"/>
      <c r="H56" s="1163"/>
      <c r="I56" s="1163"/>
      <c r="J56" s="1163"/>
      <c r="K56" s="1163"/>
      <c r="L56" s="1163"/>
      <c r="M56" s="1163"/>
      <c r="N56" s="1163"/>
      <c r="O56" s="1163"/>
      <c r="P56" s="1163"/>
      <c r="Q56" s="1163"/>
      <c r="R56" s="1163"/>
      <c r="S56" s="1163"/>
      <c r="T56" s="1163"/>
    </row>
    <row r="57" spans="1:24" x14ac:dyDescent="0.2">
      <c r="A57" s="1163"/>
      <c r="B57" s="1163"/>
      <c r="C57" s="1177"/>
      <c r="D57" s="1177"/>
      <c r="E57" s="1177"/>
      <c r="F57" s="1177"/>
      <c r="G57" s="1177"/>
      <c r="H57" s="1163"/>
      <c r="I57" s="1163"/>
      <c r="J57" s="1163"/>
      <c r="K57" s="1163"/>
      <c r="L57" s="1163"/>
      <c r="M57" s="1163"/>
      <c r="N57" s="1163"/>
      <c r="O57" s="1163"/>
      <c r="P57" s="1163"/>
      <c r="Q57" s="1163"/>
      <c r="R57" s="1163"/>
      <c r="S57" s="1163"/>
      <c r="T57" s="1163"/>
    </row>
    <row r="58" spans="1:24" x14ac:dyDescent="0.2">
      <c r="A58" s="1163"/>
      <c r="B58" s="1163"/>
      <c r="C58" s="1196"/>
      <c r="D58" s="1196"/>
      <c r="E58" s="1196"/>
      <c r="F58" s="1196"/>
      <c r="G58" s="1196"/>
      <c r="H58" s="1163"/>
      <c r="I58" s="1163"/>
      <c r="J58" s="1218"/>
      <c r="K58" s="1218"/>
      <c r="L58" s="1218"/>
      <c r="M58" s="1218"/>
      <c r="N58" s="1218"/>
      <c r="O58" s="1163"/>
      <c r="P58" s="1163"/>
      <c r="Q58" s="1218"/>
      <c r="R58" s="1218"/>
      <c r="S58" s="1218"/>
      <c r="T58" s="1218"/>
    </row>
    <row r="59" spans="1:24" ht="20.25" customHeight="1" x14ac:dyDescent="0.2">
      <c r="A59" s="1120"/>
      <c r="B59" s="1120"/>
      <c r="C59" s="1120"/>
      <c r="D59" s="1120"/>
      <c r="E59" s="1120"/>
      <c r="F59" s="1120"/>
      <c r="G59" s="1120"/>
      <c r="H59" s="1120"/>
      <c r="I59" s="1120"/>
      <c r="J59" s="1120"/>
      <c r="K59" s="1120"/>
      <c r="L59" s="1120"/>
      <c r="M59" s="1120"/>
      <c r="N59" s="1120"/>
      <c r="O59" s="1120"/>
      <c r="P59" s="1120"/>
      <c r="Q59" s="1120"/>
      <c r="R59" s="1120"/>
      <c r="S59" s="1125"/>
      <c r="T59" s="1125"/>
      <c r="U59" s="1125"/>
      <c r="V59" s="1125"/>
    </row>
    <row r="60" spans="1:24" ht="20.25" customHeight="1" x14ac:dyDescent="0.2">
      <c r="A60" s="1121"/>
      <c r="B60" s="1121"/>
      <c r="C60" s="1121"/>
      <c r="D60" s="1121"/>
      <c r="E60" s="1121"/>
      <c r="F60" s="1121"/>
      <c r="G60" s="1121"/>
      <c r="H60" s="1121"/>
      <c r="I60" s="1121"/>
      <c r="J60" s="1121"/>
      <c r="K60" s="1122"/>
      <c r="L60" s="1121"/>
      <c r="M60" s="1121"/>
      <c r="N60" s="1121"/>
      <c r="O60" s="1121"/>
      <c r="P60" s="1121"/>
      <c r="Q60" s="1121"/>
      <c r="R60" s="1121"/>
      <c r="S60" s="1125"/>
      <c r="T60" s="1125"/>
      <c r="U60" s="1125"/>
      <c r="V60" s="1125"/>
    </row>
    <row r="61" spans="1:24" ht="20.25" customHeight="1" x14ac:dyDescent="0.2">
      <c r="A61" s="1123"/>
      <c r="B61" s="1123"/>
      <c r="C61" s="1123"/>
      <c r="D61" s="1121"/>
      <c r="E61" s="1121"/>
      <c r="F61" s="1121"/>
      <c r="G61" s="1121"/>
      <c r="H61" s="1123"/>
      <c r="I61" s="1123"/>
      <c r="J61" s="1123"/>
      <c r="K61" s="1122"/>
      <c r="L61" s="1121"/>
      <c r="M61" s="1121"/>
      <c r="N61" s="1121"/>
      <c r="O61" s="1121"/>
      <c r="P61" s="1121"/>
      <c r="Q61" s="1121"/>
      <c r="R61" s="1121"/>
      <c r="S61" s="1125"/>
      <c r="T61" s="1125"/>
      <c r="U61" s="1125"/>
      <c r="V61" s="1125"/>
    </row>
    <row r="62" spans="1:24" ht="20.25" customHeight="1" x14ac:dyDescent="0.2">
      <c r="A62" s="1123"/>
      <c r="B62" s="1123"/>
      <c r="C62" s="1123"/>
      <c r="D62" s="1124"/>
      <c r="E62" s="1123"/>
      <c r="F62" s="1123"/>
      <c r="G62" s="1123"/>
      <c r="H62" s="1123"/>
      <c r="I62" s="1123"/>
      <c r="J62" s="1123"/>
      <c r="K62" s="1124"/>
      <c r="L62" s="1123"/>
      <c r="M62" s="1123"/>
      <c r="N62" s="1123"/>
      <c r="O62" s="1123"/>
      <c r="P62" s="1123"/>
      <c r="Q62" s="1123"/>
      <c r="R62" s="1123"/>
      <c r="S62" s="1125"/>
      <c r="T62" s="1125"/>
      <c r="U62" s="1125"/>
      <c r="V62" s="1125"/>
    </row>
    <row r="63" spans="1:24" x14ac:dyDescent="0.2">
      <c r="X63" s="3" t="s">
        <v>389</v>
      </c>
    </row>
    <row r="64" spans="1:24" ht="16.5" customHeight="1" x14ac:dyDescent="0.3">
      <c r="A64" s="1211" t="s">
        <v>60</v>
      </c>
      <c r="B64" s="1211"/>
      <c r="C64" s="1211"/>
      <c r="D64" s="1211"/>
      <c r="E64" s="1211"/>
      <c r="F64" s="1211"/>
      <c r="G64" s="13"/>
      <c r="H64" s="13"/>
      <c r="I64" s="5"/>
      <c r="J64" s="5"/>
      <c r="K64" s="6"/>
      <c r="L64" s="7"/>
      <c r="M64" s="8"/>
      <c r="N64" s="9"/>
      <c r="O64" s="9"/>
    </row>
    <row r="65" spans="1:39" ht="3.75" customHeight="1" x14ac:dyDescent="0.3">
      <c r="G65" s="13"/>
      <c r="H65" s="13"/>
      <c r="I65" s="5"/>
      <c r="J65" s="5"/>
      <c r="K65" s="6"/>
      <c r="L65" s="7"/>
      <c r="M65" s="8"/>
      <c r="N65" s="9"/>
      <c r="O65" s="9"/>
      <c r="T65" s="1212"/>
      <c r="U65" s="1212"/>
    </row>
    <row r="66" spans="1:39" ht="3.75" customHeight="1" x14ac:dyDescent="0.3">
      <c r="I66" s="10"/>
      <c r="J66" s="5"/>
      <c r="K66" s="11"/>
      <c r="L66" s="12"/>
      <c r="M66" s="12"/>
      <c r="N66" s="13"/>
      <c r="O66" s="13"/>
      <c r="Q66" s="285"/>
    </row>
    <row r="67" spans="1:39" ht="15" customHeight="1" thickBot="1" x14ac:dyDescent="0.25">
      <c r="A67" s="1419" t="str">
        <f>IF(AND($M$21&lt;=100,H68=$H$165,A80&gt;$D$174),$C$175,"")</f>
        <v/>
      </c>
      <c r="B67" s="1419"/>
      <c r="C67" s="1419"/>
      <c r="D67" s="1419"/>
      <c r="E67" s="1419"/>
      <c r="F67" s="10"/>
      <c r="G67" s="10"/>
      <c r="H67" s="10"/>
      <c r="I67" s="10"/>
      <c r="J67" s="12"/>
      <c r="K67" s="12"/>
      <c r="L67" s="12"/>
      <c r="M67" s="12"/>
      <c r="N67" s="13"/>
      <c r="O67" s="13"/>
      <c r="W67" s="137"/>
    </row>
    <row r="68" spans="1:39" ht="20.25" customHeight="1" thickBot="1" x14ac:dyDescent="0.25">
      <c r="C68" s="1135" t="s">
        <v>63</v>
      </c>
      <c r="D68" s="1136"/>
      <c r="E68" s="1137"/>
      <c r="F68" s="1129">
        <v>100</v>
      </c>
      <c r="G68" s="1130"/>
      <c r="H68" s="443" t="s">
        <v>315</v>
      </c>
      <c r="I68" s="1116"/>
      <c r="L68" s="305"/>
      <c r="M68" s="286"/>
      <c r="N68" s="1210"/>
      <c r="O68" s="1210"/>
      <c r="P68" s="1210"/>
      <c r="Q68" s="1264"/>
      <c r="R68" s="1264"/>
      <c r="S68" s="1215"/>
      <c r="T68" s="1215"/>
      <c r="U68" s="1209"/>
      <c r="V68" s="1209"/>
      <c r="W68" s="577">
        <v>1</v>
      </c>
    </row>
    <row r="69" spans="1:39" s="136" customFormat="1" ht="60.75" customHeight="1" x14ac:dyDescent="0.2">
      <c r="A69" s="1127" t="s">
        <v>73</v>
      </c>
      <c r="B69" s="1127"/>
      <c r="C69" s="1127" t="s">
        <v>74</v>
      </c>
      <c r="D69" s="1127"/>
      <c r="E69" s="1127" t="s">
        <v>75</v>
      </c>
      <c r="F69" s="1127"/>
      <c r="G69" s="1127" t="s">
        <v>172</v>
      </c>
      <c r="H69" s="1127"/>
      <c r="I69" s="1127" t="s">
        <v>174</v>
      </c>
      <c r="J69" s="1127"/>
      <c r="K69" s="1214" t="s">
        <v>726</v>
      </c>
      <c r="L69" s="1214"/>
      <c r="M69" s="1149" t="s">
        <v>76</v>
      </c>
      <c r="N69" s="1149"/>
      <c r="O69" s="1149" t="s">
        <v>77</v>
      </c>
      <c r="P69" s="1149"/>
      <c r="Q69" s="1149" t="str">
        <f>CONCATENATE("Volumen calculado","[",H68,"]")</f>
        <v>Volumen calculado[µL]</v>
      </c>
      <c r="R69" s="1149"/>
      <c r="S69" s="1149" t="str">
        <f>CONCATENATE("Error  del IBP","[",H68,"]")</f>
        <v>Error  del IBP[µL]</v>
      </c>
      <c r="T69" s="1149"/>
      <c r="U69" s="404"/>
      <c r="V69" s="483" t="str">
        <f>CONCATENATE("Incertidumbre"," [", $H$68,"]")</f>
        <v>Incertidumbre [µL]</v>
      </c>
      <c r="W69" s="569" t="s">
        <v>727</v>
      </c>
      <c r="X69" s="569" t="s">
        <v>728</v>
      </c>
      <c r="Y69" s="569" t="s">
        <v>729</v>
      </c>
      <c r="Z69" s="569" t="s">
        <v>730</v>
      </c>
      <c r="AA69" s="569" t="s">
        <v>731</v>
      </c>
    </row>
    <row r="70" spans="1:39" x14ac:dyDescent="0.2">
      <c r="A70" s="1131">
        <v>25.217870000000001</v>
      </c>
      <c r="B70" s="1131"/>
      <c r="C70" s="1131">
        <v>25.320460000000001</v>
      </c>
      <c r="D70" s="1131"/>
      <c r="E70" s="1128">
        <v>20.85</v>
      </c>
      <c r="F70" s="1128"/>
      <c r="G70" s="1128">
        <v>20.8</v>
      </c>
      <c r="H70" s="1128"/>
      <c r="I70" s="1126">
        <v>54.6</v>
      </c>
      <c r="J70" s="1126"/>
      <c r="K70" s="1126">
        <v>910</v>
      </c>
      <c r="L70" s="1126"/>
      <c r="M70" s="1201">
        <f>+(((0.34844*'DATOS CORRECCIONES EQUIPOS EMPL'!K14)+'DATOS CORRECCIONES EQUIPOS EMPL'!I14*((-0.00252*'DATOS CORRECCIONES EQUIPOS EMPL'!G14)+0.020582))/('DATOS CORRECCIONES EQUIPOS EMPL'!G14+273.15))/1000</f>
        <v>1.072451603704833E-3</v>
      </c>
      <c r="N70" s="1202"/>
      <c r="O70" s="1203">
        <f>IF('INCERTIDUMBRE DE LA MEDIDA'!$E$38="Kell",((999.85308+0.0632693*'DATOS CORRECCIONES EQUIPOS EMPL'!E14)-(0.00852393*'DATOS CORRECCIONES EQUIPOS EMPL'!E14^2)+(0.00006943248*'DATOS CORRECCIONES EQUIPOS EMPL'!E14^3)-(0.0000003821216*'DATOS CORRECCIONES EQUIPOS EMPL'!E14^4))/1000,(0.99997495*(1-(('DATOS CORRECCIONES EQUIPOS EMPL'!E14-3.983035)^2*('DATOS CORRECCIONES EQUIPOS EMPL'!E14+301.797))/(522528.9*('DATOS CORRECCIONES EQUIPOS EMPL'!E14+69.34881)))))</f>
        <v>0.99806084620607161</v>
      </c>
      <c r="P70" s="1202"/>
      <c r="Q70" s="1150">
        <f>IF($H$68=$H$165,(C70-A70-$D$41)*(((1/$R$21)*(($R$21-M70)/(O70-M70)))*(1-$F$22*('DATOS CORRECCIONES EQUIPOS EMPL'!$E14-20)))*1000,IF($H$68=$H$164,(C70-A70-$D$41)*(((1/$R$21)*(($R$21-M70)/(O70-M70)))*(1-$F$22*('DATOS CORRECCIONES EQUIPOS EMPL'!$E14-20))),(C70-A70-$D$41)*(((1/$R$21)*(($R$21-M70)/(O70-M70)))*(1-$F$22*('DATOS CORRECCIONES EQUIPOS EMPL'!$E14-20)))/1000))</f>
        <v>102.87089123490576</v>
      </c>
      <c r="R70" s="1151"/>
      <c r="S70" s="1164">
        <f>+(Q70-$F$68)</f>
        <v>2.8708912349057556</v>
      </c>
      <c r="T70" s="1165"/>
      <c r="U70" s="406">
        <f>+(1*(0.0632693*'DATOS CORRECCIONES EQUIPOS EMPL'!E14^0)-2*(0.00852393*'DATOS CORRECCIONES EQUIPOS EMPL'!E14^1)+3*(0.00006943248*'DATOS CORRECCIONES EQUIPOS EMPL'!E14^2)-4*(0.0000003821216*'DATOS CORRECCIONES EQUIPOS EMPL'!E14^3))/1000</f>
        <v>-2.1386620082684273E-4</v>
      </c>
      <c r="V70" s="484"/>
      <c r="W70" s="574" t="str">
        <f>IF(OR(A70="",(ABS(S70)&gt;=$Q$22)),"Revisar pesada","ok")</f>
        <v>ok</v>
      </c>
      <c r="X70" s="570" t="str">
        <f>IF(ABS(G70-$E$70)&lt;=$V$45,"ok","Revisar")</f>
        <v>ok</v>
      </c>
      <c r="Y70" s="570" t="str">
        <f>IF(ABS(G70-E70)&gt;=$W$45,"Revisar","ok")</f>
        <v>ok</v>
      </c>
      <c r="Z70" s="570" t="str">
        <f>IF(ABS(I71-$I$70)&lt;=$X$45,"ok","Revisar")</f>
        <v>ok</v>
      </c>
      <c r="AA70" s="570" t="str">
        <f>IF(ABS(K71-$K$70)&lt;=$Y$45,"ok","Revisar")</f>
        <v>ok</v>
      </c>
      <c r="AB70"/>
      <c r="AC70" s="151"/>
      <c r="AD70" s="151"/>
      <c r="AF70"/>
      <c r="AG70"/>
      <c r="AH70" s="50"/>
      <c r="AI70" s="3">
        <f>LEN(W70)</f>
        <v>2</v>
      </c>
      <c r="AJ70" s="3">
        <f t="shared" ref="AJ70:AM80" si="1">LEN(X70)</f>
        <v>2</v>
      </c>
      <c r="AK70" s="3">
        <f t="shared" si="1"/>
        <v>2</v>
      </c>
      <c r="AL70" s="3">
        <f t="shared" si="1"/>
        <v>2</v>
      </c>
      <c r="AM70" s="3">
        <f t="shared" si="1"/>
        <v>2</v>
      </c>
    </row>
    <row r="71" spans="1:39" x14ac:dyDescent="0.2">
      <c r="A71" s="1131">
        <v>25.320460000000001</v>
      </c>
      <c r="B71" s="1131"/>
      <c r="C71" s="1131">
        <v>25.42371</v>
      </c>
      <c r="D71" s="1131"/>
      <c r="E71" s="1128">
        <v>20.84</v>
      </c>
      <c r="F71" s="1128"/>
      <c r="G71" s="1128">
        <v>20.8</v>
      </c>
      <c r="H71" s="1128"/>
      <c r="I71" s="1126">
        <v>54.9</v>
      </c>
      <c r="J71" s="1126"/>
      <c r="K71" s="1126">
        <v>910</v>
      </c>
      <c r="L71" s="1126"/>
      <c r="M71" s="1201">
        <f>+(((0.34844*'DATOS CORRECCIONES EQUIPOS EMPL'!K15)+'DATOS CORRECCIONES EQUIPOS EMPL'!I15*((-0.00252*'DATOS CORRECCIONES EQUIPOS EMPL'!G15)+0.020582))/('DATOS CORRECCIONES EQUIPOS EMPL'!G15+273.15))/1000</f>
        <v>1.0724162215267462E-3</v>
      </c>
      <c r="N71" s="1202"/>
      <c r="O71" s="1203">
        <f>IF('INCERTIDUMBRE DE LA MEDIDA'!$E$38="Kell",((999.85308+0.0632693*'DATOS CORRECCIONES EQUIPOS EMPL'!E15)-(0.00852393*'DATOS CORRECCIONES EQUIPOS EMPL'!E15^2)+(0.00006943248*'DATOS CORRECCIONES EQUIPOS EMPL'!E15^3)-(0.0000003821216*'DATOS CORRECCIONES EQUIPOS EMPL'!E15^4))/1000,(0.99997495*(1-(('DATOS CORRECCIONES EQUIPOS EMPL'!E15-3.983035)^2*('DATOS CORRECCIONES EQUIPOS EMPL'!E15+301.797))/(522528.9*('DATOS CORRECCIONES EQUIPOS EMPL'!E15+69.34881)))))</f>
        <v>0.99806298395146031</v>
      </c>
      <c r="P71" s="1202"/>
      <c r="Q71" s="1150">
        <f>IF($H$68=$H$165,(C71-A71-$D$41)*(((1/$R$21)*(($R$21-M71)/(O71-M71)))*(1-$F$22*('DATOS CORRECCIONES EQUIPOS EMPL'!$E15-20)))*1000,IF($H$68=$H$164,(C71-A71-$D$41)*(((1/$R$21)*(($R$21-M71)/(O71-M71)))*(1-$F$22*('DATOS CORRECCIONES EQUIPOS EMPL'!$E15-20))),(C71-A71-$D$41)*(((1/$R$21)*(($R$21-M71)/(O71-M71)))*(1-$F$22*('DATOS CORRECCIONES EQUIPOS EMPL'!$E15-20)))/1000))</f>
        <v>103.53270880342244</v>
      </c>
      <c r="R71" s="1151"/>
      <c r="S71" s="1164">
        <f>+(Q71-$F$68)</f>
        <v>3.5327088034224374</v>
      </c>
      <c r="T71" s="1165"/>
      <c r="U71" s="406">
        <f>+(1*(0.0632693*'DATOS CORRECCIONES EQUIPOS EMPL'!E15^0)-2*(0.00852393*'DATOS CORRECCIONES EQUIPOS EMPL'!E15^1)+3*(0.00006943248*'DATOS CORRECCIONES EQUIPOS EMPL'!E15^2)-4*(0.0000003821216*'DATOS CORRECCIONES EQUIPOS EMPL'!E15^3))/1000</f>
        <v>-2.137622511303441E-4</v>
      </c>
      <c r="V71" s="485"/>
      <c r="W71" s="574" t="str">
        <f t="shared" ref="W71:W79" si="2">IF(OR(A71="",(ABS(S71)&gt;=$Q$22)),"Revisar pesada","ok")</f>
        <v>ok</v>
      </c>
      <c r="X71" s="570" t="str">
        <f>IF(ABS(E71-$E$70)&lt;=$V$45,"ok","Revisar")</f>
        <v>ok</v>
      </c>
      <c r="Y71" s="570" t="str">
        <f>IF(ABS(G71-$G$70)&gt;=$W$45,"Revisar","ok")</f>
        <v>ok</v>
      </c>
      <c r="Z71" s="570" t="str">
        <f>IF(ABS(K71-$K$70)&lt;=$X$45,"ok","Revisar")</f>
        <v>ok</v>
      </c>
      <c r="AA71" s="570" t="str">
        <f>IF(ABS(K71-$K$70)&lt;=$Y$45,"ok","Revisar")</f>
        <v>ok</v>
      </c>
      <c r="AB71"/>
      <c r="AC71" s="151"/>
      <c r="AD71" s="151"/>
      <c r="AF71"/>
      <c r="AG71"/>
      <c r="AH71" s="50"/>
      <c r="AI71" s="3">
        <f t="shared" ref="AI71:AI79" si="3">LEN(W71)</f>
        <v>2</v>
      </c>
      <c r="AJ71" s="3">
        <f t="shared" si="1"/>
        <v>2</v>
      </c>
      <c r="AK71" s="3">
        <f t="shared" si="1"/>
        <v>2</v>
      </c>
      <c r="AL71" s="3">
        <f t="shared" si="1"/>
        <v>2</v>
      </c>
      <c r="AM71" s="3">
        <f t="shared" si="1"/>
        <v>2</v>
      </c>
    </row>
    <row r="72" spans="1:39" x14ac:dyDescent="0.2">
      <c r="A72" s="1131">
        <v>25.42371</v>
      </c>
      <c r="B72" s="1131"/>
      <c r="C72" s="1131">
        <v>25.526140000000002</v>
      </c>
      <c r="D72" s="1131"/>
      <c r="E72" s="1128">
        <v>20.84</v>
      </c>
      <c r="F72" s="1128"/>
      <c r="G72" s="1128">
        <v>20.8</v>
      </c>
      <c r="H72" s="1128"/>
      <c r="I72" s="1126">
        <v>55</v>
      </c>
      <c r="J72" s="1126"/>
      <c r="K72" s="1126">
        <v>910</v>
      </c>
      <c r="L72" s="1126"/>
      <c r="M72" s="1201">
        <f>+(((0.34844*'DATOS CORRECCIONES EQUIPOS EMPL'!K16)+'DATOS CORRECCIONES EQUIPOS EMPL'!I16*((-0.00252*'DATOS CORRECCIONES EQUIPOS EMPL'!G16)+0.020582))/('DATOS CORRECCIONES EQUIPOS EMPL'!G16+273.15))/1000</f>
        <v>1.0724044329075073E-3</v>
      </c>
      <c r="N72" s="1202"/>
      <c r="O72" s="1203">
        <f>IF('INCERTIDUMBRE DE LA MEDIDA'!$E$38="Kell",((999.85308+0.0632693*'DATOS CORRECCIONES EQUIPOS EMPL'!E16)-(0.00852393*'DATOS CORRECCIONES EQUIPOS EMPL'!E16^2)+(0.00006943248*'DATOS CORRECCIONES EQUIPOS EMPL'!E16^3)-(0.0000003821216*'DATOS CORRECCIONES EQUIPOS EMPL'!E16^4))/1000,(0.99997495*(1-(('DATOS CORRECCIONES EQUIPOS EMPL'!E16-3.983035)^2*('DATOS CORRECCIONES EQUIPOS EMPL'!E16+301.797))/(522528.9*('DATOS CORRECCIONES EQUIPOS EMPL'!E16+69.34881)))))</f>
        <v>0.99806298395146031</v>
      </c>
      <c r="P72" s="1202"/>
      <c r="Q72" s="1150">
        <f>IF($H$68=$H$165,(C72-A72-$D$41)*(((1/$R$21)*(($R$21-M72)/(O72-M72)))*(1-$F$22*('DATOS CORRECCIONES EQUIPOS EMPL'!$E16-20)))*1000,IF($H$68=$H$164,(C72-A72-$D$41)*(((1/$R$21)*(($R$21-M72)/(O72-M72)))*(1-$F$22*('DATOS CORRECCIONES EQUIPOS EMPL'!$E16-20))),(C72-A72-$D$41)*(((1/$R$21)*(($R$21-M72)/(O72-M72)))*(1-$F$22*('DATOS CORRECCIONES EQUIPOS EMPL'!$E16-20)))/1000))</f>
        <v>102.71047842621981</v>
      </c>
      <c r="R72" s="1151"/>
      <c r="S72" s="1164">
        <f>+(Q72-$F$68)</f>
        <v>2.7104784262198081</v>
      </c>
      <c r="T72" s="1165"/>
      <c r="U72" s="406">
        <f>+(1*(0.0632693*'DATOS CORRECCIONES EQUIPOS EMPL'!E16^0)-2*(0.00852393*'DATOS CORRECCIONES EQUIPOS EMPL'!E16^1)+3*(0.00006943248*'DATOS CORRECCIONES EQUIPOS EMPL'!E16^2)-4*(0.0000003821216*'DATOS CORRECCIONES EQUIPOS EMPL'!E16^3))/1000</f>
        <v>-2.137622511303441E-4</v>
      </c>
      <c r="V72" s="485"/>
      <c r="W72" s="574" t="str">
        <f t="shared" si="2"/>
        <v>ok</v>
      </c>
      <c r="X72" s="570" t="str">
        <f t="shared" ref="X72:X79" si="4">IF(ABS(E72-$E$70)&lt;=$V$45,"ok","Revisar")</f>
        <v>ok</v>
      </c>
      <c r="Y72" s="570" t="str">
        <f t="shared" ref="Y72:Y79" si="5">IF(ABS(G72-$G$70)&gt;=$W$45,"Revisar","ok")</f>
        <v>ok</v>
      </c>
      <c r="Z72" s="570" t="str">
        <f t="shared" ref="Z72:Z79" si="6">IF(ABS(K72-$K$70)&lt;=$X$45,"ok","Revisar")</f>
        <v>ok</v>
      </c>
      <c r="AA72" s="570" t="str">
        <f t="shared" ref="AA72:AA79" si="7">IF(ABS(K72-$K$70)&lt;=$Y$45,"ok","Revisar")</f>
        <v>ok</v>
      </c>
      <c r="AB72"/>
      <c r="AC72" s="151"/>
      <c r="AD72" s="151"/>
      <c r="AF72"/>
      <c r="AG72"/>
      <c r="AH72" s="50"/>
      <c r="AI72" s="3">
        <f t="shared" si="3"/>
        <v>2</v>
      </c>
      <c r="AJ72" s="3">
        <f t="shared" si="1"/>
        <v>2</v>
      </c>
      <c r="AK72" s="3">
        <f t="shared" si="1"/>
        <v>2</v>
      </c>
      <c r="AL72" s="3">
        <f t="shared" si="1"/>
        <v>2</v>
      </c>
      <c r="AM72" s="3">
        <f t="shared" si="1"/>
        <v>2</v>
      </c>
    </row>
    <row r="73" spans="1:39" x14ac:dyDescent="0.2">
      <c r="A73" s="1131">
        <v>25.526140000000002</v>
      </c>
      <c r="B73" s="1131"/>
      <c r="C73" s="1131">
        <v>25.628620000000002</v>
      </c>
      <c r="D73" s="1131"/>
      <c r="E73" s="1128">
        <v>20.83</v>
      </c>
      <c r="F73" s="1128"/>
      <c r="G73" s="1128">
        <v>20.8</v>
      </c>
      <c r="H73" s="1128"/>
      <c r="I73" s="1126">
        <v>55</v>
      </c>
      <c r="J73" s="1126"/>
      <c r="K73" s="1126">
        <v>910</v>
      </c>
      <c r="L73" s="1126"/>
      <c r="M73" s="1201">
        <f>+(((0.34844*'DATOS CORRECCIONES EQUIPOS EMPL'!K17)+'DATOS CORRECCIONES EQUIPOS EMPL'!I17*((-0.00252*'DATOS CORRECCIONES EQUIPOS EMPL'!G17)+0.020582))/('DATOS CORRECCIONES EQUIPOS EMPL'!G17+273.15))/1000</f>
        <v>1.0724044329075073E-3</v>
      </c>
      <c r="N73" s="1202"/>
      <c r="O73" s="1203">
        <f>IF('INCERTIDUMBRE DE LA MEDIDA'!$E$38="Kell",((999.85308+0.0632693*'DATOS CORRECCIONES EQUIPOS EMPL'!E17)-(0.00852393*'DATOS CORRECCIONES EQUIPOS EMPL'!E17^2)+(0.00006943248*'DATOS CORRECCIONES EQUIPOS EMPL'!E17^3)-(0.0000003821216*'DATOS CORRECCIONES EQUIPOS EMPL'!E17^4))/1000,(0.99997495*(1-(('DATOS CORRECCIONES EQUIPOS EMPL'!E17-3.983035)^2*('DATOS CORRECCIONES EQUIPOS EMPL'!E17+301.797))/(522528.9*('DATOS CORRECCIONES EQUIPOS EMPL'!E17+69.34881)))))</f>
        <v>0.99806512066684028</v>
      </c>
      <c r="P73" s="1202"/>
      <c r="Q73" s="1150">
        <f>IF($H$68=$H$165,(C73-A73-$D$41)*(((1/$R$21)*(($R$21-M73)/(O73-M73)))*(1-$F$22*('DATOS CORRECCIONES EQUIPOS EMPL'!$E17-20)))*1000,IF($H$68=$H$164,(C73-A73-$D$41)*(((1/$R$21)*(($R$21-M73)/(O73-M73)))*(1-$F$22*('DATOS CORRECCIONES EQUIPOS EMPL'!$E17-20))),(C73-A73-$D$41)*(((1/$R$21)*(($R$21-M73)/(O73-M73)))*(1-$F$22*('DATOS CORRECCIONES EQUIPOS EMPL'!$E17-20)))/1000))</f>
        <v>102.7606408736612</v>
      </c>
      <c r="R73" s="1151"/>
      <c r="S73" s="1164">
        <f t="shared" ref="S73:S79" si="8">+(Q73-$F$68)</f>
        <v>2.7606408736612025</v>
      </c>
      <c r="T73" s="1165"/>
      <c r="U73" s="406">
        <f>+(1*(0.0632693*'DATOS CORRECCIONES EQUIPOS EMPL'!E17^0)-2*(0.00852393*'DATOS CORRECCIONES EQUIPOS EMPL'!E17^1)+3*(0.00006943248*'DATOS CORRECCIONES EQUIPOS EMPL'!E17^2)-4*(0.0000003821216*'DATOS CORRECCIONES EQUIPOS EMPL'!E17^3))/1000</f>
        <v>-2.1365827829230894E-4</v>
      </c>
      <c r="V73" s="485"/>
      <c r="W73" s="574" t="str">
        <f t="shared" si="2"/>
        <v>ok</v>
      </c>
      <c r="X73" s="570" t="str">
        <f t="shared" si="4"/>
        <v>ok</v>
      </c>
      <c r="Y73" s="570" t="str">
        <f t="shared" si="5"/>
        <v>ok</v>
      </c>
      <c r="Z73" s="570" t="str">
        <f t="shared" si="6"/>
        <v>ok</v>
      </c>
      <c r="AA73" s="570" t="str">
        <f t="shared" si="7"/>
        <v>ok</v>
      </c>
      <c r="AB73"/>
      <c r="AC73" s="151"/>
      <c r="AD73" s="151"/>
      <c r="AF73"/>
      <c r="AG73"/>
      <c r="AH73" s="50"/>
      <c r="AI73" s="3">
        <f t="shared" si="3"/>
        <v>2</v>
      </c>
      <c r="AJ73" s="3">
        <f t="shared" si="1"/>
        <v>2</v>
      </c>
      <c r="AK73" s="3">
        <f t="shared" si="1"/>
        <v>2</v>
      </c>
      <c r="AL73" s="3">
        <f t="shared" si="1"/>
        <v>2</v>
      </c>
      <c r="AM73" s="3">
        <f t="shared" si="1"/>
        <v>2</v>
      </c>
    </row>
    <row r="74" spans="1:39" x14ac:dyDescent="0.2">
      <c r="A74" s="1131">
        <v>25.628620000000002</v>
      </c>
      <c r="B74" s="1131"/>
      <c r="C74" s="1131">
        <v>25.731860000000001</v>
      </c>
      <c r="D74" s="1131"/>
      <c r="E74" s="1128">
        <v>20.82</v>
      </c>
      <c r="F74" s="1128"/>
      <c r="G74" s="1128">
        <v>20.8</v>
      </c>
      <c r="H74" s="1128"/>
      <c r="I74" s="1126">
        <v>54.8</v>
      </c>
      <c r="J74" s="1126"/>
      <c r="K74" s="1126">
        <v>910</v>
      </c>
      <c r="L74" s="1126"/>
      <c r="M74" s="1201">
        <f>+(((0.34844*'DATOS CORRECCIONES EQUIPOS EMPL'!K18)+'DATOS CORRECCIONES EQUIPOS EMPL'!I18*((-0.00252*'DATOS CORRECCIONES EQUIPOS EMPL'!G18)+0.020582))/('DATOS CORRECCIONES EQUIPOS EMPL'!G18+273.15))/1000</f>
        <v>1.072428012866047E-3</v>
      </c>
      <c r="N74" s="1202"/>
      <c r="O74" s="1203">
        <f>IF('INCERTIDUMBRE DE LA MEDIDA'!$E$38="Kell",((999.85308+0.0632693*'DATOS CORRECCIONES EQUIPOS EMPL'!E18)-(0.00852393*'DATOS CORRECCIONES EQUIPOS EMPL'!E18^2)+(0.00006943248*'DATOS CORRECCIONES EQUIPOS EMPL'!E18^3)-(0.0000003821216*'DATOS CORRECCIONES EQUIPOS EMPL'!E18^4))/1000,(0.99997495*(1-(('DATOS CORRECCIONES EQUIPOS EMPL'!E18-3.983035)^2*('DATOS CORRECCIONES EQUIPOS EMPL'!E18+301.797))/(522528.9*('DATOS CORRECCIONES EQUIPOS EMPL'!E18+69.34881)))))</f>
        <v>0.99806725635197979</v>
      </c>
      <c r="P74" s="1202"/>
      <c r="Q74" s="1150">
        <f>IF($H$68=$H$165,(C74-A74-$D$41)*(((1/$R$21)*(($R$21-M74)/(O74-M74)))*(1-$F$22*('DATOS CORRECCIONES EQUIPOS EMPL'!$E18-20)))*1000,IF($H$68=$H$164,(C74-A74-$D$41)*(((1/$R$21)*(($R$21-M74)/(O74-M74)))*(1-$F$22*('DATOS CORRECCIONES EQUIPOS EMPL'!$E18-20))),(C74-A74-$D$41)*(((1/$R$21)*(($R$21-M74)/(O74-M74)))*(1-$F$22*('DATOS CORRECCIONES EQUIPOS EMPL'!$E18-20)))/1000))</f>
        <v>103.52273621704636</v>
      </c>
      <c r="R74" s="1151"/>
      <c r="S74" s="1164">
        <f t="shared" si="8"/>
        <v>3.5227362170463579</v>
      </c>
      <c r="T74" s="1165"/>
      <c r="U74" s="406">
        <f>+(1*(0.0632693*'DATOS CORRECCIONES EQUIPOS EMPL'!E18^0)-2*(0.00852393*'DATOS CORRECCIONES EQUIPOS EMPL'!E18^1)+3*(0.00006943248*'DATOS CORRECCIONES EQUIPOS EMPL'!E18^2)-4*(0.0000003821216*'DATOS CORRECCIONES EQUIPOS EMPL'!E18^3))/1000</f>
        <v>-2.1355428230327114E-4</v>
      </c>
      <c r="V74" s="485"/>
      <c r="W74" s="574" t="str">
        <f t="shared" si="2"/>
        <v>ok</v>
      </c>
      <c r="X74" s="570" t="str">
        <f t="shared" si="4"/>
        <v>ok</v>
      </c>
      <c r="Y74" s="570" t="str">
        <f t="shared" si="5"/>
        <v>ok</v>
      </c>
      <c r="Z74" s="570" t="str">
        <f t="shared" si="6"/>
        <v>ok</v>
      </c>
      <c r="AA74" s="570" t="str">
        <f t="shared" si="7"/>
        <v>ok</v>
      </c>
      <c r="AB74"/>
      <c r="AC74" s="151">
        <f>EXP(1.20115406)</f>
        <v>3.3239507486794762</v>
      </c>
      <c r="AD74" s="151"/>
      <c r="AF74"/>
      <c r="AG74"/>
      <c r="AH74" s="50"/>
      <c r="AI74" s="3">
        <f t="shared" si="3"/>
        <v>2</v>
      </c>
      <c r="AJ74" s="3">
        <f t="shared" si="1"/>
        <v>2</v>
      </c>
      <c r="AK74" s="3">
        <f t="shared" si="1"/>
        <v>2</v>
      </c>
      <c r="AL74" s="3">
        <f t="shared" si="1"/>
        <v>2</v>
      </c>
      <c r="AM74" s="3">
        <f t="shared" si="1"/>
        <v>2</v>
      </c>
    </row>
    <row r="75" spans="1:39" ht="11.25" customHeight="1" x14ac:dyDescent="0.2">
      <c r="A75" s="1131">
        <v>25.731860000000001</v>
      </c>
      <c r="B75" s="1131"/>
      <c r="C75" s="1131">
        <v>25.834620000000001</v>
      </c>
      <c r="D75" s="1131"/>
      <c r="E75" s="1128">
        <v>20.81</v>
      </c>
      <c r="F75" s="1128"/>
      <c r="G75" s="1128">
        <v>20.8</v>
      </c>
      <c r="H75" s="1128"/>
      <c r="I75" s="1126">
        <v>55.1</v>
      </c>
      <c r="J75" s="1126"/>
      <c r="K75" s="1126">
        <v>910</v>
      </c>
      <c r="L75" s="1126"/>
      <c r="M75" s="1201">
        <f>+(((0.34844*'DATOS CORRECCIONES EQUIPOS EMPL'!K19)+'DATOS CORRECCIONES EQUIPOS EMPL'!I19*((-0.00252*'DATOS CORRECCIONES EQUIPOS EMPL'!G19)+0.020582))/('DATOS CORRECCIONES EQUIPOS EMPL'!G19+273.15))/1000</f>
        <v>1.0723926470083296E-3</v>
      </c>
      <c r="N75" s="1202"/>
      <c r="O75" s="1203">
        <f>IF('INCERTIDUMBRE DE LA MEDIDA'!$E$38="Kell",((999.85308+0.0632693*'DATOS CORRECCIONES EQUIPOS EMPL'!E19)-(0.00852393*'DATOS CORRECCIONES EQUIPOS EMPL'!E19^2)+(0.00006943248*'DATOS CORRECCIONES EQUIPOS EMPL'!E19^3)-(0.0000003821216*'DATOS CORRECCIONES EQUIPOS EMPL'!E19^4))/1000,(0.99997495*(1-(('DATOS CORRECCIONES EQUIPOS EMPL'!E19-3.983035)^2*('DATOS CORRECCIONES EQUIPOS EMPL'!E19+301.797))/(522528.9*('DATOS CORRECCIONES EQUIPOS EMPL'!E19+69.34881)))))</f>
        <v>0.99806939100664693</v>
      </c>
      <c r="P75" s="1202"/>
      <c r="Q75" s="1150">
        <f>IF($H$68=$H$165,(C75-A75-$D$41)*(((1/$R$21)*(($R$21-M75)/(O75-M75)))*(1-$F$22*('DATOS CORRECCIONES EQUIPOS EMPL'!$E19-20)))*1000,IF($H$68=$H$164,(C75-A75-$D$41)*(((1/$R$21)*(($R$21-M75)/(O75-M75)))*(1-$F$22*('DATOS CORRECCIONES EQUIPOS EMPL'!$E19-20))),(C75-A75-$D$41)*(((1/$R$21)*(($R$21-M75)/(O75-M75)))*(1-$F$22*('DATOS CORRECCIONES EQUIPOS EMPL'!$E19-20)))/1000))</f>
        <v>103.04145460253103</v>
      </c>
      <c r="R75" s="1151"/>
      <c r="S75" s="1164">
        <f t="shared" si="8"/>
        <v>3.0414546025310329</v>
      </c>
      <c r="T75" s="1165"/>
      <c r="U75" s="406">
        <f>+(1*(0.0632693*'DATOS CORRECCIONES EQUIPOS EMPL'!E19^0)-2*(0.00852393*'DATOS CORRECCIONES EQUIPOS EMPL'!E19^1)+3*(0.00006943248*'DATOS CORRECCIONES EQUIPOS EMPL'!E19^2)-4*(0.0000003821216*'DATOS CORRECCIONES EQUIPOS EMPL'!E19^3))/1000</f>
        <v>-2.1345026315376425E-4</v>
      </c>
      <c r="V75" s="485"/>
      <c r="W75" s="574" t="str">
        <f t="shared" si="2"/>
        <v>ok</v>
      </c>
      <c r="X75" s="570" t="str">
        <f t="shared" si="4"/>
        <v>ok</v>
      </c>
      <c r="Y75" s="570" t="str">
        <f t="shared" si="5"/>
        <v>ok</v>
      </c>
      <c r="Z75" s="570" t="str">
        <f t="shared" si="6"/>
        <v>ok</v>
      </c>
      <c r="AA75" s="570" t="str">
        <f t="shared" si="7"/>
        <v>ok</v>
      </c>
      <c r="AB75"/>
      <c r="AC75" s="151"/>
      <c r="AD75" s="151"/>
      <c r="AF75"/>
      <c r="AG75"/>
      <c r="AH75" s="50"/>
      <c r="AI75" s="3">
        <f t="shared" si="3"/>
        <v>2</v>
      </c>
      <c r="AJ75" s="3">
        <f t="shared" si="1"/>
        <v>2</v>
      </c>
      <c r="AK75" s="3">
        <f t="shared" si="1"/>
        <v>2</v>
      </c>
      <c r="AL75" s="3">
        <f t="shared" si="1"/>
        <v>2</v>
      </c>
      <c r="AM75" s="3">
        <f t="shared" si="1"/>
        <v>2</v>
      </c>
    </row>
    <row r="76" spans="1:39" x14ac:dyDescent="0.2">
      <c r="A76" s="1131">
        <v>25.834620000000001</v>
      </c>
      <c r="B76" s="1131"/>
      <c r="C76" s="1131">
        <v>25.937529999999999</v>
      </c>
      <c r="D76" s="1131"/>
      <c r="E76" s="1128">
        <v>20.79</v>
      </c>
      <c r="F76" s="1128"/>
      <c r="G76" s="1128">
        <v>20.8</v>
      </c>
      <c r="H76" s="1128"/>
      <c r="I76" s="1126">
        <v>54.9</v>
      </c>
      <c r="J76" s="1126"/>
      <c r="K76" s="1126">
        <v>910</v>
      </c>
      <c r="L76" s="1126"/>
      <c r="M76" s="1201">
        <f>+(((0.34844*'DATOS CORRECCIONES EQUIPOS EMPL'!K20)+'DATOS CORRECCIONES EQUIPOS EMPL'!I20*((-0.00252*'DATOS CORRECCIONES EQUIPOS EMPL'!G20)+0.020582))/('DATOS CORRECCIONES EQUIPOS EMPL'!G20+273.15))/1000</f>
        <v>1.0724162215267462E-3</v>
      </c>
      <c r="N76" s="1202"/>
      <c r="O76" s="1203">
        <f>IF('INCERTIDUMBRE DE LA MEDIDA'!$E$38="Kell",((999.85308+0.0632693*'DATOS CORRECCIONES EQUIPOS EMPL'!E20)-(0.00852393*'DATOS CORRECCIONES EQUIPOS EMPL'!E20^2)+(0.00006943248*'DATOS CORRECCIONES EQUIPOS EMPL'!E20^3)-(0.0000003821216*'DATOS CORRECCIONES EQUIPOS EMPL'!E20^4))/1000,(0.99997495*(1-(('DATOS CORRECCIONES EQUIPOS EMPL'!E20-3.983035)^2*('DATOS CORRECCIONES EQUIPOS EMPL'!E20+301.797))/(522528.9*('DATOS CORRECCIONES EQUIPOS EMPL'!E20+69.34881)))))</f>
        <v>0.99807365722363584</v>
      </c>
      <c r="P76" s="1202"/>
      <c r="Q76" s="1150">
        <f>IF($H$68=$H$165,(C76-A76-$D$41)*(((1/$R$21)*(($R$21-M76)/(O76-M76)))*(1-$F$22*('DATOS CORRECCIONES EQUIPOS EMPL'!$E20-20)))*1000,IF($H$68=$H$164,(C76-A76-$D$41)*(((1/$R$21)*(($R$21-M76)/(O76-M76)))*(1-$F$22*('DATOS CORRECCIONES EQUIPOS EMPL'!$E20-20))),(C76-A76-$D$41)*(((1/$R$21)*(($R$21-M76)/(O76-M76)))*(1-$F$22*('DATOS CORRECCIONES EQUIPOS EMPL'!$E20-20)))/1000))</f>
        <v>103.19191865605934</v>
      </c>
      <c r="R76" s="1151"/>
      <c r="S76" s="1164">
        <f t="shared" si="8"/>
        <v>3.1919186560593431</v>
      </c>
      <c r="T76" s="1165"/>
      <c r="U76" s="406">
        <f>+(1*(0.0632693*'DATOS CORRECCIONES EQUIPOS EMPL'!E20^0)-2*(0.00852393*'DATOS CORRECCIONES EQUIPOS EMPL'!E20^1)+3*(0.00006943248*'DATOS CORRECCIONES EQUIPOS EMPL'!E20^2)-4*(0.0000003821216*'DATOS CORRECCIONES EQUIPOS EMPL'!E20^3))/1000</f>
        <v>-2.1324215533547714E-4</v>
      </c>
      <c r="V76" s="485"/>
      <c r="W76" s="574" t="str">
        <f t="shared" si="2"/>
        <v>ok</v>
      </c>
      <c r="X76" s="570" t="str">
        <f t="shared" si="4"/>
        <v>ok</v>
      </c>
      <c r="Y76" s="570" t="str">
        <f t="shared" si="5"/>
        <v>ok</v>
      </c>
      <c r="Z76" s="570" t="str">
        <f t="shared" si="6"/>
        <v>ok</v>
      </c>
      <c r="AA76" s="570" t="str">
        <f t="shared" si="7"/>
        <v>ok</v>
      </c>
      <c r="AB76"/>
      <c r="AC76" s="151"/>
      <c r="AD76" s="151"/>
      <c r="AF76"/>
      <c r="AG76"/>
      <c r="AH76" s="50"/>
      <c r="AI76" s="3">
        <f t="shared" si="3"/>
        <v>2</v>
      </c>
      <c r="AJ76" s="3">
        <f t="shared" si="1"/>
        <v>2</v>
      </c>
      <c r="AK76" s="3">
        <f t="shared" si="1"/>
        <v>2</v>
      </c>
      <c r="AL76" s="3">
        <f t="shared" si="1"/>
        <v>2</v>
      </c>
      <c r="AM76" s="3">
        <f t="shared" si="1"/>
        <v>2</v>
      </c>
    </row>
    <row r="77" spans="1:39" x14ac:dyDescent="0.2">
      <c r="A77" s="1131">
        <v>25.937529999999999</v>
      </c>
      <c r="B77" s="1131"/>
      <c r="C77" s="1131">
        <v>26.040410000000001</v>
      </c>
      <c r="D77" s="1131"/>
      <c r="E77" s="1128">
        <v>20.8</v>
      </c>
      <c r="F77" s="1128"/>
      <c r="G77" s="1128">
        <v>20.8</v>
      </c>
      <c r="H77" s="1128"/>
      <c r="I77" s="1126">
        <v>55.3</v>
      </c>
      <c r="J77" s="1126"/>
      <c r="K77" s="1126">
        <v>910</v>
      </c>
      <c r="L77" s="1126"/>
      <c r="M77" s="1201">
        <f>+(((0.34844*'DATOS CORRECCIONES EQUIPOS EMPL'!K21)+'DATOS CORRECCIONES EQUIPOS EMPL'!I21*((-0.00252*'DATOS CORRECCIONES EQUIPOS EMPL'!G21)+0.020582))/('DATOS CORRECCIONES EQUIPOS EMPL'!G21+273.15))/1000</f>
        <v>1.0723690833701592E-3</v>
      </c>
      <c r="N77" s="1202"/>
      <c r="O77" s="1203">
        <f>IF('INCERTIDUMBRE DE LA MEDIDA'!$E$38="Kell",((999.85308+0.0632693*'DATOS CORRECCIONES EQUIPOS EMPL'!E21)-(0.00852393*'DATOS CORRECCIONES EQUIPOS EMPL'!E21^2)+(0.00006943248*'DATOS CORRECCIONES EQUIPOS EMPL'!E21^3)-(0.0000003821216*'DATOS CORRECCIONES EQUIPOS EMPL'!E21^4))/1000,(0.99997495*(1-(('DATOS CORRECCIONES EQUIPOS EMPL'!E21-3.983035)^2*('DATOS CORRECCIONES EQUIPOS EMPL'!E21+301.797))/(522528.9*('DATOS CORRECCIONES EQUIPOS EMPL'!E21+69.34881)))))</f>
        <v>0.99807152463060955</v>
      </c>
      <c r="P77" s="1202"/>
      <c r="Q77" s="1150">
        <f>IF($H$68=$H$165,(C77-A77-$D$41)*(((1/$R$21)*(($R$21-M77)/(O77-M77)))*(1-$F$22*('DATOS CORRECCIONES EQUIPOS EMPL'!$E21-20)))*1000,IF($H$68=$H$164,(C77-A77-$D$41)*(((1/$R$21)*(($R$21-M77)/(O77-M77)))*(1-$F$22*('DATOS CORRECCIONES EQUIPOS EMPL'!$E21-20))),(C77-A77-$D$41)*(((1/$R$21)*(($R$21-M77)/(O77-M77)))*(1-$F$22*('DATOS CORRECCIONES EQUIPOS EMPL'!$E21-20)))/1000))</f>
        <v>103.16180574227582</v>
      </c>
      <c r="R77" s="1151"/>
      <c r="S77" s="1164">
        <f t="shared" si="8"/>
        <v>3.161805742275817</v>
      </c>
      <c r="T77" s="1165"/>
      <c r="U77" s="406">
        <f>+(1*(0.0632693*'DATOS CORRECCIONES EQUIPOS EMPL'!E21^0)-2*(0.00852393*'DATOS CORRECCIONES EQUIPOS EMPL'!E21^1)+3*(0.00006943248*'DATOS CORRECCIONES EQUIPOS EMPL'!E21^2)-4*(0.0000003821216*'DATOS CORRECCIONES EQUIPOS EMPL'!E21^3))/1000</f>
        <v>-2.1334622083432188E-4</v>
      </c>
      <c r="V77" s="485"/>
      <c r="W77" s="574" t="str">
        <f t="shared" si="2"/>
        <v>ok</v>
      </c>
      <c r="X77" s="570" t="str">
        <f t="shared" si="4"/>
        <v>ok</v>
      </c>
      <c r="Y77" s="570" t="str">
        <f t="shared" si="5"/>
        <v>ok</v>
      </c>
      <c r="Z77" s="570" t="str">
        <f t="shared" si="6"/>
        <v>ok</v>
      </c>
      <c r="AA77" s="570" t="str">
        <f t="shared" si="7"/>
        <v>ok</v>
      </c>
      <c r="AB77"/>
      <c r="AC77" s="151"/>
      <c r="AD77" s="151"/>
      <c r="AF77"/>
      <c r="AG77"/>
      <c r="AH77" s="50"/>
      <c r="AI77" s="3">
        <f t="shared" si="3"/>
        <v>2</v>
      </c>
      <c r="AJ77" s="3">
        <f t="shared" si="1"/>
        <v>2</v>
      </c>
      <c r="AK77" s="3">
        <f t="shared" si="1"/>
        <v>2</v>
      </c>
      <c r="AL77" s="3">
        <f t="shared" si="1"/>
        <v>2</v>
      </c>
      <c r="AM77" s="3">
        <f t="shared" si="1"/>
        <v>2</v>
      </c>
    </row>
    <row r="78" spans="1:39" x14ac:dyDescent="0.2">
      <c r="A78" s="1131">
        <v>26.040410000000001</v>
      </c>
      <c r="B78" s="1131"/>
      <c r="C78" s="1131">
        <v>26.143329999999999</v>
      </c>
      <c r="D78" s="1131"/>
      <c r="E78" s="1128">
        <v>20.78</v>
      </c>
      <c r="F78" s="1128"/>
      <c r="G78" s="1128">
        <v>20.8</v>
      </c>
      <c r="H78" s="1128"/>
      <c r="I78" s="1126">
        <v>55.1</v>
      </c>
      <c r="J78" s="1126"/>
      <c r="K78" s="1126">
        <v>910</v>
      </c>
      <c r="L78" s="1126"/>
      <c r="M78" s="1201">
        <f>+(((0.34844*'DATOS CORRECCIONES EQUIPOS EMPL'!K22)+'DATOS CORRECCIONES EQUIPOS EMPL'!I22*((-0.00252*'DATOS CORRECCIONES EQUIPOS EMPL'!G22)+0.020582))/('DATOS CORRECCIONES EQUIPOS EMPL'!G22+273.15))/1000</f>
        <v>1.0723926470083296E-3</v>
      </c>
      <c r="N78" s="1202"/>
      <c r="O78" s="1203">
        <f>IF('INCERTIDUMBRE DE LA MEDIDA'!$E$38="Kell",((999.85308+0.0632693*'DATOS CORRECCIONES EQUIPOS EMPL'!E22)-(0.00852393*'DATOS CORRECCIONES EQUIPOS EMPL'!E22^2)+(0.00006943248*'DATOS CORRECCIONES EQUIPOS EMPL'!E22^3)-(0.0000003821216*'DATOS CORRECCIONES EQUIPOS EMPL'!E22^4))/1000,(0.99997495*(1-(('DATOS CORRECCIONES EQUIPOS EMPL'!E22-3.983035)^2*('DATOS CORRECCIONES EQUIPOS EMPL'!E22+301.797))/(522528.9*('DATOS CORRECCIONES EQUIPOS EMPL'!E22+69.34881)))))</f>
        <v>0.99807578878549319</v>
      </c>
      <c r="P78" s="1202"/>
      <c r="Q78" s="1150">
        <f>IF($H$68=$H$165,(C78-A78-$D$41)*(((1/$R$21)*(($R$21-M78)/(O78-M78)))*(1-$F$22*('DATOS CORRECCIONES EQUIPOS EMPL'!$E22-20)))*1000,IF($H$68=$H$164,(C78-A78-$D$41)*(((1/$R$21)*(($R$21-M78)/(O78-M78)))*(1-$F$22*('DATOS CORRECCIONES EQUIPOS EMPL'!$E22-20))),(C78-A78-$D$41)*(((1/$R$21)*(($R$21-M78)/(O78-M78)))*(1-$F$22*('DATOS CORRECCIONES EQUIPOS EMPL'!$E22-20)))/1000))</f>
        <v>103.20197088734938</v>
      </c>
      <c r="R78" s="1151"/>
      <c r="S78" s="1164">
        <f t="shared" si="8"/>
        <v>3.2019708873493755</v>
      </c>
      <c r="T78" s="1165"/>
      <c r="U78" s="406">
        <f>+(1*(0.0632693*'DATOS CORRECCIONES EQUIPOS EMPL'!E22^0)-2*(0.00852393*'DATOS CORRECCIONES EQUIPOS EMPL'!E22^1)+3*(0.00006943248*'DATOS CORRECCIONES EQUIPOS EMPL'!E22^2)-4*(0.0000003821216*'DATOS CORRECCIONES EQUIPOS EMPL'!E22^3))/1000</f>
        <v>-2.1313806664776294E-4</v>
      </c>
      <c r="V78" s="485"/>
      <c r="W78" s="574" t="str">
        <f t="shared" si="2"/>
        <v>ok</v>
      </c>
      <c r="X78" s="570" t="str">
        <f t="shared" si="4"/>
        <v>ok</v>
      </c>
      <c r="Y78" s="570" t="str">
        <f t="shared" si="5"/>
        <v>ok</v>
      </c>
      <c r="Z78" s="570" t="str">
        <f t="shared" si="6"/>
        <v>ok</v>
      </c>
      <c r="AA78" s="570" t="str">
        <f t="shared" si="7"/>
        <v>ok</v>
      </c>
      <c r="AB78"/>
      <c r="AC78" s="151"/>
      <c r="AD78" s="151"/>
      <c r="AF78"/>
      <c r="AG78"/>
      <c r="AH78" s="50"/>
      <c r="AI78" s="3">
        <f t="shared" si="3"/>
        <v>2</v>
      </c>
      <c r="AJ78" s="3">
        <f t="shared" si="1"/>
        <v>2</v>
      </c>
      <c r="AK78" s="3">
        <f t="shared" si="1"/>
        <v>2</v>
      </c>
      <c r="AL78" s="3">
        <f t="shared" si="1"/>
        <v>2</v>
      </c>
      <c r="AM78" s="3">
        <f t="shared" si="1"/>
        <v>2</v>
      </c>
    </row>
    <row r="79" spans="1:39" ht="12" customHeight="1" x14ac:dyDescent="0.2">
      <c r="A79" s="1131">
        <v>26.143329999999999</v>
      </c>
      <c r="B79" s="1131"/>
      <c r="C79" s="1131">
        <v>26.245989999999999</v>
      </c>
      <c r="D79" s="1131"/>
      <c r="E79" s="1128">
        <v>20.78</v>
      </c>
      <c r="F79" s="1128"/>
      <c r="G79" s="1128">
        <v>20.8</v>
      </c>
      <c r="H79" s="1128"/>
      <c r="I79" s="1126">
        <v>54.5</v>
      </c>
      <c r="J79" s="1126"/>
      <c r="K79" s="1126">
        <v>910</v>
      </c>
      <c r="L79" s="1126"/>
      <c r="M79" s="1201">
        <f>+(((0.34844*'DATOS CORRECCIONES EQUIPOS EMPL'!K23)+'DATOS CORRECCIONES EQUIPOS EMPL'!I23*((-0.00252*'DATOS CORRECCIONES EQUIPOS EMPL'!G23)+0.020582))/('DATOS CORRECCIONES EQUIPOS EMPL'!G23+273.15))/1000</f>
        <v>1.0724634032043183E-3</v>
      </c>
      <c r="N79" s="1202"/>
      <c r="O79" s="1203">
        <f>IF('INCERTIDUMBRE DE LA MEDIDA'!$E$38="Kell",((999.85308+0.0632693*'DATOS CORRECCIONES EQUIPOS EMPL'!E23)-(0.00852393*'DATOS CORRECCIONES EQUIPOS EMPL'!E23^2)+(0.00006943248*'DATOS CORRECCIONES EQUIPOS EMPL'!E23^3)-(0.0000003821216*'DATOS CORRECCIONES EQUIPOS EMPL'!E23^4))/1000,(0.99997495*(1-(('DATOS CORRECCIONES EQUIPOS EMPL'!E23-3.983035)^2*('DATOS CORRECCIONES EQUIPOS EMPL'!E23+301.797))/(522528.9*('DATOS CORRECCIONES EQUIPOS EMPL'!E23+69.34881)))))</f>
        <v>0.99807578878549319</v>
      </c>
      <c r="P79" s="1202"/>
      <c r="Q79" s="1150">
        <f>IF($H$68=$H$165,(C79-A79-$D$41)*(((1/$R$21)*(($R$21-M79)/(O79-M79)))*(1-$F$22*('DATOS CORRECCIONES EQUIPOS EMPL'!$E23-20)))*1000,IF($H$68=$H$164,(C79-A79-$D$41)*(((1/$R$21)*(($R$21-M79)/(O79-M79)))*(1-$F$22*('DATOS CORRECCIONES EQUIPOS EMPL'!$E23-20))),(C79-A79-$D$41)*(((1/$R$21)*(($R$21-M79)/(O79-M79)))*(1-$F$22*('DATOS CORRECCIONES EQUIPOS EMPL'!$E23-20)))/1000))</f>
        <v>102.94127001958996</v>
      </c>
      <c r="R79" s="1151"/>
      <c r="S79" s="1164">
        <f t="shared" si="8"/>
        <v>2.9412700195899646</v>
      </c>
      <c r="T79" s="1165"/>
      <c r="U79" s="406">
        <f>+(1*(0.0632693*'DATOS CORRECCIONES EQUIPOS EMPL'!E23^0)-2*(0.00852393*'DATOS CORRECCIONES EQUIPOS EMPL'!E23^1)+3*(0.00006943248*'DATOS CORRECCIONES EQUIPOS EMPL'!E23^2)-4*(0.0000003821216*'DATOS CORRECCIONES EQUIPOS EMPL'!E23^3))/1000</f>
        <v>-2.1313806664776294E-4</v>
      </c>
      <c r="V79" s="485"/>
      <c r="W79" s="574" t="str">
        <f t="shared" si="2"/>
        <v>ok</v>
      </c>
      <c r="X79" s="570" t="str">
        <f t="shared" si="4"/>
        <v>ok</v>
      </c>
      <c r="Y79" s="570" t="str">
        <f t="shared" si="5"/>
        <v>ok</v>
      </c>
      <c r="Z79" s="570" t="str">
        <f t="shared" si="6"/>
        <v>ok</v>
      </c>
      <c r="AA79" s="570" t="str">
        <f t="shared" si="7"/>
        <v>ok</v>
      </c>
      <c r="AB79"/>
      <c r="AC79" s="151"/>
      <c r="AD79" s="151"/>
      <c r="AF79"/>
      <c r="AG79"/>
      <c r="AH79" s="50"/>
      <c r="AI79" s="3">
        <f t="shared" si="3"/>
        <v>2</v>
      </c>
      <c r="AJ79" s="3">
        <f t="shared" si="1"/>
        <v>2</v>
      </c>
      <c r="AK79" s="3">
        <f t="shared" si="1"/>
        <v>2</v>
      </c>
      <c r="AL79" s="3">
        <f t="shared" si="1"/>
        <v>2</v>
      </c>
      <c r="AM79" s="3">
        <f t="shared" si="1"/>
        <v>2</v>
      </c>
    </row>
    <row r="80" spans="1:39" x14ac:dyDescent="0.2">
      <c r="A80" s="1213">
        <f>IF(ISBLANK(A70)," ",AVERAGE(A70:B79))</f>
        <v>25.680455000000002</v>
      </c>
      <c r="B80" s="1213"/>
      <c r="C80" s="1213">
        <f>IF(ISBLANK(C70)," ",AVERAGE(C70:D79))</f>
        <v>25.783267000000002</v>
      </c>
      <c r="D80" s="1213"/>
      <c r="E80" s="1132">
        <f>IF(ISBLANK(E70)," ",AVERAGE(E70:F79))</f>
        <v>20.814</v>
      </c>
      <c r="F80" s="1132"/>
      <c r="G80" s="1132">
        <f>IF(ISBLANK(G70)," ",AVERAGE(G70:H79))</f>
        <v>20.800000000000004</v>
      </c>
      <c r="H80" s="1132"/>
      <c r="I80" s="1132">
        <f>IF(ISBLANK(I70)," ",AVERAGE(I70:J79))</f>
        <v>54.92</v>
      </c>
      <c r="J80" s="1132"/>
      <c r="K80" s="1132">
        <f>IF(ISBLANK(K70)," ",AVERAGE(K70:L79))</f>
        <v>910</v>
      </c>
      <c r="L80" s="1132"/>
      <c r="M80" s="1213">
        <f>IF(ISBLANK(K70)," ",AVERAGE(M70:N79))</f>
        <v>1.0724138706030522E-3</v>
      </c>
      <c r="N80" s="1213"/>
      <c r="O80" s="1217">
        <f>IF(ISBLANK(K70)," ",AVERAGE(O70:P79))</f>
        <v>0.99806853415596919</v>
      </c>
      <c r="P80" s="1217"/>
      <c r="Q80" s="1216">
        <f>AVERAGE(Q70:R79)</f>
        <v>103.09358754630611</v>
      </c>
      <c r="R80" s="1216"/>
      <c r="S80" s="1142">
        <f>AVERAGE(S70:T79)</f>
        <v>3.0935875463061095</v>
      </c>
      <c r="T80" s="1142"/>
      <c r="U80" s="407">
        <f>AVERAGE(U70:V79)</f>
        <v>-2.1349180363021999E-4</v>
      </c>
      <c r="V80" s="486">
        <f>('INCERTIDUMBRE DE LA MEDIDA'!P63)</f>
        <v>0.64980120000000008</v>
      </c>
      <c r="W80" s="1157" t="str">
        <f>IF(LEN(W70)+LEN(W71)+LEN(W72)+LEN(W73)+LEN(W74)+LEN(W75)+LEN(W76)+LEN(W77)+LEN(W78)+LEN(W79)+LEN(X70)+LEN(X71)+LEN(X72)+LEN(X73)+LEN(X74)+LEN(X75)+LEN(X76)+LEN(X77)+LEN(X78)+LEN(X79)+LEN(Y70)+LEN(Y71)+LEN(Y72)+LEN(Y73)+LEN(Y74)+LEN(Y75)+LEN(Y76)+LEN(Y77)+LEN(Y78)+LEN(Y79)+LEN(Z70)+LEN(Z71)+LEN(Z72)+LEN(Z73)+LEN(Z74)+LEN(Z75)+LEN(Z76)+LEN(Z77)+LEN(Z78)+LEN(Z79)+LEN(AA70)+LEN(AA71)+LEN(AA72)+LEN(AA73)+LEN(AA74)+LEN(AA75)+LEN(AA76)+LEN(AA77)+LEN(AA78)+LEN(AA79)=100,"Revisado OK","Revisar")</f>
        <v>Revisado OK</v>
      </c>
      <c r="X80" s="1158"/>
      <c r="Y80" s="1158"/>
      <c r="Z80" s="1158"/>
      <c r="AA80" s="619" t="str">
        <f>IFERROR(W80,1)</f>
        <v>Revisado OK</v>
      </c>
      <c r="AM80" s="3">
        <f t="shared" si="1"/>
        <v>11</v>
      </c>
    </row>
    <row r="81" spans="1:27" x14ac:dyDescent="0.2">
      <c r="A81" s="1247"/>
      <c r="B81" s="1247"/>
      <c r="C81" s="1134">
        <f>ABS(S80)</f>
        <v>3.0935875463061095</v>
      </c>
      <c r="D81" s="1134"/>
      <c r="E81" s="1134">
        <f>MAX(E70:E79)-MIN(E70:E79)</f>
        <v>7.0000000000000284E-2</v>
      </c>
      <c r="F81" s="1134"/>
      <c r="G81" s="1134">
        <f>MAX(G70:G79)-MIN(G70:G79)</f>
        <v>0</v>
      </c>
      <c r="H81" s="1134"/>
      <c r="I81" s="1134">
        <f>MAX(I70:I79)-MIN(I70:I79)</f>
        <v>0.79999999999999716</v>
      </c>
      <c r="J81" s="1134"/>
      <c r="K81" s="1134">
        <f>MAX(K70:K79)-MIN(K70:K79)</f>
        <v>0</v>
      </c>
      <c r="L81" s="1134"/>
      <c r="M81" s="1207"/>
      <c r="N81" s="1207"/>
      <c r="O81" s="1207"/>
      <c r="P81" s="285"/>
      <c r="Q81" s="1152" t="str">
        <f>CONCATENATE("CV ",$H$68)</f>
        <v>CV µL</v>
      </c>
      <c r="R81" s="1153"/>
      <c r="S81" s="1179">
        <f>STDEV(S70:T79)</f>
        <v>0.28600775876683027</v>
      </c>
      <c r="T81" s="1179"/>
      <c r="U81" s="187" t="s">
        <v>271</v>
      </c>
      <c r="V81" s="456">
        <f>ABS(IF(H21=Q163,(S81*100/Q80)*(F68/M21),IF(H21=Q164,(S81*100/Q80),"")))</f>
        <v>2.7742536230817013E-2</v>
      </c>
      <c r="W81" s="1117"/>
      <c r="X81" s="1118"/>
      <c r="Y81" s="1118"/>
      <c r="Z81" s="1118"/>
      <c r="AA81" s="1119"/>
    </row>
    <row r="82" spans="1:27" ht="16.5" customHeight="1" x14ac:dyDescent="0.3">
      <c r="I82" s="10"/>
      <c r="J82" s="5"/>
      <c r="K82" s="440"/>
      <c r="L82" s="439"/>
      <c r="M82" s="1208"/>
      <c r="N82" s="1208"/>
      <c r="O82" s="1208"/>
      <c r="P82" s="403"/>
      <c r="Q82" s="1152" t="str">
        <f>CONCATENATE("E ",$H$68)</f>
        <v>E µL</v>
      </c>
      <c r="R82" s="1153"/>
      <c r="S82" s="1178">
        <f>Q80-F68</f>
        <v>3.0935875463061109</v>
      </c>
      <c r="T82" s="1178"/>
      <c r="U82" s="187" t="s">
        <v>274</v>
      </c>
      <c r="V82" s="291">
        <f>ABS(IF(H21=Q163,S82*100/M21,IF(H21=Q164,S82*100/K21,"")))</f>
        <v>0.30935875463061108</v>
      </c>
      <c r="W82" s="603"/>
      <c r="X82" s="603"/>
      <c r="Y82" s="603"/>
      <c r="Z82" s="603"/>
      <c r="AA82" s="603"/>
    </row>
    <row r="83" spans="1:27" ht="15.75" customHeight="1" thickBot="1" x14ac:dyDescent="0.3">
      <c r="A83" s="1418" t="str">
        <f>IF(AND($M$21&lt;=100,H84=$H$165,A96&gt;$D$174),$C$175,"")</f>
        <v/>
      </c>
      <c r="B83" s="1418"/>
      <c r="C83" s="1418"/>
      <c r="D83" s="1418"/>
      <c r="E83" s="1418"/>
      <c r="F83" s="10"/>
      <c r="G83" s="10"/>
      <c r="H83" s="10"/>
      <c r="I83" s="10"/>
      <c r="J83" s="12"/>
      <c r="K83" s="12"/>
      <c r="L83" s="12"/>
      <c r="M83" s="12"/>
      <c r="N83" s="13"/>
      <c r="O83" s="13"/>
      <c r="Q83" s="1239" t="s">
        <v>462</v>
      </c>
      <c r="R83" s="1240"/>
      <c r="S83" s="1241" t="str">
        <f>IF(ISBLANK($Q$22),"",IF($N$24="simple",IF(AND(ABS(S82)&lt;=$Q$22,S81&lt;=$Q$23,R84&gt;=3),"Cumple","No Cumple"),IF($N$24="Conservadora",IF(AND(ABS(S82)+V80&lt;=$Q$22,S81&lt;=$Q$23),"Cumple","No Cumple"),"N.A.")))</f>
        <v>N.A.</v>
      </c>
      <c r="T83" s="1242"/>
      <c r="U83" s="1048" t="s">
        <v>698</v>
      </c>
      <c r="V83" s="1049">
        <f>(_xlfn.NORM.DIST($Q$22,S82,V80/'INCERTIDUMBRE DE LA MEDIDA'!P62,1)-_xlfn.NORM.DIST(-$Q$22,S82,V80/'INCERTIDUMBRE DE LA MEDIDA'!P62,1))</f>
        <v>1</v>
      </c>
      <c r="W83" s="1050" t="s">
        <v>699</v>
      </c>
      <c r="X83" s="1051">
        <f>1-(_xlfn.NORM.DIST($Q$22,S82,V80/'INCERTIDUMBRE DE LA MEDIDA'!P62,1)-_xlfn.NORM.DIST(-$Q$22,S82,V80/'INCERTIDUMBRE DE LA MEDIDA'!P62,1))</f>
        <v>0</v>
      </c>
    </row>
    <row r="84" spans="1:27" ht="24.75" customHeight="1" thickBot="1" x14ac:dyDescent="0.25">
      <c r="C84" s="1135" t="s">
        <v>63</v>
      </c>
      <c r="D84" s="1136"/>
      <c r="E84" s="1137"/>
      <c r="F84" s="1129">
        <v>500</v>
      </c>
      <c r="G84" s="1130"/>
      <c r="H84" s="443" t="s">
        <v>315</v>
      </c>
      <c r="P84" s="188">
        <f>$Q$22/V80</f>
        <v>12.31145771968411</v>
      </c>
      <c r="Q84" s="1052" t="s">
        <v>581</v>
      </c>
      <c r="R84" s="1053">
        <f>$Q$22/V80</f>
        <v>12.31145771968411</v>
      </c>
      <c r="S84" s="1171" t="str">
        <f>IF(V80&lt;=$Q$22/3,"ok","Revisar TUR")</f>
        <v>ok</v>
      </c>
      <c r="T84" s="1171"/>
      <c r="U84" s="1054"/>
      <c r="V84" s="1055"/>
      <c r="W84" s="577">
        <v>2</v>
      </c>
    </row>
    <row r="85" spans="1:27" s="136" customFormat="1" ht="54" customHeight="1" x14ac:dyDescent="0.2">
      <c r="A85" s="1127" t="s">
        <v>73</v>
      </c>
      <c r="B85" s="1127"/>
      <c r="C85" s="1127" t="s">
        <v>74</v>
      </c>
      <c r="D85" s="1127"/>
      <c r="E85" s="1127" t="s">
        <v>75</v>
      </c>
      <c r="F85" s="1127"/>
      <c r="G85" s="1127" t="s">
        <v>172</v>
      </c>
      <c r="H85" s="1127"/>
      <c r="I85" s="1127" t="s">
        <v>174</v>
      </c>
      <c r="J85" s="1127"/>
      <c r="K85" s="1214" t="s">
        <v>726</v>
      </c>
      <c r="L85" s="1214"/>
      <c r="M85" s="1149" t="s">
        <v>76</v>
      </c>
      <c r="N85" s="1149"/>
      <c r="O85" s="1149" t="s">
        <v>77</v>
      </c>
      <c r="P85" s="1149"/>
      <c r="Q85" s="1149" t="str">
        <f>CONCATENATE("Volumen calculado","[",H84,"]")</f>
        <v>Volumen calculado[µL]</v>
      </c>
      <c r="R85" s="1149"/>
      <c r="S85" s="1149" t="str">
        <f>CONCATENATE("Error  del IBP","[",H84,"]")</f>
        <v>Error  del IBP[µL]</v>
      </c>
      <c r="T85" s="1149"/>
      <c r="U85" s="405"/>
      <c r="V85" s="483" t="str">
        <f>CONCATENATE("Incertidumbre"," [", $H$68,"]")</f>
        <v>Incertidumbre [µL]</v>
      </c>
      <c r="W85" s="569" t="s">
        <v>727</v>
      </c>
      <c r="X85" s="569" t="s">
        <v>728</v>
      </c>
      <c r="Y85" s="569" t="s">
        <v>729</v>
      </c>
      <c r="Z85" s="569" t="s">
        <v>730</v>
      </c>
      <c r="AA85" s="569" t="s">
        <v>731</v>
      </c>
    </row>
    <row r="86" spans="1:27" x14ac:dyDescent="0.2">
      <c r="A86" s="1131">
        <v>25.282299999999999</v>
      </c>
      <c r="B86" s="1131"/>
      <c r="C86" s="1131">
        <v>25.784230000000001</v>
      </c>
      <c r="D86" s="1131"/>
      <c r="E86" s="1128">
        <v>20.75</v>
      </c>
      <c r="F86" s="1128"/>
      <c r="G86" s="1128">
        <v>20.7</v>
      </c>
      <c r="H86" s="1128"/>
      <c r="I86" s="1126">
        <v>55.3</v>
      </c>
      <c r="J86" s="1126"/>
      <c r="K86" s="1126">
        <v>910</v>
      </c>
      <c r="L86" s="1126"/>
      <c r="M86" s="1154">
        <f>+(((0.34844*'DATOS CORRECCIONES EQUIPOS EMPL'!K32)+'DATOS CORRECCIONES EQUIPOS EMPL'!I32*((-0.00252*'DATOS CORRECCIONES EQUIPOS EMPL'!G32)+0.020582))/('DATOS CORRECCIONES EQUIPOS EMPL'!G32+273.15))/1000</f>
        <v>1.0727740224304393E-3</v>
      </c>
      <c r="N86" s="1155"/>
      <c r="O86" s="1150">
        <f>IF('INCERTIDUMBRE DE LA MEDIDA'!$E$38="Kell",((999.85308+0.0632693*'DATOS CORRECCIONES EQUIPOS EMPL'!E32)-(0.00852393*'DATOS CORRECCIONES EQUIPOS EMPL'!E32^2)+(0.00006943248*'DATOS CORRECCIONES EQUIPOS EMPL'!E32^3)-(0.0000003821216*'DATOS CORRECCIONES EQUIPOS EMPL'!E32^4))/1000,(0.99997495*(1-(('DATOS CORRECCIONES EQUIPOS EMPL'!E32-3.983035)^2*('DATOS CORRECCIONES EQUIPOS EMPL'!E32+301.797))/(522528.9*('DATOS CORRECCIONES EQUIPOS EMPL'!E32+69.34881)))))</f>
        <v>0.99808217728172977</v>
      </c>
      <c r="P86" s="1151"/>
      <c r="Q86" s="1150">
        <f>IF($H$68=$H$165,(C86-A86-$D$41)*(((1/$R$21)*(($R$21-M86)/(O86-M86)))*(1-$F$22*('DATOS CORRECCIONES EQUIPOS EMPL'!$E32-20)))*1000,IF($H$68=$H$164,(C86-A86-$D$41)*(((1/$R$21)*(($R$21-M86)/(O86-M86)))*(1-$F$22*('DATOS CORRECCIONES EQUIPOS EMPL'!$E32-20))),(C86-A86-$D$41)*(((1/$R$21)*(($R$21-M86)/(O86-M86)))*(1-$F$22*('DATOS CORRECCIONES EQUIPOS EMPL'!$E32-20)))/1000))</f>
        <v>503.29793644516172</v>
      </c>
      <c r="R86" s="1151"/>
      <c r="S86" s="1159">
        <f>Q86-$F$84</f>
        <v>3.2979364451617244</v>
      </c>
      <c r="T86" s="1159"/>
      <c r="U86" s="406">
        <f>+(1*(0.0632693*'DATOS CORRECCIONES EQUIPOS EMPL'!E32^0)-2*(0.00852393*'DATOS CORRECCIONES EQUIPOS EMPL'!E32^1)+3*(0.00006943248*'DATOS CORRECCIONES EQUIPOS EMPL'!E32^2)-4*(0.0000003821216*'DATOS CORRECCIONES EQUIPOS EMPL'!E32^3))/1000</f>
        <v>-2.128256613567303E-4</v>
      </c>
      <c r="V86" s="484"/>
      <c r="W86" s="574" t="str">
        <f>IF(OR(A86="",(ABS(S86)&gt;=$Q$22)),"Revisar pesada","ok")</f>
        <v>ok</v>
      </c>
      <c r="X86" s="570" t="str">
        <f>IF(ABS(G86-$E$86)&lt;=$V$45,"ok","Revisar")</f>
        <v>ok</v>
      </c>
      <c r="Y86" s="570" t="str">
        <f>IF(ABS(G86-E86)&gt;=$W$45,"Revisar","ok")</f>
        <v>ok</v>
      </c>
      <c r="Z86" s="570" t="str">
        <f>IF(ABS(I87-$I$86)&lt;=$X$45,"ok","Revisar")</f>
        <v>ok</v>
      </c>
      <c r="AA86" s="570" t="str">
        <f>IF(ABS(K87-$K$86)&lt;=$Y$45,"ok","Revisar")</f>
        <v>ok</v>
      </c>
    </row>
    <row r="87" spans="1:27" x14ac:dyDescent="0.2">
      <c r="A87" s="1131">
        <v>25.784230000000001</v>
      </c>
      <c r="B87" s="1131"/>
      <c r="C87" s="1131">
        <v>26.28604</v>
      </c>
      <c r="D87" s="1131"/>
      <c r="E87" s="1128">
        <v>20.73</v>
      </c>
      <c r="F87" s="1128"/>
      <c r="G87" s="1128">
        <v>20.7</v>
      </c>
      <c r="H87" s="1128"/>
      <c r="I87" s="1126">
        <v>55.2</v>
      </c>
      <c r="J87" s="1126"/>
      <c r="K87" s="1126">
        <v>910</v>
      </c>
      <c r="L87" s="1126"/>
      <c r="M87" s="1154">
        <f>+(((0.34844*'DATOS CORRECCIONES EQUIPOS EMPL'!K33)+'DATOS CORRECCIONES EQUIPOS EMPL'!I33*((-0.00252*'DATOS CORRECCIONES EQUIPOS EMPL'!G33)+0.020582))/('DATOS CORRECCIONES EQUIPOS EMPL'!G33+273.15))/1000</f>
        <v>1.072785716444379E-3</v>
      </c>
      <c r="N87" s="1155"/>
      <c r="O87" s="1150">
        <f>IF('INCERTIDUMBRE DE LA MEDIDA'!$E$38="Kell",((999.85308+0.0632693*'DATOS CORRECCIONES EQUIPOS EMPL'!E33)-(0.00852393*'DATOS CORRECCIONES EQUIPOS EMPL'!E33^2)+(0.00006943248*'DATOS CORRECCIONES EQUIPOS EMPL'!E33^3)-(0.0000003821216*'DATOS CORRECCIONES EQUIPOS EMPL'!E33^4))/1000,(0.99997495*(1-(('DATOS CORRECCIONES EQUIPOS EMPL'!E33-3.983035)^2*('DATOS CORRECCIONES EQUIPOS EMPL'!E33+301.797))/(522528.9*('DATOS CORRECCIONES EQUIPOS EMPL'!E33+69.34881)))))</f>
        <v>0.99808643111911544</v>
      </c>
      <c r="P87" s="1151"/>
      <c r="Q87" s="1150">
        <f>IF($H$68=$H$165,(C87-A87-$D$41)*(((1/$R$21)*(($R$21-M87)/(O87-M87)))*(1-$F$22*('DATOS CORRECCIONES EQUIPOS EMPL'!$E33-20)))*1000,IF($H$68=$H$164,(C87-A87-$D$41)*(((1/$R$21)*(($R$21-M87)/(O87-M87)))*(1-$F$22*('DATOS CORRECCIONES EQUIPOS EMPL'!$E33-20))),(C87-A87-$D$41)*(((1/$R$21)*(($R$21-M87)/(O87-M87)))*(1-$F$22*('DATOS CORRECCIONES EQUIPOS EMPL'!$E33-20)))/1000))</f>
        <v>503.1778846757191</v>
      </c>
      <c r="R87" s="1151"/>
      <c r="S87" s="1159">
        <f t="shared" ref="S87:S95" si="9">Q87-$F$84</f>
        <v>3.1778846757190991</v>
      </c>
      <c r="T87" s="1159"/>
      <c r="U87" s="406">
        <f>+(1*(0.0632693*'DATOS CORRECCIONES EQUIPOS EMPL'!E33^0)-2*(0.00852393*'DATOS CORRECCIONES EQUIPOS EMPL'!E33^1)+3*(0.00006943248*'DATOS CORRECCIONES EQUIPOS EMPL'!E33^2)-4*(0.0000003821216*'DATOS CORRECCIONES EQUIPOS EMPL'!E33^3))/1000</f>
        <v>-2.1261727504478891E-4</v>
      </c>
      <c r="V87" s="485"/>
      <c r="W87" s="574" t="str">
        <f t="shared" ref="W87:W95" si="10">IF(OR(A87="",(ABS(S87)&gt;=$Q$22)),"Revisar pesada","ok")</f>
        <v>ok</v>
      </c>
      <c r="X87" s="570" t="str">
        <f>IF(ABS(E87-$E$86)&lt;=$V$45,"ok","Revisar")</f>
        <v>ok</v>
      </c>
      <c r="Y87" s="570" t="str">
        <f>IF(ABS(G87-$G$86)&gt;=$W$45,"Revisar","ok")</f>
        <v>ok</v>
      </c>
      <c r="Z87" s="570" t="str">
        <f>IF(ABS(I87-$I$86)&lt;=$X$45,"ok","Revisar")</f>
        <v>ok</v>
      </c>
      <c r="AA87" s="570" t="str">
        <f>IF(ABS(K87-$K$86)&lt;=$Y$45,"ok","Revisar")</f>
        <v>ok</v>
      </c>
    </row>
    <row r="88" spans="1:27" x14ac:dyDescent="0.2">
      <c r="A88" s="1131">
        <v>26.28604</v>
      </c>
      <c r="B88" s="1131"/>
      <c r="C88" s="1131">
        <v>26.787960000000002</v>
      </c>
      <c r="D88" s="1131"/>
      <c r="E88" s="1128">
        <v>20.75</v>
      </c>
      <c r="F88" s="1128"/>
      <c r="G88" s="1128">
        <v>20.7</v>
      </c>
      <c r="H88" s="1128"/>
      <c r="I88" s="1126">
        <v>55.4</v>
      </c>
      <c r="J88" s="1126"/>
      <c r="K88" s="1126">
        <v>910</v>
      </c>
      <c r="L88" s="1126"/>
      <c r="M88" s="1154">
        <f>+(((0.34844*'DATOS CORRECCIONES EQUIPOS EMPL'!K34)+'DATOS CORRECCIONES EQUIPOS EMPL'!I34*((-0.00252*'DATOS CORRECCIONES EQUIPOS EMPL'!G34)+0.020582))/('DATOS CORRECCIONES EQUIPOS EMPL'!G34+273.15))/1000</f>
        <v>1.0727623311166017E-3</v>
      </c>
      <c r="N88" s="1155"/>
      <c r="O88" s="1150">
        <f>IF('INCERTIDUMBRE DE LA MEDIDA'!$E$38="Kell",((999.85308+0.0632693*'DATOS CORRECCIONES EQUIPOS EMPL'!E34)-(0.00852393*'DATOS CORRECCIONES EQUIPOS EMPL'!E34^2)+(0.00006943248*'DATOS CORRECCIONES EQUIPOS EMPL'!E34^3)-(0.0000003821216*'DATOS CORRECCIONES EQUIPOS EMPL'!E34^4))/1000,(0.99997495*(1-(('DATOS CORRECCIONES EQUIPOS EMPL'!E34-3.983035)^2*('DATOS CORRECCIONES EQUIPOS EMPL'!E34+301.797))/(522528.9*('DATOS CORRECCIONES EQUIPOS EMPL'!E34+69.34881)))))</f>
        <v>0.99808217728172977</v>
      </c>
      <c r="P88" s="1151"/>
      <c r="Q88" s="1150">
        <f>IF($H$68=$H$165,(C88-A88-$D$41)*(((1/$R$21)*(($R$21-M88)/(O88-M88)))*(1-$F$22*('DATOS CORRECCIONES EQUIPOS EMPL'!$E34-20)))*1000,IF($H$68=$H$164,(C88-A88-$D$41)*(((1/$R$21)*(($R$21-M88)/(O88-M88)))*(1-$F$22*('DATOS CORRECCIONES EQUIPOS EMPL'!$E34-20))),(C88-A88-$D$41)*(((1/$R$21)*(($R$21-M88)/(O88-M88)))*(1-$F$22*('DATOS CORRECCIONES EQUIPOS EMPL'!$E34-20)))/1000))</f>
        <v>503.28790406914771</v>
      </c>
      <c r="R88" s="1151"/>
      <c r="S88" s="1159">
        <f t="shared" si="9"/>
        <v>3.2879040691477144</v>
      </c>
      <c r="T88" s="1159"/>
      <c r="U88" s="406">
        <f>+(1*(0.0632693*'DATOS CORRECCIONES EQUIPOS EMPL'!E34^0)-2*(0.00852393*'DATOS CORRECCIONES EQUIPOS EMPL'!E34^1)+3*(0.00006943248*'DATOS CORRECCIONES EQUIPOS EMPL'!E34^2)-4*(0.0000003821216*'DATOS CORRECCIONES EQUIPOS EMPL'!E34^3))/1000</f>
        <v>-2.128256613567303E-4</v>
      </c>
      <c r="V88" s="485"/>
      <c r="W88" s="574" t="str">
        <f t="shared" si="10"/>
        <v>ok</v>
      </c>
      <c r="X88" s="570" t="str">
        <f t="shared" ref="X88:X95" si="11">IF(ABS(E88-$E$86)&lt;=$V$45,"ok","Revisar")</f>
        <v>ok</v>
      </c>
      <c r="Y88" s="570" t="str">
        <f t="shared" ref="Y88:Y95" si="12">IF(ABS(G88-$G$86)&gt;=$W$45,"Revisar","ok")</f>
        <v>ok</v>
      </c>
      <c r="Z88" s="570" t="str">
        <f t="shared" ref="Z88:Z95" si="13">IF(ABS(I88-$I$86)&lt;=$X$45,"ok","Revisar")</f>
        <v>ok</v>
      </c>
      <c r="AA88" s="570" t="str">
        <f t="shared" ref="AA88:AA95" si="14">IF(ABS(K88-$K$86)&lt;=$Y$45,"ok","Revisar")</f>
        <v>ok</v>
      </c>
    </row>
    <row r="89" spans="1:27" x14ac:dyDescent="0.2">
      <c r="A89" s="1131">
        <v>26.787960000000002</v>
      </c>
      <c r="B89" s="1131"/>
      <c r="C89" s="1131">
        <v>27.290089999999999</v>
      </c>
      <c r="D89" s="1131"/>
      <c r="E89" s="1128">
        <v>20.74</v>
      </c>
      <c r="F89" s="1128"/>
      <c r="G89" s="1128">
        <v>20.7</v>
      </c>
      <c r="H89" s="1128"/>
      <c r="I89" s="1126">
        <v>55.8</v>
      </c>
      <c r="J89" s="1126"/>
      <c r="K89" s="1126">
        <v>910</v>
      </c>
      <c r="L89" s="1126"/>
      <c r="M89" s="1154">
        <f>+(((0.34844*'DATOS CORRECCIONES EQUIPOS EMPL'!K35)+'DATOS CORRECCIONES EQUIPOS EMPL'!I35*((-0.00252*'DATOS CORRECCIONES EQUIPOS EMPL'!G35)+0.020582))/('DATOS CORRECCIONES EQUIPOS EMPL'!G35+273.15))/1000</f>
        <v>1.072715592862267E-3</v>
      </c>
      <c r="N89" s="1155"/>
      <c r="O89" s="1150">
        <f>IF('INCERTIDUMBRE DE LA MEDIDA'!$E$38="Kell",((999.85308+0.0632693*'DATOS CORRECCIONES EQUIPOS EMPL'!E35)-(0.00852393*'DATOS CORRECCIONES EQUIPOS EMPL'!E35^2)+(0.00006943248*'DATOS CORRECCIONES EQUIPOS EMPL'!E35^3)-(0.0000003821216*'DATOS CORRECCIONES EQUIPOS EMPL'!E35^4))/1000,(0.99997495*(1-(('DATOS CORRECCIONES EQUIPOS EMPL'!E35-3.983035)^2*('DATOS CORRECCIONES EQUIPOS EMPL'!E35+301.797))/(522528.9*('DATOS CORRECCIONES EQUIPOS EMPL'!E35+69.34881)))))</f>
        <v>0.99808430471658827</v>
      </c>
      <c r="P89" s="1151"/>
      <c r="Q89" s="1150">
        <f>IF($H$68=$H$165,(C89-A89-$D$41)*(((1/$R$21)*(($R$21-M89)/(O89-M89)))*(1-$F$22*('DATOS CORRECCIONES EQUIPOS EMPL'!$E35-20)))*1000,IF($H$68=$H$164,(C89-A89-$D$41)*(((1/$R$21)*(($R$21-M89)/(O89-M89)))*(1-$F$22*('DATOS CORRECCIONES EQUIPOS EMPL'!$E35-20))),(C89-A89-$D$41)*(((1/$R$21)*(($R$21-M89)/(O89-M89)))*(1-$F$22*('DATOS CORRECCIONES EQUIPOS EMPL'!$E35-20)))/1000))</f>
        <v>503.49858954420898</v>
      </c>
      <c r="R89" s="1151"/>
      <c r="S89" s="1159">
        <f t="shared" si="9"/>
        <v>3.4985895442089827</v>
      </c>
      <c r="T89" s="1159"/>
      <c r="U89" s="406">
        <f>+(1*(0.0632693*'DATOS CORRECCIONES EQUIPOS EMPL'!E35^0)-2*(0.00852393*'DATOS CORRECCIONES EQUIPOS EMPL'!E35^1)+3*(0.00006943248*'DATOS CORRECCIONES EQUIPOS EMPL'!E35^2)-4*(0.0000003821216*'DATOS CORRECCIONES EQUIPOS EMPL'!E35^3))/1000</f>
        <v>-2.1272147981886357E-4</v>
      </c>
      <c r="V89" s="485"/>
      <c r="W89" s="574" t="str">
        <f t="shared" si="10"/>
        <v>ok</v>
      </c>
      <c r="X89" s="570" t="str">
        <f t="shared" si="11"/>
        <v>ok</v>
      </c>
      <c r="Y89" s="570" t="str">
        <f t="shared" si="12"/>
        <v>ok</v>
      </c>
      <c r="Z89" s="570" t="str">
        <f t="shared" si="13"/>
        <v>ok</v>
      </c>
      <c r="AA89" s="570" t="str">
        <f t="shared" si="14"/>
        <v>ok</v>
      </c>
    </row>
    <row r="90" spans="1:27" x14ac:dyDescent="0.2">
      <c r="A90" s="1131">
        <v>27.290089999999999</v>
      </c>
      <c r="B90" s="1131"/>
      <c r="C90" s="1131">
        <v>27.792580000000001</v>
      </c>
      <c r="D90" s="1131"/>
      <c r="E90" s="1128">
        <v>20.72</v>
      </c>
      <c r="F90" s="1128"/>
      <c r="G90" s="1128">
        <v>20.7</v>
      </c>
      <c r="H90" s="1128"/>
      <c r="I90" s="1126">
        <v>55.3</v>
      </c>
      <c r="J90" s="1126"/>
      <c r="K90" s="1126">
        <v>910</v>
      </c>
      <c r="L90" s="1126"/>
      <c r="M90" s="1154">
        <f>+(((0.34844*'DATOS CORRECCIONES EQUIPOS EMPL'!K36)+'DATOS CORRECCIONES EQUIPOS EMPL'!I36*((-0.00252*'DATOS CORRECCIONES EQUIPOS EMPL'!G36)+0.020582))/('DATOS CORRECCIONES EQUIPOS EMPL'!G36+273.15))/1000</f>
        <v>1.0727740224304393E-3</v>
      </c>
      <c r="N90" s="1155"/>
      <c r="O90" s="1150">
        <f>IF('INCERTIDUMBRE DE LA MEDIDA'!$E$38="Kell",((999.85308+0.0632693*'DATOS CORRECCIONES EQUIPOS EMPL'!E36)-(0.00852393*'DATOS CORRECCIONES EQUIPOS EMPL'!E36^2)+(0.00006943248*'DATOS CORRECCIONES EQUIPOS EMPL'!E36^3)-(0.0000003821216*'DATOS CORRECCIONES EQUIPOS EMPL'!E36^4))/1000,(0.99997495*(1-(('DATOS CORRECCIONES EQUIPOS EMPL'!E36-3.983035)^2*('DATOS CORRECCIONES EQUIPOS EMPL'!E36+301.797))/(522528.9*('DATOS CORRECCIONES EQUIPOS EMPL'!E36+69.34881)))))</f>
        <v>0.99808855648907857</v>
      </c>
      <c r="P90" s="1151"/>
      <c r="Q90" s="1150">
        <f>IF($H$68=$H$165,(C90-A90-$D$41)*(((1/$R$21)*(($R$21-M90)/(O90-M90)))*(1-$F$22*('DATOS CORRECCIONES EQUIPOS EMPL'!$E36-20)))*1000,IF($H$68=$H$164,(C90-A90-$D$41)*(((1/$R$21)*(($R$21-M90)/(O90-M90)))*(1-$F$22*('DATOS CORRECCIONES EQUIPOS EMPL'!$E36-20))),(C90-A90-$D$41)*(((1/$R$21)*(($R$21-M90)/(O90-M90)))*(1-$F$22*('DATOS CORRECCIONES EQUIPOS EMPL'!$E36-20)))/1000))</f>
        <v>503.85986618938108</v>
      </c>
      <c r="R90" s="1151"/>
      <c r="S90" s="1159">
        <f t="shared" si="9"/>
        <v>3.8598661893810799</v>
      </c>
      <c r="T90" s="1159"/>
      <c r="U90" s="406">
        <f>+(1*(0.0632693*'DATOS CORRECCIONES EQUIPOS EMPL'!E36^0)-2*(0.00852393*'DATOS CORRECCIONES EQUIPOS EMPL'!E36^1)+3*(0.00006943248*'DATOS CORRECCIONES EQUIPOS EMPL'!E36^2)-4*(0.0000003821216*'DATOS CORRECCIONES EQUIPOS EMPL'!E36^3))/1000</f>
        <v>-2.1251304702503757E-4</v>
      </c>
      <c r="V90" s="485"/>
      <c r="W90" s="574" t="str">
        <f t="shared" si="10"/>
        <v>ok</v>
      </c>
      <c r="X90" s="570" t="str">
        <f t="shared" si="11"/>
        <v>ok</v>
      </c>
      <c r="Y90" s="570" t="str">
        <f t="shared" si="12"/>
        <v>ok</v>
      </c>
      <c r="Z90" s="570" t="str">
        <f t="shared" si="13"/>
        <v>ok</v>
      </c>
      <c r="AA90" s="570" t="str">
        <f t="shared" si="14"/>
        <v>ok</v>
      </c>
    </row>
    <row r="91" spans="1:27" ht="11.25" customHeight="1" x14ac:dyDescent="0.2">
      <c r="A91" s="1131">
        <v>27.792580000000001</v>
      </c>
      <c r="B91" s="1131"/>
      <c r="C91" s="1131">
        <v>28.294250000000002</v>
      </c>
      <c r="D91" s="1131"/>
      <c r="E91" s="1128">
        <v>20.71</v>
      </c>
      <c r="F91" s="1128"/>
      <c r="G91" s="1128">
        <v>20.7</v>
      </c>
      <c r="H91" s="1128"/>
      <c r="I91" s="1126">
        <v>55.8</v>
      </c>
      <c r="J91" s="1126"/>
      <c r="K91" s="1126">
        <v>910</v>
      </c>
      <c r="L91" s="1126"/>
      <c r="M91" s="1154">
        <f>+(((0.34844*'DATOS CORRECCIONES EQUIPOS EMPL'!K37)+'DATOS CORRECCIONES EQUIPOS EMPL'!I37*((-0.00252*'DATOS CORRECCIONES EQUIPOS EMPL'!G37)+0.020582))/('DATOS CORRECCIONES EQUIPOS EMPL'!G37+273.15))/1000</f>
        <v>1.072715592862267E-3</v>
      </c>
      <c r="N91" s="1155"/>
      <c r="O91" s="1150">
        <f>IF('INCERTIDUMBRE DE LA MEDIDA'!$E$38="Kell",((999.85308+0.0632693*'DATOS CORRECCIONES EQUIPOS EMPL'!E37)-(0.00852393*'DATOS CORRECCIONES EQUIPOS EMPL'!E37^2)+(0.00006943248*'DATOS CORRECCIONES EQUIPOS EMPL'!E37^3)-(0.0000003821216*'DATOS CORRECCIONES EQUIPOS EMPL'!E37^4))/1000,(0.99997495*(1-(('DATOS CORRECCIONES EQUIPOS EMPL'!E37-3.983035)^2*('DATOS CORRECCIONES EQUIPOS EMPL'!E37+301.797))/(522528.9*('DATOS CORRECCIONES EQUIPOS EMPL'!E37+69.34881)))))</f>
        <v>0.99809068082624464</v>
      </c>
      <c r="P91" s="1151"/>
      <c r="Q91" s="1150">
        <f>IF($H$68=$H$165,(C91-A91-$D$41)*(((1/$R$21)*(($R$21-M91)/(O91-M91)))*(1-$F$22*('DATOS CORRECCIONES EQUIPOS EMPL'!$E37-20)))*1000,IF($H$68=$H$164,(C91-A91-$D$41)*(((1/$R$21)*(($R$21-M91)/(O91-M91)))*(1-$F$22*('DATOS CORRECCIONES EQUIPOS EMPL'!$E37-20))),(C91-A91-$D$41)*(((1/$R$21)*(($R$21-M91)/(O91-M91)))*(1-$F$22*('DATOS CORRECCIONES EQUIPOS EMPL'!$E37-20)))/1000))</f>
        <v>503.03774431841151</v>
      </c>
      <c r="R91" s="1151"/>
      <c r="S91" s="1159">
        <f t="shared" si="9"/>
        <v>3.0377443184115123</v>
      </c>
      <c r="T91" s="1159"/>
      <c r="U91" s="406">
        <f>+(1*(0.0632693*'DATOS CORRECCIONES EQUIPOS EMPL'!E37^0)-2*(0.00852393*'DATOS CORRECCIONES EQUIPOS EMPL'!E37^1)+3*(0.00006943248*'DATOS CORRECCIONES EQUIPOS EMPL'!E37^2)-4*(0.0000003821216*'DATOS CORRECCIONES EQUIPOS EMPL'!E37^3))/1000</f>
        <v>-2.1240879575014127E-4</v>
      </c>
      <c r="V91" s="485"/>
      <c r="W91" s="574" t="str">
        <f t="shared" si="10"/>
        <v>ok</v>
      </c>
      <c r="X91" s="570" t="str">
        <f t="shared" si="11"/>
        <v>ok</v>
      </c>
      <c r="Y91" s="570" t="str">
        <f t="shared" si="12"/>
        <v>ok</v>
      </c>
      <c r="Z91" s="570" t="str">
        <f t="shared" si="13"/>
        <v>ok</v>
      </c>
      <c r="AA91" s="570" t="str">
        <f t="shared" si="14"/>
        <v>ok</v>
      </c>
    </row>
    <row r="92" spans="1:27" x14ac:dyDescent="0.2">
      <c r="A92" s="1131">
        <v>28.294250000000002</v>
      </c>
      <c r="B92" s="1131"/>
      <c r="C92" s="1131">
        <v>28.796579999999999</v>
      </c>
      <c r="D92" s="1131"/>
      <c r="E92" s="1128">
        <v>20.7</v>
      </c>
      <c r="F92" s="1128"/>
      <c r="G92" s="1128">
        <v>20.7</v>
      </c>
      <c r="H92" s="1128"/>
      <c r="I92" s="1126">
        <v>55.9</v>
      </c>
      <c r="J92" s="1126"/>
      <c r="K92" s="1126">
        <v>910</v>
      </c>
      <c r="L92" s="1126"/>
      <c r="M92" s="1154">
        <f>+(((0.34844*'DATOS CORRECCIONES EQUIPOS EMPL'!K38)+'DATOS CORRECCIONES EQUIPOS EMPL'!I38*((-0.00252*'DATOS CORRECCIONES EQUIPOS EMPL'!G38)+0.020582))/('DATOS CORRECCIONES EQUIPOS EMPL'!G38+273.15))/1000</f>
        <v>1.0727039150489376E-3</v>
      </c>
      <c r="N92" s="1155"/>
      <c r="O92" s="1150">
        <f>IF('INCERTIDUMBRE DE LA MEDIDA'!$E$38="Kell",((999.85308+0.0632693*'DATOS CORRECCIONES EQUIPOS EMPL'!E38)-(0.00852393*'DATOS CORRECCIONES EQUIPOS EMPL'!E38^2)+(0.00006943248*'DATOS CORRECCIONES EQUIPOS EMPL'!E38^3)-(0.0000003821216*'DATOS CORRECCIONES EQUIPOS EMPL'!E38^4))/1000,(0.99997495*(1-(('DATOS CORRECCIONES EQUIPOS EMPL'!E38-3.983035)^2*('DATOS CORRECCIONES EQUIPOS EMPL'!E38+301.797))/(522528.9*('DATOS CORRECCIONES EQUIPOS EMPL'!E38+69.34881)))))</f>
        <v>0.99809280413038048</v>
      </c>
      <c r="P92" s="1151"/>
      <c r="Q92" s="1150">
        <f>IF($H$68=$H$165,(C92-A92-$D$41)*(((1/$R$21)*(($R$21-M92)/(O92-M92)))*(1-$F$22*('DATOS CORRECCIONES EQUIPOS EMPL'!$E38-20)))*1000,IF($H$68=$H$164,(C92-A92-$D$41)*(((1/$R$21)*(($R$21-M92)/(O92-M92)))*(1-$F$22*('DATOS CORRECCIONES EQUIPOS EMPL'!$E38-20))),(C92-A92-$D$41)*(((1/$R$21)*(($R$21-M92)/(O92-M92)))*(1-$F$22*('DATOS CORRECCIONES EQUIPOS EMPL'!$E38-20)))/1000))</f>
        <v>503.69967272896719</v>
      </c>
      <c r="R92" s="1151"/>
      <c r="S92" s="1159">
        <f t="shared" si="9"/>
        <v>3.6996727289671867</v>
      </c>
      <c r="T92" s="1159"/>
      <c r="U92" s="406">
        <f>+(1*(0.0632693*'DATOS CORRECCIONES EQUIPOS EMPL'!E38^0)-2*(0.00852393*'DATOS CORRECCIONES EQUIPOS EMPL'!E38^1)+3*(0.00006943248*'DATOS CORRECCIONES EQUIPOS EMPL'!E38^2)-4*(0.0000003821216*'DATOS CORRECCIONES EQUIPOS EMPL'!E38^3))/1000</f>
        <v>-2.1230452121063088E-4</v>
      </c>
      <c r="V92" s="485"/>
      <c r="W92" s="574" t="str">
        <f t="shared" si="10"/>
        <v>ok</v>
      </c>
      <c r="X92" s="570" t="str">
        <f t="shared" si="11"/>
        <v>ok</v>
      </c>
      <c r="Y92" s="570" t="str">
        <f t="shared" si="12"/>
        <v>ok</v>
      </c>
      <c r="Z92" s="570" t="str">
        <f t="shared" si="13"/>
        <v>ok</v>
      </c>
      <c r="AA92" s="570" t="str">
        <f t="shared" si="14"/>
        <v>ok</v>
      </c>
    </row>
    <row r="93" spans="1:27" x14ac:dyDescent="0.2">
      <c r="A93" s="1131">
        <v>28.796579999999999</v>
      </c>
      <c r="B93" s="1131"/>
      <c r="C93" s="1131">
        <v>29.29824</v>
      </c>
      <c r="D93" s="1131"/>
      <c r="E93" s="1128">
        <v>20.71</v>
      </c>
      <c r="F93" s="1128"/>
      <c r="G93" s="1128">
        <v>20.7</v>
      </c>
      <c r="H93" s="1128"/>
      <c r="I93" s="1126">
        <v>55.2</v>
      </c>
      <c r="J93" s="1126"/>
      <c r="K93" s="1126">
        <v>910</v>
      </c>
      <c r="L93" s="1126"/>
      <c r="M93" s="1154">
        <f>+(((0.34844*'DATOS CORRECCIONES EQUIPOS EMPL'!K39)+'DATOS CORRECCIONES EQUIPOS EMPL'!I39*((-0.00252*'DATOS CORRECCIONES EQUIPOS EMPL'!G39)+0.020582))/('DATOS CORRECCIONES EQUIPOS EMPL'!G39+273.15))/1000</f>
        <v>1.072785716444379E-3</v>
      </c>
      <c r="N93" s="1155"/>
      <c r="O93" s="1150">
        <f>IF('INCERTIDUMBRE DE LA MEDIDA'!$E$38="Kell",((999.85308+0.0632693*'DATOS CORRECCIONES EQUIPOS EMPL'!E39)-(0.00852393*'DATOS CORRECCIONES EQUIPOS EMPL'!E39^2)+(0.00006943248*'DATOS CORRECCIONES EQUIPOS EMPL'!E39^3)-(0.0000003821216*'DATOS CORRECCIONES EQUIPOS EMPL'!E39^4))/1000,(0.99997495*(1-(('DATOS CORRECCIONES EQUIPOS EMPL'!E39-3.983035)^2*('DATOS CORRECCIONES EQUIPOS EMPL'!E39+301.797))/(522528.9*('DATOS CORRECCIONES EQUIPOS EMPL'!E39+69.34881)))))</f>
        <v>0.99809068082624464</v>
      </c>
      <c r="P93" s="1151"/>
      <c r="Q93" s="1150">
        <f>IF($H$68=$H$165,(C93-A93-$D$41)*(((1/$R$21)*(($R$21-M93)/(O93-M93)))*(1-$F$22*('DATOS CORRECCIONES EQUIPOS EMPL'!$E39-20)))*1000,IF($H$68=$H$164,(C93-A93-$D$41)*(((1/$R$21)*(($R$21-M93)/(O93-M93)))*(1-$F$22*('DATOS CORRECCIONES EQUIPOS EMPL'!$E39-20))),(C93-A93-$D$41)*(((1/$R$21)*(($R$21-M93)/(O93-M93)))*(1-$F$22*('DATOS CORRECCIONES EQUIPOS EMPL'!$E39-20)))/1000))</f>
        <v>503.02774804215534</v>
      </c>
      <c r="R93" s="1151"/>
      <c r="S93" s="1159">
        <f t="shared" si="9"/>
        <v>3.0277480421553378</v>
      </c>
      <c r="T93" s="1159"/>
      <c r="U93" s="406">
        <f>+(1*(0.0632693*'DATOS CORRECCIONES EQUIPOS EMPL'!E39^0)-2*(0.00852393*'DATOS CORRECCIONES EQUIPOS EMPL'!E39^1)+3*(0.00006943248*'DATOS CORRECCIONES EQUIPOS EMPL'!E39^2)-4*(0.0000003821216*'DATOS CORRECCIONES EQUIPOS EMPL'!E39^3))/1000</f>
        <v>-2.1240879575014127E-4</v>
      </c>
      <c r="V93" s="485"/>
      <c r="W93" s="574" t="str">
        <f t="shared" si="10"/>
        <v>ok</v>
      </c>
      <c r="X93" s="570" t="str">
        <f t="shared" si="11"/>
        <v>ok</v>
      </c>
      <c r="Y93" s="570" t="str">
        <f t="shared" si="12"/>
        <v>ok</v>
      </c>
      <c r="Z93" s="570" t="str">
        <f t="shared" si="13"/>
        <v>ok</v>
      </c>
      <c r="AA93" s="570" t="str">
        <f t="shared" si="14"/>
        <v>ok</v>
      </c>
    </row>
    <row r="94" spans="1:27" x14ac:dyDescent="0.2">
      <c r="A94" s="1131">
        <v>29.29824</v>
      </c>
      <c r="B94" s="1131"/>
      <c r="C94" s="1131">
        <v>29.800750000000001</v>
      </c>
      <c r="D94" s="1131"/>
      <c r="E94" s="1128">
        <v>20.67</v>
      </c>
      <c r="F94" s="1128"/>
      <c r="G94" s="1128">
        <v>20.7</v>
      </c>
      <c r="H94" s="1128"/>
      <c r="I94" s="1126">
        <v>54.6</v>
      </c>
      <c r="J94" s="1126"/>
      <c r="K94" s="1126">
        <v>910</v>
      </c>
      <c r="L94" s="1126"/>
      <c r="M94" s="1154">
        <f>+(((0.34844*'DATOS CORRECCIONES EQUIPOS EMPL'!K40)+'DATOS CORRECCIONES EQUIPOS EMPL'!I40*((-0.00252*'DATOS CORRECCIONES EQUIPOS EMPL'!G40)+0.020582))/('DATOS CORRECCIONES EQUIPOS EMPL'!G40+273.15))/1000</f>
        <v>1.0728559372301524E-3</v>
      </c>
      <c r="N94" s="1155"/>
      <c r="O94" s="1150">
        <f>IF('INCERTIDUMBRE DE LA MEDIDA'!$E$38="Kell",((999.85308+0.0632693*'DATOS CORRECCIONES EQUIPOS EMPL'!E40)-(0.00852393*'DATOS CORRECCIONES EQUIPOS EMPL'!E40^2)+(0.00006943248*'DATOS CORRECCIONES EQUIPOS EMPL'!E40^3)-(0.0000003821216*'DATOS CORRECCIONES EQUIPOS EMPL'!E40^4))/1000,(0.99997495*(1-(('DATOS CORRECCIONES EQUIPOS EMPL'!E40-3.983035)^2*('DATOS CORRECCIONES EQUIPOS EMPL'!E40+301.797))/(522528.9*('DATOS CORRECCIONES EQUIPOS EMPL'!E40+69.34881)))))</f>
        <v>0.99809916784227593</v>
      </c>
      <c r="P94" s="1151"/>
      <c r="Q94" s="1150">
        <f>IF($H$68=$H$165,(C94-A94-$D$41)*(((1/$R$21)*(($R$21-M94)/(O94-M94)))*(1-$F$22*('DATOS CORRECCIONES EQUIPOS EMPL'!$E40-20)))*1000,IF($H$68=$H$164,(C94-A94-$D$41)*(((1/$R$21)*(($R$21-M94)/(O94-M94)))*(1-$F$22*('DATOS CORRECCIONES EQUIPOS EMPL'!$E40-20))),(C94-A94-$D$41)*(((1/$R$21)*(($R$21-M94)/(O94-M94)))*(1-$F$22*('DATOS CORRECCIONES EQUIPOS EMPL'!$E40-20)))/1000))</f>
        <v>503.88064370941345</v>
      </c>
      <c r="R94" s="1151"/>
      <c r="S94" s="1159">
        <f t="shared" si="9"/>
        <v>3.8806437094134481</v>
      </c>
      <c r="T94" s="1159"/>
      <c r="U94" s="406">
        <f>+(1*(0.0632693*'DATOS CORRECCIONES EQUIPOS EMPL'!E40^0)-2*(0.00852393*'DATOS CORRECCIONES EQUIPOS EMPL'!E40^1)+3*(0.00006943248*'DATOS CORRECCIONES EQUIPOS EMPL'!E40^2)-4*(0.0000003821216*'DATOS CORRECCIONES EQUIPOS EMPL'!E40^3))/1000</f>
        <v>-2.1199155790972316E-4</v>
      </c>
      <c r="V94" s="485"/>
      <c r="W94" s="574" t="str">
        <f t="shared" si="10"/>
        <v>ok</v>
      </c>
      <c r="X94" s="570" t="str">
        <f t="shared" si="11"/>
        <v>ok</v>
      </c>
      <c r="Y94" s="570" t="str">
        <f t="shared" si="12"/>
        <v>ok</v>
      </c>
      <c r="Z94" s="570" t="str">
        <f t="shared" si="13"/>
        <v>ok</v>
      </c>
      <c r="AA94" s="570" t="str">
        <f t="shared" si="14"/>
        <v>ok</v>
      </c>
    </row>
    <row r="95" spans="1:27" ht="12" customHeight="1" x14ac:dyDescent="0.2">
      <c r="A95" s="1131">
        <v>29.800750000000001</v>
      </c>
      <c r="B95" s="1131"/>
      <c r="C95" s="1131">
        <v>30.303129999999999</v>
      </c>
      <c r="D95" s="1131"/>
      <c r="E95" s="1128">
        <v>20.67</v>
      </c>
      <c r="F95" s="1128"/>
      <c r="G95" s="1128">
        <v>20.7</v>
      </c>
      <c r="H95" s="1128"/>
      <c r="I95" s="1126">
        <v>55.4</v>
      </c>
      <c r="J95" s="1126"/>
      <c r="K95" s="1126">
        <v>910</v>
      </c>
      <c r="L95" s="1126"/>
      <c r="M95" s="1154">
        <f>+(((0.34844*'DATOS CORRECCIONES EQUIPOS EMPL'!K41)+'DATOS CORRECCIONES EQUIPOS EMPL'!I41*((-0.00252*'DATOS CORRECCIONES EQUIPOS EMPL'!G41)+0.020582))/('DATOS CORRECCIONES EQUIPOS EMPL'!G41+273.15))/1000</f>
        <v>1.0727623311166017E-3</v>
      </c>
      <c r="N95" s="1155"/>
      <c r="O95" s="1150">
        <f>IF('INCERTIDUMBRE DE LA MEDIDA'!$E$38="Kell",((999.85308+0.0632693*'DATOS CORRECCIONES EQUIPOS EMPL'!E41)-(0.00852393*'DATOS CORRECCIONES EQUIPOS EMPL'!E41^2)+(0.00006943248*'DATOS CORRECCIONES EQUIPOS EMPL'!E41^3)-(0.0000003821216*'DATOS CORRECCIONES EQUIPOS EMPL'!E41^4))/1000,(0.99997495*(1-(('DATOS CORRECCIONES EQUIPOS EMPL'!E41-3.983035)^2*('DATOS CORRECCIONES EQUIPOS EMPL'!E41+301.797))/(522528.9*('DATOS CORRECCIONES EQUIPOS EMPL'!E41+69.34881)))))</f>
        <v>0.99809916784227593</v>
      </c>
      <c r="P95" s="1151"/>
      <c r="Q95" s="1150">
        <f>IF($H$68=$H$165,(C95-A95-$D$41)*(((1/$R$21)*(($R$21-M95)/(O95-M95)))*(1-$F$22*('DATOS CORRECCIONES EQUIPOS EMPL'!$E41-20)))*1000,IF($H$68=$H$164,(C95-A95-$D$41)*(((1/$R$21)*(($R$21-M95)/(O95-M95)))*(1-$F$22*('DATOS CORRECCIONES EQUIPOS EMPL'!$E41-20))),(C95-A95-$D$41)*(((1/$R$21)*(($R$21-M95)/(O95-M95)))*(1-$F$22*('DATOS CORRECCIONES EQUIPOS EMPL'!$E41-20)))/1000))</f>
        <v>503.75024827082581</v>
      </c>
      <c r="R95" s="1151"/>
      <c r="S95" s="1159">
        <f t="shared" si="9"/>
        <v>3.7502482708258071</v>
      </c>
      <c r="T95" s="1159"/>
      <c r="U95" s="406">
        <f>+(1*(0.0632693*'DATOS CORRECCIONES EQUIPOS EMPL'!E41^0)-2*(0.00852393*'DATOS CORRECCIONES EQUIPOS EMPL'!E41^1)+3*(0.00006943248*'DATOS CORRECCIONES EQUIPOS EMPL'!E41^2)-4*(0.0000003821216*'DATOS CORRECCIONES EQUIPOS EMPL'!E41^3))/1000</f>
        <v>-2.1199155790972316E-4</v>
      </c>
      <c r="V95" s="485"/>
      <c r="W95" s="574" t="str">
        <f t="shared" si="10"/>
        <v>ok</v>
      </c>
      <c r="X95" s="570" t="str">
        <f t="shared" si="11"/>
        <v>ok</v>
      </c>
      <c r="Y95" s="570" t="str">
        <f t="shared" si="12"/>
        <v>ok</v>
      </c>
      <c r="Z95" s="570" t="str">
        <f t="shared" si="13"/>
        <v>ok</v>
      </c>
      <c r="AA95" s="570" t="str">
        <f t="shared" si="14"/>
        <v>ok</v>
      </c>
    </row>
    <row r="96" spans="1:27" x14ac:dyDescent="0.2">
      <c r="A96" s="1142">
        <f>IF(ISBLANK(A86)," ",AVERAGE(A86:B95))</f>
        <v>27.541302000000002</v>
      </c>
      <c r="B96" s="1142"/>
      <c r="C96" s="1142">
        <f>IF(ISBLANK(C86)," ",AVERAGE(C86:D95))</f>
        <v>28.043385000000001</v>
      </c>
      <c r="D96" s="1142"/>
      <c r="E96" s="1133">
        <f>IF(ISBLANK(E86)," ",AVERAGE(E86:F95))</f>
        <v>20.715000000000003</v>
      </c>
      <c r="F96" s="1133"/>
      <c r="G96" s="1133">
        <f>IF(ISBLANK(G86)," ",AVERAGE(G86:H95))</f>
        <v>20.699999999999996</v>
      </c>
      <c r="H96" s="1133"/>
      <c r="I96" s="1132">
        <f>IF(ISBLANK(I86)," ",AVERAGE(I86:J95))</f>
        <v>55.39</v>
      </c>
      <c r="J96" s="1132"/>
      <c r="K96" s="1132">
        <f>IF(ISBLANK(K86)," ",AVERAGE(K86:L95))</f>
        <v>910</v>
      </c>
      <c r="L96" s="1132"/>
      <c r="M96" s="1344">
        <f>IF(ISBLANK(K86)," ",AVERAGE(M86:N95))</f>
        <v>1.0727635177986464E-3</v>
      </c>
      <c r="N96" s="1344"/>
      <c r="O96" s="1205">
        <f>IF(ISBLANK(K86)," ",AVERAGE(O86:P95))</f>
        <v>0.99808961483556646</v>
      </c>
      <c r="P96" s="1206"/>
      <c r="Q96" s="1156">
        <f>AVERAGE(Q86:R95)</f>
        <v>503.45182379933919</v>
      </c>
      <c r="R96" s="1156"/>
      <c r="S96" s="1156">
        <f>AVERAGE(S86:T95)</f>
        <v>3.4518237993391891</v>
      </c>
      <c r="T96" s="1156"/>
      <c r="U96" s="407">
        <f>AVERAGE(U86:V95)</f>
        <v>-2.1246083531325103E-4</v>
      </c>
      <c r="V96" s="486">
        <f>('INCERTIDUMBRE DE LA MEDIDA'!P124)</f>
        <v>0.93572359999999999</v>
      </c>
      <c r="W96" s="1157" t="str">
        <f>IF(D24=A164,"Revisado OK",IF(LEN(W86)+LEN(W87)+LEN(W88)+LEN(W89)+LEN(W90)+LEN(W91)+LEN(W92)+LEN(W93)+LEN(W94)+LEN(W95)+LEN(X86)+LEN(X87)+LEN(X88)+LEN(X89)+LEN(X90)+LEN(X91)+LEN(X92)+LEN(X93)+LEN(X94)+LEN(X95)+LEN(Y86)+LEN(Y87)+LEN(Y88)+LEN(Y89)+LEN(Y90)+LEN(Y91)+LEN(Y92)+LEN(Y93)+LEN(Y94)+LEN(Y95)+LEN(Z86)+LEN(Z87)+LEN(Z88)+LEN(Z89)+LEN(Z90)+LEN(Z91)+LEN(Z92)+LEN(Z93)+LEN(Z94)+LEN(Z95)+LEN(AA86)+LEN(AA87)+LEN(AA88)+LEN(AA89)+LEN(AA90)+LEN(AA91)+LEN(AA92)+LEN(AA93)+LEN(AA94)+LEN(AA95)=100,"Revisado OK","Revisar"))</f>
        <v>Revisado OK</v>
      </c>
      <c r="X96" s="1158"/>
      <c r="Y96" s="1158"/>
      <c r="Z96" s="1158"/>
      <c r="AA96" s="619" t="str">
        <f>IFERROR(W96,1)</f>
        <v>Revisado OK</v>
      </c>
    </row>
    <row r="97" spans="1:28" x14ac:dyDescent="0.2">
      <c r="A97" s="137"/>
      <c r="B97" s="137"/>
      <c r="C97" s="1134">
        <f>ABS(S96)</f>
        <v>3.4518237993391891</v>
      </c>
      <c r="D97" s="1134"/>
      <c r="E97" s="1134">
        <f>MAX(E86:E95)-MIN(E86:E95)</f>
        <v>7.9999999999998295E-2</v>
      </c>
      <c r="F97" s="1134"/>
      <c r="G97" s="1134">
        <f>MAX(G86:G95)-MIN(G86:G95)</f>
        <v>0</v>
      </c>
      <c r="H97" s="1134"/>
      <c r="I97" s="1134">
        <f>MAX(I86:I95)-MIN(I86:I95)</f>
        <v>1.2999999999999972</v>
      </c>
      <c r="J97" s="1134"/>
      <c r="K97" s="1134">
        <f>MAX(K86:K95)-MIN(K86:K95)</f>
        <v>0</v>
      </c>
      <c r="L97" s="1134"/>
      <c r="M97" s="138"/>
      <c r="N97" s="138"/>
      <c r="O97" s="138"/>
      <c r="P97" s="138"/>
      <c r="Q97" s="1152" t="str">
        <f>CONCATENATE("CV ",$H$68)</f>
        <v>CV µL</v>
      </c>
      <c r="R97" s="1153"/>
      <c r="S97" s="1204">
        <f>STDEVA(S86:T95)</f>
        <v>0.32997543727915946</v>
      </c>
      <c r="T97" s="1204"/>
      <c r="U97" s="187" t="s">
        <v>271</v>
      </c>
      <c r="V97" s="310">
        <f>ABS(IF(H21=Q163,(S97*100/Q96)*(F84/M21),IF(H21=Q164,(S97*100/Q96),"")))</f>
        <v>3.2771302206135E-2</v>
      </c>
      <c r="W97" s="1117" t="s">
        <v>539</v>
      </c>
      <c r="X97" s="1118"/>
      <c r="Y97" s="1118"/>
      <c r="Z97" s="1118"/>
      <c r="AA97" s="1119"/>
    </row>
    <row r="98" spans="1:28" ht="18" customHeight="1" x14ac:dyDescent="0.3">
      <c r="I98" s="10"/>
      <c r="J98" s="5"/>
      <c r="K98" s="11"/>
      <c r="L98" s="12"/>
      <c r="M98" s="12"/>
      <c r="N98" s="13"/>
      <c r="O98" s="13"/>
      <c r="Q98" s="1152" t="str">
        <f>CONCATENATE("E ",$H$68)</f>
        <v>E µL</v>
      </c>
      <c r="R98" s="1153"/>
      <c r="S98" s="1179">
        <f>Q96-F84</f>
        <v>3.4518237993391949</v>
      </c>
      <c r="T98" s="1179"/>
      <c r="U98" s="187" t="s">
        <v>274</v>
      </c>
      <c r="V98" s="178">
        <f>ABS(IF(H21=Q163,S98*100/M21,IF(H21=Q164,S98*100/K21,"")))</f>
        <v>0.34518237993391948</v>
      </c>
    </row>
    <row r="99" spans="1:28" ht="15" customHeight="1" thickBot="1" x14ac:dyDescent="0.3">
      <c r="A99" s="1418" t="str">
        <f>IF(AND($M$21&lt;=100,H100=$H$165,A112&gt;$D$174),$C$175,"")</f>
        <v/>
      </c>
      <c r="B99" s="1418"/>
      <c r="C99" s="1418"/>
      <c r="D99" s="1418"/>
      <c r="E99" s="1418"/>
      <c r="F99" s="10"/>
      <c r="G99" s="10"/>
      <c r="H99" s="10"/>
      <c r="I99" s="10"/>
      <c r="J99" s="12"/>
      <c r="K99" s="12"/>
      <c r="L99" s="12"/>
      <c r="M99" s="12"/>
      <c r="N99" s="13"/>
      <c r="O99" s="13"/>
      <c r="Q99" s="1239" t="s">
        <v>462</v>
      </c>
      <c r="R99" s="1240"/>
      <c r="S99" s="1241" t="str">
        <f>IF(ISBLANK($Q$22),"",IF($N$24="simple",IF(AND(ABS(S98)&lt;=$Q$22,S97&lt;=$Q$23,R100&gt;=3),"Cumple","No Cumple"),IF($N$24="Conservadora",IF(AND(ABS(S98)+V96&lt;=$Q$22,S97&lt;=$Q$23),"Cumple","No Cumple"),"N.A.")))</f>
        <v>N.A.</v>
      </c>
      <c r="T99" s="1242"/>
      <c r="U99" s="1048" t="s">
        <v>698</v>
      </c>
      <c r="V99" s="1049">
        <f>(_xlfn.NORM.DIST($Q$22,S98,V96/'INCERTIDUMBRE DE LA MEDIDA'!P123,1)-_xlfn.NORM.DIST(-$Q$22,S98,V96/'INCERTIDUMBRE DE LA MEDIDA'!P123,1))</f>
        <v>1</v>
      </c>
      <c r="W99" s="1050" t="s">
        <v>699</v>
      </c>
      <c r="X99" s="1051">
        <f>1-(_xlfn.NORM.DIST($Q$22,S98,V96/'INCERTIDUMBRE DE LA MEDIDA'!P123,1)-_xlfn.NORM.DIST(-$Q$22,S98,V96/'INCERTIDUMBRE DE LA MEDIDA'!P123,1))</f>
        <v>0</v>
      </c>
    </row>
    <row r="100" spans="1:28" ht="21.75" customHeight="1" thickBot="1" x14ac:dyDescent="0.25">
      <c r="C100" s="1135" t="s">
        <v>63</v>
      </c>
      <c r="D100" s="1136"/>
      <c r="E100" s="1137"/>
      <c r="F100" s="1129">
        <v>1000</v>
      </c>
      <c r="G100" s="1130"/>
      <c r="H100" s="443" t="s">
        <v>315</v>
      </c>
      <c r="P100" s="188">
        <f>$Q$22/V96</f>
        <v>8.5495332168601923</v>
      </c>
      <c r="Q100" s="1052" t="s">
        <v>581</v>
      </c>
      <c r="R100" s="1053">
        <f>$Q$22/V96</f>
        <v>8.5495332168601923</v>
      </c>
      <c r="S100" s="1171" t="str">
        <f>IF(V96&lt;=$Q$22/3,"ok","Revisar TUR")</f>
        <v>ok</v>
      </c>
      <c r="T100" s="1171"/>
      <c r="U100" s="1054"/>
      <c r="V100" s="1055"/>
      <c r="W100" s="577">
        <v>3</v>
      </c>
    </row>
    <row r="101" spans="1:28" s="136" customFormat="1" ht="54" customHeight="1" x14ac:dyDescent="0.2">
      <c r="A101" s="1127" t="s">
        <v>73</v>
      </c>
      <c r="B101" s="1127"/>
      <c r="C101" s="1127" t="s">
        <v>74</v>
      </c>
      <c r="D101" s="1127"/>
      <c r="E101" s="1127" t="s">
        <v>75</v>
      </c>
      <c r="F101" s="1127"/>
      <c r="G101" s="1127" t="s">
        <v>172</v>
      </c>
      <c r="H101" s="1127"/>
      <c r="I101" s="1127" t="s">
        <v>174</v>
      </c>
      <c r="J101" s="1127"/>
      <c r="K101" s="1214" t="s">
        <v>726</v>
      </c>
      <c r="L101" s="1214"/>
      <c r="M101" s="1149" t="s">
        <v>76</v>
      </c>
      <c r="N101" s="1149"/>
      <c r="O101" s="1149" t="s">
        <v>77</v>
      </c>
      <c r="P101" s="1149"/>
      <c r="Q101" s="1149" t="str">
        <f>CONCATENATE("Volumen calculado","[",H100,"]")</f>
        <v>Volumen calculado[µL]</v>
      </c>
      <c r="R101" s="1149"/>
      <c r="S101" s="1149" t="str">
        <f>CONCATENATE("Error  del IBP","[",H100,"]")</f>
        <v>Error  del IBP[µL]</v>
      </c>
      <c r="T101" s="1149"/>
      <c r="U101" s="405"/>
      <c r="V101" s="483" t="str">
        <f>CONCATENATE("Incertidumbre"," [", $H$68,"]")</f>
        <v>Incertidumbre [µL]</v>
      </c>
      <c r="W101" s="569" t="s">
        <v>727</v>
      </c>
      <c r="X101" s="569" t="s">
        <v>728</v>
      </c>
      <c r="Y101" s="569" t="s">
        <v>729</v>
      </c>
      <c r="Z101" s="569" t="s">
        <v>730</v>
      </c>
      <c r="AA101" s="569" t="s">
        <v>731</v>
      </c>
    </row>
    <row r="102" spans="1:28" x14ac:dyDescent="0.2">
      <c r="A102" s="1131">
        <v>25.234390000000001</v>
      </c>
      <c r="B102" s="1131"/>
      <c r="C102" s="1131">
        <v>26.235009999999999</v>
      </c>
      <c r="D102" s="1131"/>
      <c r="E102" s="1128">
        <v>20.68</v>
      </c>
      <c r="F102" s="1128"/>
      <c r="G102" s="1128">
        <v>20.6</v>
      </c>
      <c r="H102" s="1128"/>
      <c r="I102" s="1126">
        <v>54.5</v>
      </c>
      <c r="J102" s="1126"/>
      <c r="K102" s="1126">
        <v>910</v>
      </c>
      <c r="L102" s="1126"/>
      <c r="M102" s="1154">
        <f>+(((0.34844*'DATOS CORRECCIONES EQUIPOS EMPL'!K50)+'DATOS CORRECCIONES EQUIPOS EMPL'!I50*((-0.00252*'DATOS CORRECCIONES EQUIPOS EMPL'!G50)+0.020582))/('DATOS CORRECCIONES EQUIPOS EMPL'!G50+273.15))/1000</f>
        <v>1.0732724310476345E-3</v>
      </c>
      <c r="N102" s="1155"/>
      <c r="O102" s="1150">
        <f>IF('INCERTIDUMBRE DE LA MEDIDA'!$E$38="Kell",((999.85308+0.0632693*'DATOS CORRECCIONES EQUIPOS EMPL'!E50)-(0.00852393*'DATOS CORRECCIONES EQUIPOS EMPL'!E50^2)+(0.00006943248*'DATOS CORRECCIONES EQUIPOS EMPL'!E50^3)-(0.0000003821216*'DATOS CORRECCIONES EQUIPOS EMPL'!E50^4))/1000,(0.99997495*(1-(('DATOS CORRECCIONES EQUIPOS EMPL'!E50-3.983035)^2*('DATOS CORRECCIONES EQUIPOS EMPL'!E50+301.797))/(522528.9*('DATOS CORRECCIONES EQUIPOS EMPL'!E50+69.34881)))))</f>
        <v>0.9980970476386295</v>
      </c>
      <c r="P102" s="1151"/>
      <c r="Q102" s="1150">
        <f>IF($H$68=$H$165,(C102-A102-$D$41)*(((1/$R$21)*(($R$21-M102)/(O102-M102)))*(1-$F$22*('DATOS CORRECCIONES EQUIPOS EMPL'!$E50-20)))*1000,IF($H$68=$H$164,(C102-A102-$D$41)*(((1/$R$21)*(($R$21-M102)/(O102-M102)))*(1-$F$22*('DATOS CORRECCIONES EQUIPOS EMPL'!$E50-20))),(C102-A102-$D$41)*(((1/$R$21)*(($R$21-M102)/(O102-M102)))*(1-$F$22*('DATOS CORRECCIONES EQUIPOS EMPL'!$E50-20)))/1000))</f>
        <v>1003.347389103356</v>
      </c>
      <c r="R102" s="1151"/>
      <c r="S102" s="1159">
        <f>Q102-$F$100</f>
        <v>3.3473891033560221</v>
      </c>
      <c r="T102" s="1159"/>
      <c r="U102" s="406">
        <f>+(1*(0.0632693*'DATOS CORRECCIONES EQUIPOS EMPL'!E50^0)-2*(0.00852393*'DATOS CORRECCIONES EQUIPOS EMPL'!E50^1)+3*(0.00006943248*'DATOS CORRECCIONES EQUIPOS EMPL'!E50^2)-4*(0.0000003821216*'DATOS CORRECCIONES EQUIPOS EMPL'!E50^3))/1000</f>
        <v>-2.1209590229989125E-4</v>
      </c>
      <c r="V102" s="484"/>
      <c r="W102" s="574" t="str">
        <f>IF(OR(A102="",(ABS(S102)&gt;=$Q$22)),"Revisar pesada","ok")</f>
        <v>ok</v>
      </c>
      <c r="X102" s="570" t="str">
        <f>IF(ABS(E102-$G$102)&lt;=$V$45,"ok","Revisar")</f>
        <v>ok</v>
      </c>
      <c r="Y102" s="570" t="str">
        <f>IF(ABS(G102-E102)&gt;=$W$45,"Revisar","ok")</f>
        <v>ok</v>
      </c>
      <c r="Z102" s="570" t="str">
        <f>IF(ABS(I103-$I$102)&lt;=$X$45,"ok","Revisar")</f>
        <v>ok</v>
      </c>
      <c r="AA102" s="570" t="str">
        <f>IF(ABS(K103-$K$102)&lt;=$Y$45,"ok","Revisar")</f>
        <v>ok</v>
      </c>
      <c r="AB102" s="3">
        <f>ABS(S102)</f>
        <v>3.3473891033560221</v>
      </c>
    </row>
    <row r="103" spans="1:28" x14ac:dyDescent="0.2">
      <c r="A103" s="1131">
        <v>26.235009999999999</v>
      </c>
      <c r="B103" s="1131"/>
      <c r="C103" s="1131">
        <v>27.2379</v>
      </c>
      <c r="D103" s="1131"/>
      <c r="E103" s="1128">
        <v>20.65</v>
      </c>
      <c r="F103" s="1128"/>
      <c r="G103" s="1128">
        <v>20.6</v>
      </c>
      <c r="H103" s="1128"/>
      <c r="I103" s="1126">
        <v>55.2</v>
      </c>
      <c r="J103" s="1126"/>
      <c r="K103" s="1126">
        <v>910</v>
      </c>
      <c r="L103" s="1126"/>
      <c r="M103" s="1154">
        <f>+(((0.34844*'DATOS CORRECCIONES EQUIPOS EMPL'!K51)+'DATOS CORRECCIONES EQUIPOS EMPL'!I51*((-0.00252*'DATOS CORRECCIONES EQUIPOS EMPL'!G51)+0.020582))/('DATOS CORRECCIONES EQUIPOS EMPL'!G51+273.15))/1000</f>
        <v>1.0731911038219144E-3</v>
      </c>
      <c r="N103" s="1155"/>
      <c r="O103" s="1150">
        <f>IF('INCERTIDUMBRE DE LA MEDIDA'!$E$38="Kell",((999.85308+0.0632693*'DATOS CORRECCIONES EQUIPOS EMPL'!E51)-(0.00852393*'DATOS CORRECCIONES EQUIPOS EMPL'!E51^2)+(0.00006943248*'DATOS CORRECCIONES EQUIPOS EMPL'!E51^3)-(0.0000003821216*'DATOS CORRECCIONES EQUIPOS EMPL'!E51^4))/1000,(0.99997495*(1-(('DATOS CORRECCIONES EQUIPOS EMPL'!E51-3.983035)^2*('DATOS CORRECCIONES EQUIPOS EMPL'!E51+301.797))/(522528.9*('DATOS CORRECCIONES EQUIPOS EMPL'!E51+69.34881)))))</f>
        <v>0.99810340514744544</v>
      </c>
      <c r="P103" s="1151"/>
      <c r="Q103" s="1150">
        <f>IF($H$68=$H$165,(C103-A103-$D$41)*(((1/$R$21)*(($R$21-M103)/(O103-M103)))*(1-$F$22*('DATOS CORRECCIONES EQUIPOS EMPL'!$E51-20)))*1000,IF($H$68=$H$164,(C103-A103-$D$41)*(((1/$R$21)*(($R$21-M103)/(O103-M103)))*(1-$F$22*('DATOS CORRECCIONES EQUIPOS EMPL'!$E51-20))),(C103-A103-$D$41)*(((1/$R$21)*(($R$21-M103)/(O103-M103)))*(1-$F$22*('DATOS CORRECCIONES EQUIPOS EMPL'!$E51-20)))/1000))</f>
        <v>1005.6243320885045</v>
      </c>
      <c r="R103" s="1151"/>
      <c r="S103" s="1159">
        <f t="shared" ref="S103:S111" si="15">Q103-$F$100</f>
        <v>5.6243320885045023</v>
      </c>
      <c r="T103" s="1159"/>
      <c r="U103" s="406">
        <f>+(1*(0.0632693*'DATOS CORRECCIONES EQUIPOS EMPL'!E51^0)-2*(0.00852393*'DATOS CORRECCIONES EQUIPOS EMPL'!E51^1)+3*(0.00006943248*'DATOS CORRECCIONES EQUIPOS EMPL'!E51^2)-4*(0.0000003821216*'DATOS CORRECCIONES EQUIPOS EMPL'!E51^3))/1000</f>
        <v>-2.1178279921244098E-4</v>
      </c>
      <c r="V103" s="485"/>
      <c r="W103" s="574" t="str">
        <f t="shared" ref="W103:W111" si="16">IF(OR(A103="",(ABS(S103)&gt;=$Q$22)),"Revisar pesada","ok")</f>
        <v>ok</v>
      </c>
      <c r="X103" s="570" t="str">
        <f>IF(ABS(E103-$E$102)&lt;=$V$45,"ok","Revisar")</f>
        <v>ok</v>
      </c>
      <c r="Y103" s="570" t="str">
        <f>IF(ABS(G103-$G$102)&gt;=$W$45,"Revisar","ok")</f>
        <v>ok</v>
      </c>
      <c r="Z103" s="570" t="str">
        <f>IF(ABS(I103-$I$102)&lt;=$X$45,"ok","Revisar")</f>
        <v>ok</v>
      </c>
      <c r="AA103" s="570" t="str">
        <f>IF(ABS(K103-$K$102)&lt;=$Y$45,"ok","Revisar")</f>
        <v>ok</v>
      </c>
    </row>
    <row r="104" spans="1:28" x14ac:dyDescent="0.2">
      <c r="A104" s="1131">
        <v>27.2379</v>
      </c>
      <c r="B104" s="1131"/>
      <c r="C104" s="1131">
        <v>28.239550000000001</v>
      </c>
      <c r="D104" s="1131"/>
      <c r="E104" s="1128">
        <v>20.65</v>
      </c>
      <c r="F104" s="1128"/>
      <c r="G104" s="1128">
        <v>20.6</v>
      </c>
      <c r="H104" s="1128"/>
      <c r="I104" s="1126">
        <v>54.9</v>
      </c>
      <c r="J104" s="1126"/>
      <c r="K104" s="1126">
        <v>910</v>
      </c>
      <c r="L104" s="1126"/>
      <c r="M104" s="1154">
        <f>+(((0.34844*'DATOS CORRECCIONES EQUIPOS EMPL'!K52)+'DATOS CORRECCIONES EQUIPOS EMPL'!I52*((-0.00252*'DATOS CORRECCIONES EQUIPOS EMPL'!G52)+0.020582))/('DATOS CORRECCIONES EQUIPOS EMPL'!G52+273.15))/1000</f>
        <v>1.0732259422665301E-3</v>
      </c>
      <c r="N104" s="1155"/>
      <c r="O104" s="1150">
        <f>IF('INCERTIDUMBRE DE LA MEDIDA'!$E$38="Kell",((999.85308+0.0632693*'DATOS CORRECCIONES EQUIPOS EMPL'!E52)-(0.00852393*'DATOS CORRECCIONES EQUIPOS EMPL'!E52^2)+(0.00006943248*'DATOS CORRECCIONES EQUIPOS EMPL'!E52^3)-(0.0000003821216*'DATOS CORRECCIONES EQUIPOS EMPL'!E52^4))/1000,(0.99997495*(1-(('DATOS CORRECCIONES EQUIPOS EMPL'!E52-3.983035)^2*('DATOS CORRECCIONES EQUIPOS EMPL'!E52+301.797))/(522528.9*('DATOS CORRECCIONES EQUIPOS EMPL'!E52+69.34881)))))</f>
        <v>0.99810340514744544</v>
      </c>
      <c r="P104" s="1151"/>
      <c r="Q104" s="1150">
        <f>IF($H$68=$H$165,(C104-A104-$D$41)*(((1/$R$21)*(($R$21-M104)/(O104-M104)))*(1-$F$22*('DATOS CORRECCIONES EQUIPOS EMPL'!$E52-20)))*1000,IF($H$68=$H$164,(C104-A104-$D$41)*(((1/$R$21)*(($R$21-M104)/(O104-M104)))*(1-$F$22*('DATOS CORRECCIONES EQUIPOS EMPL'!$E52-20))),(C104-A104-$D$41)*(((1/$R$21)*(($R$21-M104)/(O104-M104)))*(1-$F$22*('DATOS CORRECCIONES EQUIPOS EMPL'!$E52-20)))/1000))</f>
        <v>1004.3809844656628</v>
      </c>
      <c r="R104" s="1151"/>
      <c r="S104" s="1159">
        <f t="shared" si="15"/>
        <v>4.3809844656627774</v>
      </c>
      <c r="T104" s="1159"/>
      <c r="U104" s="406">
        <f>+(1*(0.0632693*'DATOS CORRECCIONES EQUIPOS EMPL'!E52^0)-2*(0.00852393*'DATOS CORRECCIONES EQUIPOS EMPL'!E52^1)+3*(0.00006943248*'DATOS CORRECCIONES EQUIPOS EMPL'!E52^2)-4*(0.0000003821216*'DATOS CORRECCIONES EQUIPOS EMPL'!E52^3))/1000</f>
        <v>-2.1178279921244098E-4</v>
      </c>
      <c r="V104" s="485"/>
      <c r="W104" s="574" t="str">
        <f t="shared" si="16"/>
        <v>ok</v>
      </c>
      <c r="X104" s="570" t="str">
        <f t="shared" ref="X104:X111" si="17">IF(ABS(E104-$E$102)&lt;=$V$45,"ok","Revisar")</f>
        <v>ok</v>
      </c>
      <c r="Y104" s="570" t="str">
        <f t="shared" ref="Y104:Y111" si="18">IF(ABS(G104-$G$102)&gt;=$W$45,"Revisar","ok")</f>
        <v>ok</v>
      </c>
      <c r="Z104" s="570" t="str">
        <f t="shared" ref="Z104:Z111" si="19">IF(ABS(I104-$I$102)&lt;=$X$45,"ok","Revisar")</f>
        <v>ok</v>
      </c>
      <c r="AA104" s="570" t="str">
        <f t="shared" ref="AA104:AA111" si="20">IF(ABS(K104-$K$102)&lt;=$Y$45,"ok","Revisar")</f>
        <v>ok</v>
      </c>
    </row>
    <row r="105" spans="1:28" x14ac:dyDescent="0.2">
      <c r="A105" s="1131">
        <v>28.239550000000001</v>
      </c>
      <c r="B105" s="1131"/>
      <c r="C105" s="1131">
        <v>29.241050000000001</v>
      </c>
      <c r="D105" s="1131"/>
      <c r="E105" s="1128">
        <v>20.66</v>
      </c>
      <c r="F105" s="1128"/>
      <c r="G105" s="1128">
        <v>20.6</v>
      </c>
      <c r="H105" s="1128"/>
      <c r="I105" s="1126">
        <v>55.7</v>
      </c>
      <c r="J105" s="1126"/>
      <c r="K105" s="1126">
        <v>911</v>
      </c>
      <c r="L105" s="1126"/>
      <c r="M105" s="1154">
        <f>+(((0.34844*'DATOS CORRECCIONES EQUIPOS EMPL'!K53)+'DATOS CORRECCIONES EQUIPOS EMPL'!I53*((-0.00252*'DATOS CORRECCIONES EQUIPOS EMPL'!G53)+0.020582))/('DATOS CORRECCIONES EQUIPOS EMPL'!G53+273.15))/1000</f>
        <v>1.0743141025243048E-3</v>
      </c>
      <c r="N105" s="1155"/>
      <c r="O105" s="1150">
        <f>IF('INCERTIDUMBRE DE LA MEDIDA'!$E$38="Kell",((999.85308+0.0632693*'DATOS CORRECCIONES EQUIPOS EMPL'!E53)-(0.00852393*'DATOS CORRECCIONES EQUIPOS EMPL'!E53^2)+(0.00006943248*'DATOS CORRECCIONES EQUIPOS EMPL'!E53^3)-(0.0000003821216*'DATOS CORRECCIONES EQUIPOS EMPL'!E53^4))/1000,(0.99997495*(1-(('DATOS CORRECCIONES EQUIPOS EMPL'!E53-3.983035)^2*('DATOS CORRECCIONES EQUIPOS EMPL'!E53+301.797))/(522528.9*('DATOS CORRECCIONES EQUIPOS EMPL'!E53+69.34881)))))</f>
        <v>0.9981012870119591</v>
      </c>
      <c r="P105" s="1151"/>
      <c r="Q105" s="1150">
        <f>IF($H$68=$H$165,(C105-A105-$D$41)*(((1/$R$21)*(($R$21-M105)/(O105-M105)))*(1-$F$22*('DATOS CORRECCIONES EQUIPOS EMPL'!$E53-20)))*1000,IF($H$68=$H$164,(C105-A105-$D$41)*(((1/$R$21)*(($R$21-M105)/(O105-M105)))*(1-$F$22*('DATOS CORRECCIONES EQUIPOS EMPL'!$E53-20))),(C105-A105-$D$41)*(((1/$R$21)*(($R$21-M105)/(O105-M105)))*(1-$F$22*('DATOS CORRECCIONES EQUIPOS EMPL'!$E53-20)))/1000))</f>
        <v>1004.2312565316824</v>
      </c>
      <c r="R105" s="1151"/>
      <c r="S105" s="1159">
        <f t="shared" si="15"/>
        <v>4.2312565316824475</v>
      </c>
      <c r="T105" s="1159"/>
      <c r="U105" s="406">
        <f>+(1*(0.0632693*'DATOS CORRECCIONES EQUIPOS EMPL'!E53^0)-2*(0.00852393*'DATOS CORRECCIONES EQUIPOS EMPL'!E53^1)+3*(0.00006943248*'DATOS CORRECCIONES EQUIPOS EMPL'!E53^2)-4*(0.0000003821216*'DATOS CORRECCIONES EQUIPOS EMPL'!E53^3))/1000</f>
        <v>-2.1188719021706303E-4</v>
      </c>
      <c r="V105" s="485"/>
      <c r="W105" s="574" t="str">
        <f t="shared" si="16"/>
        <v>ok</v>
      </c>
      <c r="X105" s="570" t="str">
        <f t="shared" si="17"/>
        <v>ok</v>
      </c>
      <c r="Y105" s="570" t="str">
        <f t="shared" si="18"/>
        <v>ok</v>
      </c>
      <c r="Z105" s="570" t="str">
        <f t="shared" si="19"/>
        <v>ok</v>
      </c>
      <c r="AA105" s="570" t="str">
        <f t="shared" si="20"/>
        <v>ok</v>
      </c>
    </row>
    <row r="106" spans="1:28" x14ac:dyDescent="0.2">
      <c r="A106" s="1131">
        <v>29.241050000000001</v>
      </c>
      <c r="B106" s="1131"/>
      <c r="C106" s="1131">
        <v>30.241980000000002</v>
      </c>
      <c r="D106" s="1131"/>
      <c r="E106" s="1128">
        <v>20.61</v>
      </c>
      <c r="F106" s="1128"/>
      <c r="G106" s="1128">
        <v>20.6</v>
      </c>
      <c r="H106" s="1128"/>
      <c r="I106" s="1126">
        <v>55.3</v>
      </c>
      <c r="J106" s="1126"/>
      <c r="K106" s="1126">
        <v>911</v>
      </c>
      <c r="L106" s="1126"/>
      <c r="M106" s="1154">
        <f>+(((0.34844*'DATOS CORRECCIONES EQUIPOS EMPL'!K54)+'DATOS CORRECCIONES EQUIPOS EMPL'!I54*((-0.00252*'DATOS CORRECCIONES EQUIPOS EMPL'!G54)+0.020582))/('DATOS CORRECCIONES EQUIPOS EMPL'!G54+273.15))/1000</f>
        <v>1.0743605055417132E-3</v>
      </c>
      <c r="N106" s="1155"/>
      <c r="O106" s="1150">
        <f>IF('INCERTIDUMBRE DE LA MEDIDA'!$E$38="Kell",((999.85308+0.0632693*'DATOS CORRECCIONES EQUIPOS EMPL'!E54)-(0.00852393*'DATOS CORRECCIONES EQUIPOS EMPL'!E54^2)+(0.00006943248*'DATOS CORRECCIONES EQUIPOS EMPL'!E54^3)-(0.0000003821216*'DATOS CORRECCIONES EQUIPOS EMPL'!E54^4))/1000,(0.99997495*(1-(('DATOS CORRECCIONES EQUIPOS EMPL'!E54-3.983035)^2*('DATOS CORRECCIONES EQUIPOS EMPL'!E54+301.797))/(522528.9*('DATOS CORRECCIONES EQUIPOS EMPL'!E54+69.34881)))))</f>
        <v>0.99811186734274815</v>
      </c>
      <c r="P106" s="1151"/>
      <c r="Q106" s="1150">
        <f>IF($H$68=$H$165,(C106-A106-$D$41)*(((1/$R$21)*(($R$21-M106)/(O106-M106)))*(1-$F$22*('DATOS CORRECCIONES EQUIPOS EMPL'!$E54-20)))*1000,IF($H$68=$H$164,(C106-A106-$D$41)*(((1/$R$21)*(($R$21-M106)/(O106-M106)))*(1-$F$22*('DATOS CORRECCIONES EQUIPOS EMPL'!$E54-20))),(C106-A106-$D$41)*(((1/$R$21)*(($R$21-M106)/(O106-M106)))*(1-$F$22*('DATOS CORRECCIONES EQUIPOS EMPL'!$E54-20)))/1000))</f>
        <v>1003.6611436662719</v>
      </c>
      <c r="R106" s="1151"/>
      <c r="S106" s="1159">
        <f t="shared" si="15"/>
        <v>3.6611436662718688</v>
      </c>
      <c r="T106" s="1159"/>
      <c r="U106" s="406">
        <f>+(1*(0.0632693*'DATOS CORRECCIONES EQUIPOS EMPL'!E54^0)-2*(0.00852393*'DATOS CORRECCIONES EQUIPOS EMPL'!E54^1)+3*(0.00006943248*'DATOS CORRECCIONES EQUIPOS EMPL'!E54^2)-4*(0.0000003821216*'DATOS CORRECCIONES EQUIPOS EMPL'!E54^3))/1000</f>
        <v>-2.1136500188492365E-4</v>
      </c>
      <c r="V106" s="485"/>
      <c r="W106" s="574" t="str">
        <f t="shared" si="16"/>
        <v>ok</v>
      </c>
      <c r="X106" s="570" t="str">
        <f t="shared" si="17"/>
        <v>ok</v>
      </c>
      <c r="Y106" s="570" t="str">
        <f t="shared" si="18"/>
        <v>ok</v>
      </c>
      <c r="Z106" s="570" t="str">
        <f t="shared" si="19"/>
        <v>ok</v>
      </c>
      <c r="AA106" s="570" t="str">
        <f t="shared" si="20"/>
        <v>ok</v>
      </c>
    </row>
    <row r="107" spans="1:28" ht="11.25" customHeight="1" x14ac:dyDescent="0.2">
      <c r="A107" s="1131">
        <v>30.241980000000002</v>
      </c>
      <c r="B107" s="1131"/>
      <c r="C107" s="1131">
        <v>31.242290000000001</v>
      </c>
      <c r="D107" s="1131"/>
      <c r="E107" s="1128">
        <v>20.65</v>
      </c>
      <c r="F107" s="1128"/>
      <c r="G107" s="1128">
        <v>20.6</v>
      </c>
      <c r="H107" s="1128"/>
      <c r="I107" s="1126">
        <v>55.8</v>
      </c>
      <c r="J107" s="1126"/>
      <c r="K107" s="1126">
        <v>911</v>
      </c>
      <c r="L107" s="1126"/>
      <c r="M107" s="1154">
        <f>+(((0.34844*'DATOS CORRECCIONES EQUIPOS EMPL'!K55)+'DATOS CORRECCIONES EQUIPOS EMPL'!I55*((-0.00252*'DATOS CORRECCIONES EQUIPOS EMPL'!G55)+0.020582))/('DATOS CORRECCIONES EQUIPOS EMPL'!G55+273.15))/1000</f>
        <v>1.0743025084702412E-3</v>
      </c>
      <c r="N107" s="1155"/>
      <c r="O107" s="1150">
        <f>IF('INCERTIDUMBRE DE LA MEDIDA'!$E$38="Kell",((999.85308+0.0632693*'DATOS CORRECCIONES EQUIPOS EMPL'!E55)-(0.00852393*'DATOS CORRECCIONES EQUIPOS EMPL'!E55^2)+(0.00006943248*'DATOS CORRECCIONES EQUIPOS EMPL'!E55^3)-(0.0000003821216*'DATOS CORRECCIONES EQUIPOS EMPL'!E55^4))/1000,(0.99997495*(1-(('DATOS CORRECCIONES EQUIPOS EMPL'!E55-3.983035)^2*('DATOS CORRECCIONES EQUIPOS EMPL'!E55+301.797))/(522528.9*('DATOS CORRECCIONES EQUIPOS EMPL'!E55+69.34881)))))</f>
        <v>0.99810340514744544</v>
      </c>
      <c r="P107" s="1151"/>
      <c r="Q107" s="1150">
        <f>IF($H$68=$H$165,(C107-A107-$D$41)*(((1/$R$21)*(($R$21-M107)/(O107-M107)))*(1-$F$22*('DATOS CORRECCIONES EQUIPOS EMPL'!$E55-20)))*1000,IF($H$68=$H$164,(C107-A107-$D$41)*(((1/$R$21)*(($R$21-M107)/(O107-M107)))*(1-$F$22*('DATOS CORRECCIONES EQUIPOS EMPL'!$E55-20))),(C107-A107-$D$41)*(((1/$R$21)*(($R$21-M107)/(O107-M107)))*(1-$F$22*('DATOS CORRECCIONES EQUIPOS EMPL'!$E55-20)))/1000))</f>
        <v>1003.0382810351073</v>
      </c>
      <c r="R107" s="1151"/>
      <c r="S107" s="1159">
        <f t="shared" si="15"/>
        <v>3.0382810351072749</v>
      </c>
      <c r="T107" s="1159"/>
      <c r="U107" s="406">
        <f>+(1*(0.0632693*'DATOS CORRECCIONES EQUIPOS EMPL'!E55^0)-2*(0.00852393*'DATOS CORRECCIONES EQUIPOS EMPL'!E55^1)+3*(0.00006943248*'DATOS CORRECCIONES EQUIPOS EMPL'!E55^2)-4*(0.0000003821216*'DATOS CORRECCIONES EQUIPOS EMPL'!E55^3))/1000</f>
        <v>-2.1178279921244098E-4</v>
      </c>
      <c r="V107" s="485"/>
      <c r="W107" s="574" t="str">
        <f t="shared" si="16"/>
        <v>ok</v>
      </c>
      <c r="X107" s="570" t="str">
        <f t="shared" si="17"/>
        <v>ok</v>
      </c>
      <c r="Y107" s="570" t="str">
        <f t="shared" si="18"/>
        <v>ok</v>
      </c>
      <c r="Z107" s="570" t="str">
        <f t="shared" si="19"/>
        <v>ok</v>
      </c>
      <c r="AA107" s="570" t="str">
        <f t="shared" si="20"/>
        <v>ok</v>
      </c>
    </row>
    <row r="108" spans="1:28" x14ac:dyDescent="0.2">
      <c r="A108" s="1131">
        <v>31.242290000000001</v>
      </c>
      <c r="B108" s="1131"/>
      <c r="C108" s="1131">
        <v>32.244810000000001</v>
      </c>
      <c r="D108" s="1131"/>
      <c r="E108" s="1128">
        <v>20.64</v>
      </c>
      <c r="F108" s="1128"/>
      <c r="G108" s="1128">
        <v>20.6</v>
      </c>
      <c r="H108" s="1128"/>
      <c r="I108" s="1126">
        <v>55.8</v>
      </c>
      <c r="J108" s="1126"/>
      <c r="K108" s="1126">
        <v>911</v>
      </c>
      <c r="L108" s="1126"/>
      <c r="M108" s="1154">
        <f>+(((0.34844*'DATOS CORRECCIONES EQUIPOS EMPL'!K56)+'DATOS CORRECCIONES EQUIPOS EMPL'!I56*((-0.00252*'DATOS CORRECCIONES EQUIPOS EMPL'!G56)+0.020582))/('DATOS CORRECCIONES EQUIPOS EMPL'!G56+273.15))/1000</f>
        <v>1.0743025084702412E-3</v>
      </c>
      <c r="N108" s="1155"/>
      <c r="O108" s="1150">
        <f>IF('INCERTIDUMBRE DE LA MEDIDA'!$E$38="Kell",((999.85308+0.0632693*'DATOS CORRECCIONES EQUIPOS EMPL'!E56)-(0.00852393*'DATOS CORRECCIONES EQUIPOS EMPL'!E56^2)+(0.00006943248*'DATOS CORRECCIONES EQUIPOS EMPL'!E56^3)-(0.0000003821216*'DATOS CORRECCIONES EQUIPOS EMPL'!E56^4))/1000,(0.99997495*(1-(('DATOS CORRECCIONES EQUIPOS EMPL'!E56-3.983035)^2*('DATOS CORRECCIONES EQUIPOS EMPL'!E56+301.797))/(522528.9*('DATOS CORRECCIONES EQUIPOS EMPL'!E56+69.34881)))))</f>
        <v>0.99810552224850135</v>
      </c>
      <c r="P108" s="1151"/>
      <c r="Q108" s="1150">
        <f>IF($H$68=$H$165,(C108-A108-$D$41)*(((1/$R$21)*(($R$21-M108)/(O108-M108)))*(1-$F$22*('DATOS CORRECCIONES EQUIPOS EMPL'!$E56-20)))*1000,IF($H$68=$H$164,(C108-A108-$D$41)*(((1/$R$21)*(($R$21-M108)/(O108-M108)))*(1-$F$22*('DATOS CORRECCIONES EQUIPOS EMPL'!$E56-20))),(C108-A108-$D$41)*(((1/$R$21)*(($R$21-M108)/(O108-M108)))*(1-$F$22*('DATOS CORRECCIONES EQUIPOS EMPL'!$E56-20)))/1000))</f>
        <v>1005.2545835528792</v>
      </c>
      <c r="R108" s="1151"/>
      <c r="S108" s="1159">
        <f t="shared" si="15"/>
        <v>5.2545835528792395</v>
      </c>
      <c r="T108" s="1159"/>
      <c r="U108" s="406">
        <f>+(1*(0.0632693*'DATOS CORRECCIONES EQUIPOS EMPL'!E56^0)-2*(0.00852393*'DATOS CORRECCIONES EQUIPOS EMPL'!E56^1)+3*(0.00006943248*'DATOS CORRECCIONES EQUIPOS EMPL'!E56^2)-4*(0.0000003821216*'DATOS CORRECCIONES EQUIPOS EMPL'!E56^3))/1000</f>
        <v>-2.1167838488638665E-4</v>
      </c>
      <c r="V108" s="485"/>
      <c r="W108" s="574" t="str">
        <f t="shared" si="16"/>
        <v>ok</v>
      </c>
      <c r="X108" s="570" t="str">
        <f t="shared" si="17"/>
        <v>ok</v>
      </c>
      <c r="Y108" s="570" t="str">
        <f t="shared" si="18"/>
        <v>ok</v>
      </c>
      <c r="Z108" s="570" t="str">
        <f t="shared" si="19"/>
        <v>ok</v>
      </c>
      <c r="AA108" s="570" t="str">
        <f t="shared" si="20"/>
        <v>ok</v>
      </c>
    </row>
    <row r="109" spans="1:28" x14ac:dyDescent="0.2">
      <c r="A109" s="1131">
        <v>32.244810000000001</v>
      </c>
      <c r="B109" s="1131"/>
      <c r="C109" s="1131">
        <v>33.246049999999997</v>
      </c>
      <c r="D109" s="1131"/>
      <c r="E109" s="1128">
        <v>20.63</v>
      </c>
      <c r="F109" s="1128"/>
      <c r="G109" s="1128">
        <v>20.6</v>
      </c>
      <c r="H109" s="1128"/>
      <c r="I109" s="1126">
        <v>56</v>
      </c>
      <c r="J109" s="1126"/>
      <c r="K109" s="1126">
        <v>910</v>
      </c>
      <c r="L109" s="1126"/>
      <c r="M109" s="1154">
        <f>+(((0.34844*'DATOS CORRECCIONES EQUIPOS EMPL'!K57)+'DATOS CORRECCIONES EQUIPOS EMPL'!I57*((-0.00252*'DATOS CORRECCIONES EQUIPOS EMPL'!G57)+0.020582))/('DATOS CORRECCIONES EQUIPOS EMPL'!G57+273.15))/1000</f>
        <v>1.0730983192280214E-3</v>
      </c>
      <c r="N109" s="1155"/>
      <c r="O109" s="1150">
        <f>IF('INCERTIDUMBRE DE LA MEDIDA'!$E$38="Kell",((999.85308+0.0632693*'DATOS CORRECCIONES EQUIPOS EMPL'!E57)-(0.00852393*'DATOS CORRECCIONES EQUIPOS EMPL'!E57^2)+(0.00006943248*'DATOS CORRECCIONES EQUIPOS EMPL'!E57^3)-(0.0000003821216*'DATOS CORRECCIONES EQUIPOS EMPL'!E57^4))/1000,(0.99997495*(1-(('DATOS CORRECCIONES EQUIPOS EMPL'!E57-3.983035)^2*('DATOS CORRECCIONES EQUIPOS EMPL'!E57+301.797))/(522528.9*('DATOS CORRECCIONES EQUIPOS EMPL'!E57+69.34881)))))</f>
        <v>0.99810763831489302</v>
      </c>
      <c r="P109" s="1151"/>
      <c r="Q109" s="1150">
        <f>IF($H$68=$H$165,(C109-A109-$D$41)*(((1/$R$21)*(($R$21-M109)/(O109-M109)))*(1-$F$22*('DATOS CORRECCIONES EQUIPOS EMPL'!$E57-20)))*1000,IF($H$68=$H$164,(C109-A109-$D$41)*(((1/$R$21)*(($R$21-M109)/(O109-M109)))*(1-$F$22*('DATOS CORRECCIONES EQUIPOS EMPL'!$E57-20))),(C109-A109-$D$41)*(((1/$R$21)*(($R$21-M109)/(O109-M109)))*(1-$F$22*('DATOS CORRECCIONES EQUIPOS EMPL'!$E57-20)))/1000))</f>
        <v>1003.9703139888665</v>
      </c>
      <c r="R109" s="1151"/>
      <c r="S109" s="1159">
        <f t="shared" si="15"/>
        <v>3.9703139888664509</v>
      </c>
      <c r="T109" s="1159"/>
      <c r="U109" s="406">
        <f>+(1*(0.0632693*'DATOS CORRECCIONES EQUIPOS EMPL'!E57^0)-2*(0.00852393*'DATOS CORRECCIONES EQUIPOS EMPL'!E57^1)+3*(0.00006943248*'DATOS CORRECCIONES EQUIPOS EMPL'!E57^2)-4*(0.0000003821216*'DATOS CORRECCIONES EQUIPOS EMPL'!E57^3))/1000</f>
        <v>-2.1157394722942955E-4</v>
      </c>
      <c r="V109" s="485"/>
      <c r="W109" s="574" t="str">
        <f t="shared" si="16"/>
        <v>ok</v>
      </c>
      <c r="X109" s="570" t="str">
        <f t="shared" si="17"/>
        <v>ok</v>
      </c>
      <c r="Y109" s="570" t="str">
        <f t="shared" si="18"/>
        <v>ok</v>
      </c>
      <c r="Z109" s="570" t="str">
        <f t="shared" si="19"/>
        <v>ok</v>
      </c>
      <c r="AA109" s="570" t="str">
        <f t="shared" si="20"/>
        <v>ok</v>
      </c>
    </row>
    <row r="110" spans="1:28" x14ac:dyDescent="0.2">
      <c r="A110" s="1131">
        <v>33.246049999999997</v>
      </c>
      <c r="B110" s="1131"/>
      <c r="C110" s="1131">
        <v>34.248910000000002</v>
      </c>
      <c r="D110" s="1131"/>
      <c r="E110" s="1128">
        <v>20.61</v>
      </c>
      <c r="F110" s="1128"/>
      <c r="G110" s="1128">
        <v>20.6</v>
      </c>
      <c r="H110" s="1128"/>
      <c r="I110" s="1126">
        <v>55.7</v>
      </c>
      <c r="J110" s="1126"/>
      <c r="K110" s="1126">
        <v>910</v>
      </c>
      <c r="L110" s="1126"/>
      <c r="M110" s="1154">
        <f>+(((0.34844*'DATOS CORRECCIONES EQUIPOS EMPL'!K58)+'DATOS CORRECCIONES EQUIPOS EMPL'!I58*((-0.00252*'DATOS CORRECCIONES EQUIPOS EMPL'!G58)+0.020582))/('DATOS CORRECCIONES EQUIPOS EMPL'!G58+273.15))/1000</f>
        <v>1.0731330933498654E-3</v>
      </c>
      <c r="N110" s="1155"/>
      <c r="O110" s="1150">
        <f>IF('INCERTIDUMBRE DE LA MEDIDA'!$E$38="Kell",((999.85308+0.0632693*'DATOS CORRECCIONES EQUIPOS EMPL'!E58)-(0.00852393*'DATOS CORRECCIONES EQUIPOS EMPL'!E58^2)+(0.00006943248*'DATOS CORRECCIONES EQUIPOS EMPL'!E58^3)-(0.0000003821216*'DATOS CORRECCIONES EQUIPOS EMPL'!E58^4))/1000,(0.99997495*(1-(('DATOS CORRECCIONES EQUIPOS EMPL'!E58-3.983035)^2*('DATOS CORRECCIONES EQUIPOS EMPL'!E58+301.797))/(522528.9*('DATOS CORRECCIONES EQUIPOS EMPL'!E58+69.34881)))))</f>
        <v>0.99811186734274815</v>
      </c>
      <c r="P110" s="1151"/>
      <c r="Q110" s="1150">
        <f>IF($H$68=$H$165,(C110-A110-$D$41)*(((1/$R$21)*(($R$21-M110)/(O110-M110)))*(1-$F$22*('DATOS CORRECCIONES EQUIPOS EMPL'!$E58-20)))*1000,IF($H$68=$H$164,(C110-A110-$D$41)*(((1/$R$21)*(($R$21-M110)/(O110-M110)))*(1-$F$22*('DATOS CORRECCIONES EQUIPOS EMPL'!$E58-20))),(C110-A110-$D$41)*(((1/$R$21)*(($R$21-M110)/(O110-M110)))*(1-$F$22*('DATOS CORRECCIONES EQUIPOS EMPL'!$E58-20)))/1000))</f>
        <v>1005.5953231430743</v>
      </c>
      <c r="R110" s="1151"/>
      <c r="S110" s="1159">
        <f t="shared" si="15"/>
        <v>5.5953231430743244</v>
      </c>
      <c r="T110" s="1159"/>
      <c r="U110" s="406">
        <f>+(1*(0.0632693*'DATOS CORRECCIONES EQUIPOS EMPL'!E58^0)-2*(0.00852393*'DATOS CORRECCIONES EQUIPOS EMPL'!E58^1)+3*(0.00006943248*'DATOS CORRECCIONES EQUIPOS EMPL'!E58^2)-4*(0.0000003821216*'DATOS CORRECCIONES EQUIPOS EMPL'!E58^3))/1000</f>
        <v>-2.1136500188492365E-4</v>
      </c>
      <c r="V110" s="485"/>
      <c r="W110" s="574" t="str">
        <f t="shared" si="16"/>
        <v>ok</v>
      </c>
      <c r="X110" s="570" t="str">
        <f t="shared" si="17"/>
        <v>ok</v>
      </c>
      <c r="Y110" s="570" t="str">
        <f t="shared" si="18"/>
        <v>ok</v>
      </c>
      <c r="Z110" s="570" t="str">
        <f t="shared" si="19"/>
        <v>ok</v>
      </c>
      <c r="AA110" s="570" t="str">
        <f t="shared" si="20"/>
        <v>ok</v>
      </c>
    </row>
    <row r="111" spans="1:28" ht="12" customHeight="1" x14ac:dyDescent="0.2">
      <c r="A111" s="1131">
        <v>34.248910000000002</v>
      </c>
      <c r="B111" s="1131"/>
      <c r="C111" s="1131">
        <v>35.251510000000003</v>
      </c>
      <c r="D111" s="1131"/>
      <c r="E111" s="1128">
        <v>20.61</v>
      </c>
      <c r="F111" s="1128"/>
      <c r="G111" s="1128">
        <v>20.6</v>
      </c>
      <c r="H111" s="1128"/>
      <c r="I111" s="1126">
        <v>54.9</v>
      </c>
      <c r="J111" s="1126"/>
      <c r="K111" s="1126">
        <v>910</v>
      </c>
      <c r="L111" s="1126"/>
      <c r="M111" s="1154">
        <f>+(((0.34844*'DATOS CORRECCIONES EQUIPOS EMPL'!K59)+'DATOS CORRECCIONES EQUIPOS EMPL'!I59*((-0.00252*'DATOS CORRECCIONES EQUIPOS EMPL'!G59)+0.020582))/('DATOS CORRECCIONES EQUIPOS EMPL'!G59+273.15))/1000</f>
        <v>1.0732259422665301E-3</v>
      </c>
      <c r="N111" s="1155"/>
      <c r="O111" s="1150">
        <f>IF('INCERTIDUMBRE DE LA MEDIDA'!$E$38="Kell",((999.85308+0.0632693*'DATOS CORRECCIONES EQUIPOS EMPL'!E59)-(0.00852393*'DATOS CORRECCIONES EQUIPOS EMPL'!E59^2)+(0.00006943248*'DATOS CORRECCIONES EQUIPOS EMPL'!E59^3)-(0.0000003821216*'DATOS CORRECCIONES EQUIPOS EMPL'!E59^4))/1000,(0.99997495*(1-(('DATOS CORRECCIONES EQUIPOS EMPL'!E59-3.983035)^2*('DATOS CORRECCIONES EQUIPOS EMPL'!E59+301.797))/(522528.9*('DATOS CORRECCIONES EQUIPOS EMPL'!E59+69.34881)))))</f>
        <v>0.99811186734274815</v>
      </c>
      <c r="P111" s="1151"/>
      <c r="Q111" s="1150">
        <f>IF($H$68=$H$165,(C111-A111-$D$41)*(((1/$R$21)*(($R$21-M111)/(O111-M111)))*(1-$F$22*('DATOS CORRECCIONES EQUIPOS EMPL'!$E59-20)))*1000,IF($H$68=$H$164,(C111-A111-$D$41)*(((1/$R$21)*(($R$21-M111)/(O111-M111)))*(1-$F$22*('DATOS CORRECCIONES EQUIPOS EMPL'!$E59-20))),(C111-A111-$D$41)*(((1/$R$21)*(($R$21-M111)/(O111-M111)))*(1-$F$22*('DATOS CORRECCIONES EQUIPOS EMPL'!$E59-20)))/1000))</f>
        <v>1005.3346964004006</v>
      </c>
      <c r="R111" s="1151"/>
      <c r="S111" s="1159">
        <f t="shared" si="15"/>
        <v>5.3346964004006168</v>
      </c>
      <c r="T111" s="1159"/>
      <c r="U111" s="406">
        <f>+(1*(0.0632693*'DATOS CORRECCIONES EQUIPOS EMPL'!E59^0)-2*(0.00852393*'DATOS CORRECCIONES EQUIPOS EMPL'!E59^1)+3*(0.00006943248*'DATOS CORRECCIONES EQUIPOS EMPL'!E59^2)-4*(0.0000003821216*'DATOS CORRECCIONES EQUIPOS EMPL'!E59^3))/1000</f>
        <v>-2.1136500188492365E-4</v>
      </c>
      <c r="V111" s="485"/>
      <c r="W111" s="574" t="str">
        <f t="shared" si="16"/>
        <v>ok</v>
      </c>
      <c r="X111" s="570" t="str">
        <f t="shared" si="17"/>
        <v>ok</v>
      </c>
      <c r="Y111" s="570" t="str">
        <f t="shared" si="18"/>
        <v>ok</v>
      </c>
      <c r="Z111" s="570" t="str">
        <f t="shared" si="19"/>
        <v>ok</v>
      </c>
      <c r="AA111" s="570" t="str">
        <f t="shared" si="20"/>
        <v>ok</v>
      </c>
    </row>
    <row r="112" spans="1:28" x14ac:dyDescent="0.2">
      <c r="A112" s="1213">
        <f>IF(ISBLANK(A102)," ",AVERAGE(A102:B111))</f>
        <v>29.741194000000007</v>
      </c>
      <c r="B112" s="1213"/>
      <c r="C112" s="1213">
        <f>IF(ISBLANK(C102)," ",AVERAGE(C102:D111))</f>
        <v>30.742905999999998</v>
      </c>
      <c r="D112" s="1213"/>
      <c r="E112" s="1132">
        <f>IF(ISBLANK(E102)," ",AVERAGE(E102:F111))</f>
        <v>20.639000000000003</v>
      </c>
      <c r="F112" s="1132"/>
      <c r="G112" s="1132">
        <f>IF(ISBLANK(G102)," ",AVERAGE(G102:H111))</f>
        <v>20.599999999999998</v>
      </c>
      <c r="H112" s="1132"/>
      <c r="I112" s="1183">
        <f>IF(ISBLANK(I102)," ",AVERAGE(I102:J111))</f>
        <v>55.38000000000001</v>
      </c>
      <c r="J112" s="1184"/>
      <c r="K112" s="1132">
        <f>IF(ISBLANK(K102)," ",AVERAGE(K102:L111))</f>
        <v>910.4</v>
      </c>
      <c r="L112" s="1132"/>
      <c r="M112" s="1156">
        <f>IF(ISBLANK(K102)," ",AVERAGE(M102:N111))</f>
        <v>1.0736426456986997E-3</v>
      </c>
      <c r="N112" s="1156"/>
      <c r="O112" s="1132">
        <f>IF(ISBLANK(K102)," ",AVERAGE(O102:P111))</f>
        <v>0.99810573126845648</v>
      </c>
      <c r="P112" s="1132"/>
      <c r="Q112" s="1132">
        <f>AVERAGE(Q102:R111)</f>
        <v>1004.4438303975805</v>
      </c>
      <c r="R112" s="1132"/>
      <c r="S112" s="1132">
        <f>AVERAGE(S102:T111)</f>
        <v>4.4438303975805526</v>
      </c>
      <c r="T112" s="1132"/>
      <c r="U112" s="407">
        <f>AVERAGE(U102:V111)</f>
        <v>-2.1166788279248643E-4</v>
      </c>
      <c r="V112" s="486">
        <f>('INCERTIDUMBRE DE LA MEDIDA'!P185)</f>
        <v>1.6131149</v>
      </c>
      <c r="W112" s="1157" t="str">
        <f>IF(D24=A164,"Revisado OK",IF(LEN(W102)+LEN(W103)+LEN(W104)+LEN(W105)+LEN(W106)+LEN(W107)+LEN(W108)+LEN(W109)+LEN(W110)+LEN(W111)+LEN(X102)+LEN(X103)+LEN(X104)+LEN(X105)+LEN(X106)+LEN(X107)+LEN(X108)+LEN(X109)+LEN(X110)+LEN(X111)+LEN(Y102)+LEN(Y103)+LEN(Y104)+LEN(Y105)+LEN(Y106)+LEN(Y107)+LEN(Y108)+LEN(Y109)+LEN(Y110)+LEN(Y111)+LEN(Z102)+LEN(Z103)+LEN(Z104)+LEN(Z105)+LEN(Z106)+LEN(Z107)+LEN(Z108)+LEN(Z109)+LEN(Z110)+LEN(Z111)+LEN(AA102)+LEN(AA103)+LEN(AA104)+LEN(AA105)+LEN(AA106)+LEN(AA107)+LEN(AA108)+LEN(AA109)+LEN(AA110)+LEN(AA111)=100,"Revisado OK","Revisar"))</f>
        <v>Revisado OK</v>
      </c>
      <c r="X112" s="1158"/>
      <c r="Y112" s="1158"/>
      <c r="Z112" s="1158"/>
      <c r="AA112" s="619" t="str">
        <f>IFERROR(W112,1)</f>
        <v>Revisado OK</v>
      </c>
    </row>
    <row r="113" spans="1:28" x14ac:dyDescent="0.2">
      <c r="A113" s="137"/>
      <c r="B113" s="137"/>
      <c r="C113" s="1134">
        <f>ABS(S112)</f>
        <v>4.4438303975805526</v>
      </c>
      <c r="D113" s="1134"/>
      <c r="E113" s="1134">
        <f>MAX(E102:E111)-MIN(E102:E111)</f>
        <v>7.0000000000000284E-2</v>
      </c>
      <c r="F113" s="1134"/>
      <c r="G113" s="1134">
        <f>MAX(G102:G111)-MIN(G102:G111)</f>
        <v>0</v>
      </c>
      <c r="H113" s="1134"/>
      <c r="I113" s="1134">
        <f>MAX(I102:I111)-MIN(I102:I111)</f>
        <v>1.5</v>
      </c>
      <c r="J113" s="1134"/>
      <c r="K113" s="1134">
        <f>MAX(K102:K111)-MIN(K102:K111)</f>
        <v>1</v>
      </c>
      <c r="L113" s="1134"/>
      <c r="Q113" s="1152" t="str">
        <f>CONCATENATE("CV ",$H$68)</f>
        <v>CV µL</v>
      </c>
      <c r="R113" s="1153"/>
      <c r="S113" s="1178">
        <f>STDEVA(S102:T111)</f>
        <v>0.95650920825827923</v>
      </c>
      <c r="T113" s="1178"/>
      <c r="U113" s="187" t="s">
        <v>271</v>
      </c>
      <c r="V113" s="289">
        <f>ABS(IF(H21=Q163,(S113*100/Q112)*(F100/M21),IF(H21=Q164,(S113*100/Q112),"")))</f>
        <v>9.5227744878444057E-2</v>
      </c>
      <c r="W113" s="1117" t="s">
        <v>539</v>
      </c>
      <c r="X113" s="1118"/>
      <c r="Y113" s="1118"/>
      <c r="Z113" s="1118"/>
      <c r="AA113" s="1119"/>
    </row>
    <row r="114" spans="1:28" x14ac:dyDescent="0.2">
      <c r="A114" s="137"/>
      <c r="B114" s="137"/>
      <c r="C114" s="137"/>
      <c r="Q114" s="1152" t="str">
        <f>CONCATENATE("E ",$H$68)</f>
        <v>E µL</v>
      </c>
      <c r="R114" s="1153"/>
      <c r="S114" s="1179">
        <f>Q112-F100</f>
        <v>4.4438303975805411</v>
      </c>
      <c r="T114" s="1179"/>
      <c r="U114" s="187" t="s">
        <v>274</v>
      </c>
      <c r="V114" s="290">
        <f>ABS(IF(H21=Q163,S114*100/M21,IF(H21=Q164,S114*100/K21,"")))</f>
        <v>0.4443830397580541</v>
      </c>
    </row>
    <row r="115" spans="1:28" ht="15.75" customHeight="1" thickBot="1" x14ac:dyDescent="0.25">
      <c r="Q115" s="1239" t="s">
        <v>462</v>
      </c>
      <c r="R115" s="1240"/>
      <c r="S115" s="1241" t="str">
        <f>IF(ISBLANK($Q$22),"",IF($N$24="simple",IF(AND(ABS(S114)&lt;=$Q$22,S113&lt;=$Q$23,R116&gt;=3),"Cumple","No Cumple"),IF($N$24="Conservadora",IF(AND(ABS(S114)+V112&lt;=$Q$22,S113&lt;=$Q$23),"Cumple","No Cumple"),"N.A.")))</f>
        <v>N.A.</v>
      </c>
      <c r="T115" s="1242"/>
      <c r="U115" s="1056" t="s">
        <v>698</v>
      </c>
      <c r="V115" s="1057">
        <f>(_xlfn.NORM.DIST($Q$22,S114,V112/'INCERTIDUMBRE DE LA MEDIDA'!P184,1)-_xlfn.NORM.DIST(-$Q$22,S114,V112/'INCERTIDUMBRE DE LA MEDIDA'!P184,1))</f>
        <v>0.99999550007369142</v>
      </c>
      <c r="W115" s="1050" t="s">
        <v>699</v>
      </c>
      <c r="X115" s="1051">
        <f>1-(_xlfn.NORM.DIST($Q$22,S114,V112/'INCERTIDUMBRE DE LA MEDIDA'!P184,1)-_xlfn.NORM.DIST(-$Q$22,S114,V112/'INCERTIDUMBRE DE LA MEDIDA'!P184,1))</f>
        <v>4.4999263085765406E-6</v>
      </c>
    </row>
    <row r="116" spans="1:28" ht="18" customHeight="1" thickBot="1" x14ac:dyDescent="0.25">
      <c r="C116" s="1135" t="s">
        <v>63</v>
      </c>
      <c r="D116" s="1136"/>
      <c r="E116" s="1137"/>
      <c r="F116" s="1129"/>
      <c r="G116" s="1130"/>
      <c r="H116" s="1033"/>
      <c r="P116" s="188">
        <f>$Q$22/V112</f>
        <v>4.9593491449369171</v>
      </c>
      <c r="Q116" s="1052" t="s">
        <v>581</v>
      </c>
      <c r="R116" s="1053">
        <f>$Q$22/V112</f>
        <v>4.9593491449369171</v>
      </c>
      <c r="S116" s="1171" t="str">
        <f>IF(V112&lt;=$Q$22/3,"ok","Revisar TUR")</f>
        <v>ok</v>
      </c>
      <c r="T116" s="1171"/>
      <c r="U116" s="1060"/>
      <c r="V116" s="1061"/>
      <c r="W116" s="1062">
        <v>4</v>
      </c>
    </row>
    <row r="117" spans="1:28" s="136" customFormat="1" ht="39" hidden="1" thickBot="1" x14ac:dyDescent="0.25">
      <c r="A117" s="1127" t="s">
        <v>73</v>
      </c>
      <c r="B117" s="1127"/>
      <c r="C117" s="1127" t="s">
        <v>74</v>
      </c>
      <c r="D117" s="1127"/>
      <c r="E117" s="1127" t="s">
        <v>75</v>
      </c>
      <c r="F117" s="1127"/>
      <c r="G117" s="1127" t="s">
        <v>172</v>
      </c>
      <c r="H117" s="1127"/>
      <c r="I117" s="1182" t="s">
        <v>174</v>
      </c>
      <c r="J117" s="1182"/>
      <c r="K117" s="1366" t="s">
        <v>726</v>
      </c>
      <c r="L117" s="1366"/>
      <c r="M117" s="1175" t="s">
        <v>76</v>
      </c>
      <c r="N117" s="1185"/>
      <c r="O117" s="1175" t="s">
        <v>77</v>
      </c>
      <c r="P117" s="1176"/>
      <c r="Q117" s="1149" t="str">
        <f>CONCATENATE("Volumen calculado","[",H116,"]")</f>
        <v>Volumen calculado[]</v>
      </c>
      <c r="R117" s="1149"/>
      <c r="S117" s="1149" t="str">
        <f>CONCATENATE("Error  del IBP","[",H116,"]")</f>
        <v>Error  del IBP[]</v>
      </c>
      <c r="T117" s="1149"/>
      <c r="U117" s="1058"/>
      <c r="V117" s="1059" t="str">
        <f>CONCATENATE("Incertidumbre"," [", $H$68,"]")</f>
        <v>Incertidumbre [µL]</v>
      </c>
      <c r="W117" s="569" t="s">
        <v>727</v>
      </c>
      <c r="X117" s="569" t="s">
        <v>728</v>
      </c>
      <c r="Y117" s="569" t="s">
        <v>729</v>
      </c>
      <c r="Z117" s="569" t="s">
        <v>730</v>
      </c>
      <c r="AA117" s="569" t="s">
        <v>731</v>
      </c>
    </row>
    <row r="118" spans="1:28" ht="13.5" hidden="1" thickBot="1" x14ac:dyDescent="0.25">
      <c r="A118" s="1345"/>
      <c r="B118" s="1346"/>
      <c r="C118" s="1345"/>
      <c r="D118" s="1346"/>
      <c r="E118" s="1180"/>
      <c r="F118" s="1181"/>
      <c r="G118" s="1180"/>
      <c r="H118" s="1181"/>
      <c r="I118" s="1173"/>
      <c r="J118" s="1174"/>
      <c r="K118" s="1173"/>
      <c r="L118" s="1174"/>
      <c r="M118" s="1154" t="e">
        <f>+(((0.34844*'DATOS CORRECCIONES EQUIPOS EMPL'!K68)+'DATOS CORRECCIONES EQUIPOS EMPL'!I68*((-0.00252*'DATOS CORRECCIONES EQUIPOS EMPL'!G68)+0.020582))/('DATOS CORRECCIONES EQUIPOS EMPL'!G68+273.15))/1000</f>
        <v>#VALUE!</v>
      </c>
      <c r="N118" s="1155"/>
      <c r="O118" s="1150" t="e">
        <f>IF('INCERTIDUMBRE DE LA MEDIDA'!$E$38="Kell",((999.85308+0.0632693*'DATOS CORRECCIONES EQUIPOS EMPL'!E68)-(0.00852393*'DATOS CORRECCIONES EQUIPOS EMPL'!E68^2)+(0.00006943248*'DATOS CORRECCIONES EQUIPOS EMPL'!E68^3)-(0.0000003821216*'DATOS CORRECCIONES EQUIPOS EMPL'!E68^4))/1000,(0.99997495*(1-(('DATOS CORRECCIONES EQUIPOS EMPL'!E68-3.983035)^2*('DATOS CORRECCIONES EQUIPOS EMPL'!E68+301.797))/(522528.9*('DATOS CORRECCIONES EQUIPOS EMPL'!E68+69.34881)))))</f>
        <v>#VALUE!</v>
      </c>
      <c r="P118" s="1151"/>
      <c r="Q118" s="1150" t="e">
        <f>IF($H$68=$H$165,(C118-A118-$D$41)*(((1/$R$21)*(($R$21-M118)/(O118-M118)))*(1-$F$22*('DATOS CORRECCIONES EQUIPOS EMPL'!$E68-20)))*1000,IF($H$68=$H$164,(C118-A118-$D$41)*(((1/$R$21)*(($R$21-M118)/(O118-M118)))*(1-$F$22*('DATOS CORRECCIONES EQUIPOS EMPL'!$E68-20))),(C118-A118-$D$41)*(((1/$R$21)*(($R$21-M118)/(O118-M118)))*(1-$F$22*('DATOS CORRECCIONES EQUIPOS EMPL'!$E68-20)))/1000))</f>
        <v>#VALUE!</v>
      </c>
      <c r="R118" s="1151"/>
      <c r="S118" s="1164" t="e">
        <f>Q118-$F$116</f>
        <v>#VALUE!</v>
      </c>
      <c r="T118" s="1165"/>
      <c r="U118" s="406" t="e">
        <f>+(1*(0.0632693*'DATOS CORRECCIONES EQUIPOS EMPL'!E68^0)-2*(0.00852393*'DATOS CORRECCIONES EQUIPOS EMPL'!E68^1)+3*(0.00006943248*'DATOS CORRECCIONES EQUIPOS EMPL'!E68^2)-4*(0.0000003821216*'DATOS CORRECCIONES EQUIPOS EMPL'!E68^3))/1000</f>
        <v>#VALUE!</v>
      </c>
      <c r="V118" s="484"/>
      <c r="W118" s="574" t="e">
        <f>IF(ABS(S118)&gt;=$Q$22,"Revisar pesada","ok")</f>
        <v>#VALUE!</v>
      </c>
      <c r="X118" s="570" t="str">
        <f>IF(ABS(E119-$E$70)&lt;=$V$45,"ok","Revisar")</f>
        <v>Revisar</v>
      </c>
      <c r="Y118" s="570" t="str">
        <f>IF(ABS(G118-E118)&gt;=$W$45,"Revisar","ok")</f>
        <v>ok</v>
      </c>
      <c r="Z118" s="570" t="str">
        <f t="shared" ref="Z118:Z127" si="21">IF(ABS(I119-$I$120)&lt;=$X$45,"ok","Revisar")</f>
        <v>ok</v>
      </c>
      <c r="AA118" s="570" t="str">
        <f t="shared" ref="AA118:AA127" si="22">IF(ABS(K119-$K$120)&lt;=$Y$45,"ok","Revisar")</f>
        <v>ok</v>
      </c>
    </row>
    <row r="119" spans="1:28" ht="13.5" hidden="1" thickBot="1" x14ac:dyDescent="0.25">
      <c r="A119" s="1345"/>
      <c r="B119" s="1346"/>
      <c r="C119" s="1345"/>
      <c r="D119" s="1346"/>
      <c r="E119" s="1180"/>
      <c r="F119" s="1181"/>
      <c r="G119" s="1180"/>
      <c r="H119" s="1181"/>
      <c r="I119" s="1173"/>
      <c r="J119" s="1174"/>
      <c r="K119" s="1173"/>
      <c r="L119" s="1174"/>
      <c r="M119" s="1154" t="e">
        <f>+(((0.34844*'DATOS CORRECCIONES EQUIPOS EMPL'!K69)+'DATOS CORRECCIONES EQUIPOS EMPL'!I69*((-0.00252*'DATOS CORRECCIONES EQUIPOS EMPL'!G69)+0.020582))/('DATOS CORRECCIONES EQUIPOS EMPL'!G69+273.15))/1000</f>
        <v>#VALUE!</v>
      </c>
      <c r="N119" s="1155"/>
      <c r="O119" s="1150" t="e">
        <f>IF('INCERTIDUMBRE DE LA MEDIDA'!$E$38="Kell",((999.85308+0.0632693*'DATOS CORRECCIONES EQUIPOS EMPL'!E69)-(0.00852393*'DATOS CORRECCIONES EQUIPOS EMPL'!E69^2)+(0.00006943248*'DATOS CORRECCIONES EQUIPOS EMPL'!E69^3)-(0.0000003821216*'DATOS CORRECCIONES EQUIPOS EMPL'!E69^4))/1000,(0.99997495*(1-(('DATOS CORRECCIONES EQUIPOS EMPL'!E69-3.983035)^2*('DATOS CORRECCIONES EQUIPOS EMPL'!E69+301.797))/(522528.9*('DATOS CORRECCIONES EQUIPOS EMPL'!E69+69.34881)))))</f>
        <v>#VALUE!</v>
      </c>
      <c r="P119" s="1151"/>
      <c r="Q119" s="1150" t="e">
        <f>IF($H$68=$H$165,(C119-A119-$D$41)*(((1/$R$21)*(($R$21-M119)/(O119-M119)))*(1-$F$22*('DATOS CORRECCIONES EQUIPOS EMPL'!$E69-20)))*1000,IF($H$68=$H$164,(C119-A119-$D$41)*(((1/$R$21)*(($R$21-M119)/(O119-M119)))*(1-$F$22*('DATOS CORRECCIONES EQUIPOS EMPL'!$E69-20))),(C119-A119-$D$41)*(((1/$R$21)*(($R$21-M119)/(O119-M119)))*(1-$F$22*('DATOS CORRECCIONES EQUIPOS EMPL'!$E69-20)))/1000))</f>
        <v>#VALUE!</v>
      </c>
      <c r="R119" s="1151"/>
      <c r="S119" s="1164" t="e">
        <f t="shared" ref="S119:S127" si="23">Q119-$F$116</f>
        <v>#VALUE!</v>
      </c>
      <c r="T119" s="1165"/>
      <c r="U119" s="406" t="e">
        <f>+(1*(0.0632693*'DATOS CORRECCIONES EQUIPOS EMPL'!E69^0)-2*(0.00852393*'DATOS CORRECCIONES EQUIPOS EMPL'!E69^1)+3*(0.00006943248*'DATOS CORRECCIONES EQUIPOS EMPL'!E69^2)-4*(0.0000003821216*'DATOS CORRECCIONES EQUIPOS EMPL'!E69^3))/1000</f>
        <v>#VALUE!</v>
      </c>
      <c r="V119" s="485"/>
      <c r="W119" s="574" t="e">
        <f t="shared" ref="W119:W127" si="24">IF(ABS(S119)&gt;=$Q$22,"Revisar pesada","ok")</f>
        <v>#VALUE!</v>
      </c>
      <c r="X119" s="570" t="str">
        <f t="shared" ref="X119:X126" si="25">IF(ABS(E120-$E$70)&lt;=$V$45,"ok","Revisar")</f>
        <v>Revisar</v>
      </c>
      <c r="Y119" s="570" t="str">
        <f t="shared" ref="Y119:Y127" si="26">IF(ABS(G119-E119)&gt;=$W$45,"Revisar","ok")</f>
        <v>ok</v>
      </c>
      <c r="Z119" s="570" t="str">
        <f t="shared" si="21"/>
        <v>ok</v>
      </c>
      <c r="AA119" s="570" t="str">
        <f t="shared" si="22"/>
        <v>ok</v>
      </c>
    </row>
    <row r="120" spans="1:28" ht="13.5" hidden="1" thickBot="1" x14ac:dyDescent="0.25">
      <c r="A120" s="1345"/>
      <c r="B120" s="1346"/>
      <c r="C120" s="1345"/>
      <c r="D120" s="1346"/>
      <c r="E120" s="1180"/>
      <c r="F120" s="1181"/>
      <c r="G120" s="1180"/>
      <c r="H120" s="1181"/>
      <c r="I120" s="1173"/>
      <c r="J120" s="1174"/>
      <c r="K120" s="1173"/>
      <c r="L120" s="1174"/>
      <c r="M120" s="1154" t="e">
        <f>+(((0.34844*'DATOS CORRECCIONES EQUIPOS EMPL'!K70)+'DATOS CORRECCIONES EQUIPOS EMPL'!I70*((-0.00252*'DATOS CORRECCIONES EQUIPOS EMPL'!G70)+0.020582))/('DATOS CORRECCIONES EQUIPOS EMPL'!G70+273.15))/1000</f>
        <v>#VALUE!</v>
      </c>
      <c r="N120" s="1155"/>
      <c r="O120" s="1150" t="e">
        <f>IF('INCERTIDUMBRE DE LA MEDIDA'!$E$38="Kell",((999.85308+0.0632693*'DATOS CORRECCIONES EQUIPOS EMPL'!E70)-(0.00852393*'DATOS CORRECCIONES EQUIPOS EMPL'!E70^2)+(0.00006943248*'DATOS CORRECCIONES EQUIPOS EMPL'!E70^3)-(0.0000003821216*'DATOS CORRECCIONES EQUIPOS EMPL'!E70^4))/1000,(0.99997495*(1-(('DATOS CORRECCIONES EQUIPOS EMPL'!E70-3.983035)^2*('DATOS CORRECCIONES EQUIPOS EMPL'!E70+301.797))/(522528.9*('DATOS CORRECCIONES EQUIPOS EMPL'!E70+69.34881)))))</f>
        <v>#VALUE!</v>
      </c>
      <c r="P120" s="1151"/>
      <c r="Q120" s="1150" t="e">
        <f>IF($H$68=$H$165,(C120-A120-$D$41)*(((1/$R$21)*(($R$21-M120)/(O120-M120)))*(1-$F$22*('DATOS CORRECCIONES EQUIPOS EMPL'!$E70-20)))*1000,IF($H$68=$H$164,(C120-A120-$D$41)*(((1/$R$21)*(($R$21-M120)/(O120-M120)))*(1-$F$22*('DATOS CORRECCIONES EQUIPOS EMPL'!$E70-20))),(C120-A120-$D$41)*(((1/$R$21)*(($R$21-M120)/(O120-M120)))*(1-$F$22*('DATOS CORRECCIONES EQUIPOS EMPL'!$E70-20)))/1000))</f>
        <v>#VALUE!</v>
      </c>
      <c r="R120" s="1151"/>
      <c r="S120" s="1164" t="e">
        <f t="shared" si="23"/>
        <v>#VALUE!</v>
      </c>
      <c r="T120" s="1165"/>
      <c r="U120" s="406" t="e">
        <f>+(1*(0.0632693*'DATOS CORRECCIONES EQUIPOS EMPL'!E70^0)-2*(0.00852393*'DATOS CORRECCIONES EQUIPOS EMPL'!E70^1)+3*(0.00006943248*'DATOS CORRECCIONES EQUIPOS EMPL'!E70^2)-4*(0.0000003821216*'DATOS CORRECCIONES EQUIPOS EMPL'!E70^3))/1000</f>
        <v>#VALUE!</v>
      </c>
      <c r="V120" s="485"/>
      <c r="W120" s="574" t="e">
        <f t="shared" si="24"/>
        <v>#VALUE!</v>
      </c>
      <c r="X120" s="570" t="str">
        <f t="shared" si="25"/>
        <v>Revisar</v>
      </c>
      <c r="Y120" s="570" t="str">
        <f t="shared" si="26"/>
        <v>ok</v>
      </c>
      <c r="Z120" s="570" t="str">
        <f t="shared" si="21"/>
        <v>ok</v>
      </c>
      <c r="AA120" s="570" t="str">
        <f t="shared" si="22"/>
        <v>ok</v>
      </c>
    </row>
    <row r="121" spans="1:28" ht="13.5" hidden="1" thickBot="1" x14ac:dyDescent="0.25">
      <c r="A121" s="1345"/>
      <c r="B121" s="1346"/>
      <c r="C121" s="1345"/>
      <c r="D121" s="1346"/>
      <c r="E121" s="1180"/>
      <c r="F121" s="1181"/>
      <c r="G121" s="1180"/>
      <c r="H121" s="1181"/>
      <c r="I121" s="1173"/>
      <c r="J121" s="1174"/>
      <c r="K121" s="1173"/>
      <c r="L121" s="1174"/>
      <c r="M121" s="1154" t="e">
        <f>+(((0.34844*'DATOS CORRECCIONES EQUIPOS EMPL'!K71)+'DATOS CORRECCIONES EQUIPOS EMPL'!I71*((-0.00252*'DATOS CORRECCIONES EQUIPOS EMPL'!G71)+0.020582))/('DATOS CORRECCIONES EQUIPOS EMPL'!G71+273.15))/1000</f>
        <v>#VALUE!</v>
      </c>
      <c r="N121" s="1155"/>
      <c r="O121" s="1150" t="e">
        <f>IF('INCERTIDUMBRE DE LA MEDIDA'!$E$38="Kell",((999.85308+0.0632693*'DATOS CORRECCIONES EQUIPOS EMPL'!E71)-(0.00852393*'DATOS CORRECCIONES EQUIPOS EMPL'!E71^2)+(0.00006943248*'DATOS CORRECCIONES EQUIPOS EMPL'!E71^3)-(0.0000003821216*'DATOS CORRECCIONES EQUIPOS EMPL'!E71^4))/1000,(0.99997495*(1-(('DATOS CORRECCIONES EQUIPOS EMPL'!E71-3.983035)^2*('DATOS CORRECCIONES EQUIPOS EMPL'!E71+301.797))/(522528.9*('DATOS CORRECCIONES EQUIPOS EMPL'!E71+69.34881)))))</f>
        <v>#VALUE!</v>
      </c>
      <c r="P121" s="1151"/>
      <c r="Q121" s="1150" t="e">
        <f>IF($H$68=$H$165,(C121-A121-$D$41)*(((1/$R$21)*(($R$21-M121)/(O121-M121)))*(1-$F$22*('DATOS CORRECCIONES EQUIPOS EMPL'!$E71-20)))*1000,IF($H$68=$H$164,(C121-A121-$D$41)*(((1/$R$21)*(($R$21-M121)/(O121-M121)))*(1-$F$22*('DATOS CORRECCIONES EQUIPOS EMPL'!$E71-20))),(C121-A121-$D$41)*(((1/$R$21)*(($R$21-M121)/(O121-M121)))*(1-$F$22*('DATOS CORRECCIONES EQUIPOS EMPL'!$E71-20)))/1000))</f>
        <v>#VALUE!</v>
      </c>
      <c r="R121" s="1151"/>
      <c r="S121" s="1164" t="e">
        <f t="shared" si="23"/>
        <v>#VALUE!</v>
      </c>
      <c r="T121" s="1165"/>
      <c r="U121" s="406" t="e">
        <f>+(1*(0.0632693*'DATOS CORRECCIONES EQUIPOS EMPL'!E71^0)-2*(0.00852393*'DATOS CORRECCIONES EQUIPOS EMPL'!E71^1)+3*(0.00006943248*'DATOS CORRECCIONES EQUIPOS EMPL'!E71^2)-4*(0.0000003821216*'DATOS CORRECCIONES EQUIPOS EMPL'!E71^3))/1000</f>
        <v>#VALUE!</v>
      </c>
      <c r="V121" s="485"/>
      <c r="W121" s="574" t="e">
        <f t="shared" si="24"/>
        <v>#VALUE!</v>
      </c>
      <c r="X121" s="570" t="str">
        <f t="shared" si="25"/>
        <v>Revisar</v>
      </c>
      <c r="Y121" s="570" t="str">
        <f t="shared" si="26"/>
        <v>ok</v>
      </c>
      <c r="Z121" s="570" t="str">
        <f t="shared" si="21"/>
        <v>ok</v>
      </c>
      <c r="AA121" s="570" t="str">
        <f t="shared" si="22"/>
        <v>ok</v>
      </c>
      <c r="AB121" s="3">
        <v>4</v>
      </c>
    </row>
    <row r="122" spans="1:28" ht="13.5" hidden="1" thickBot="1" x14ac:dyDescent="0.25">
      <c r="A122" s="1345"/>
      <c r="B122" s="1346"/>
      <c r="C122" s="1345"/>
      <c r="D122" s="1346"/>
      <c r="E122" s="1180"/>
      <c r="F122" s="1181"/>
      <c r="G122" s="1180"/>
      <c r="H122" s="1181"/>
      <c r="I122" s="1173"/>
      <c r="J122" s="1174"/>
      <c r="K122" s="1173"/>
      <c r="L122" s="1174"/>
      <c r="M122" s="1154" t="e">
        <f>+(((0.34844*'DATOS CORRECCIONES EQUIPOS EMPL'!K72)+'DATOS CORRECCIONES EQUIPOS EMPL'!I72*((-0.00252*'DATOS CORRECCIONES EQUIPOS EMPL'!G72)+0.020582))/('DATOS CORRECCIONES EQUIPOS EMPL'!G72+273.15))/1000</f>
        <v>#VALUE!</v>
      </c>
      <c r="N122" s="1155"/>
      <c r="O122" s="1150" t="e">
        <f>IF('INCERTIDUMBRE DE LA MEDIDA'!$E$38="Kell",((999.85308+0.0632693*'DATOS CORRECCIONES EQUIPOS EMPL'!E72)-(0.00852393*'DATOS CORRECCIONES EQUIPOS EMPL'!E72^2)+(0.00006943248*'DATOS CORRECCIONES EQUIPOS EMPL'!E72^3)-(0.0000003821216*'DATOS CORRECCIONES EQUIPOS EMPL'!E72^4))/1000,(0.99997495*(1-(('DATOS CORRECCIONES EQUIPOS EMPL'!E72-3.983035)^2*('DATOS CORRECCIONES EQUIPOS EMPL'!E72+301.797))/(522528.9*('DATOS CORRECCIONES EQUIPOS EMPL'!E72+69.34881)))))</f>
        <v>#VALUE!</v>
      </c>
      <c r="P122" s="1151"/>
      <c r="Q122" s="1150" t="e">
        <f>IF($H$68=$H$165,(C122-A122-$D$41)*(((1/$R$21)*(($R$21-M122)/(O122-M122)))*(1-$F$22*('DATOS CORRECCIONES EQUIPOS EMPL'!$E72-20)))*1000,IF($H$68=$H$164,(C122-A122-$D$41)*(((1/$R$21)*(($R$21-M122)/(O122-M122)))*(1-$F$22*('DATOS CORRECCIONES EQUIPOS EMPL'!$E72-20))),(C122-A122-$D$41)*(((1/$R$21)*(($R$21-M122)/(O122-M122)))*(1-$F$22*('DATOS CORRECCIONES EQUIPOS EMPL'!$E72-20)))/1000))</f>
        <v>#VALUE!</v>
      </c>
      <c r="R122" s="1151"/>
      <c r="S122" s="1164" t="e">
        <f t="shared" si="23"/>
        <v>#VALUE!</v>
      </c>
      <c r="T122" s="1165"/>
      <c r="U122" s="406" t="e">
        <f>+(1*(0.0632693*'DATOS CORRECCIONES EQUIPOS EMPL'!E72^0)-2*(0.00852393*'DATOS CORRECCIONES EQUIPOS EMPL'!E72^1)+3*(0.00006943248*'DATOS CORRECCIONES EQUIPOS EMPL'!E72^2)-4*(0.0000003821216*'DATOS CORRECCIONES EQUIPOS EMPL'!E72^3))/1000</f>
        <v>#VALUE!</v>
      </c>
      <c r="V122" s="485"/>
      <c r="W122" s="574" t="e">
        <f t="shared" si="24"/>
        <v>#VALUE!</v>
      </c>
      <c r="X122" s="570" t="str">
        <f t="shared" si="25"/>
        <v>Revisar</v>
      </c>
      <c r="Y122" s="570" t="str">
        <f t="shared" si="26"/>
        <v>ok</v>
      </c>
      <c r="Z122" s="570" t="str">
        <f t="shared" si="21"/>
        <v>ok</v>
      </c>
      <c r="AA122" s="570" t="str">
        <f t="shared" si="22"/>
        <v>ok</v>
      </c>
    </row>
    <row r="123" spans="1:28" ht="13.5" hidden="1" thickBot="1" x14ac:dyDescent="0.25">
      <c r="A123" s="1345"/>
      <c r="B123" s="1346"/>
      <c r="C123" s="1345"/>
      <c r="D123" s="1346"/>
      <c r="E123" s="1180"/>
      <c r="F123" s="1181"/>
      <c r="G123" s="1180"/>
      <c r="H123" s="1181"/>
      <c r="I123" s="1173"/>
      <c r="J123" s="1174"/>
      <c r="K123" s="1173"/>
      <c r="L123" s="1174"/>
      <c r="M123" s="1154" t="e">
        <f>+(((0.34844*'DATOS CORRECCIONES EQUIPOS EMPL'!K73)+'DATOS CORRECCIONES EQUIPOS EMPL'!I73*((-0.00252*'DATOS CORRECCIONES EQUIPOS EMPL'!G73)+0.020582))/('DATOS CORRECCIONES EQUIPOS EMPL'!G73+273.15))/1000</f>
        <v>#VALUE!</v>
      </c>
      <c r="N123" s="1155"/>
      <c r="O123" s="1150" t="e">
        <f>IF('INCERTIDUMBRE DE LA MEDIDA'!$E$38="Kell",((999.85308+0.0632693*'DATOS CORRECCIONES EQUIPOS EMPL'!E73)-(0.00852393*'DATOS CORRECCIONES EQUIPOS EMPL'!E73^2)+(0.00006943248*'DATOS CORRECCIONES EQUIPOS EMPL'!E73^3)-(0.0000003821216*'DATOS CORRECCIONES EQUIPOS EMPL'!E73^4))/1000,(0.99997495*(1-(('DATOS CORRECCIONES EQUIPOS EMPL'!E73-3.983035)^2*('DATOS CORRECCIONES EQUIPOS EMPL'!E73+301.797))/(522528.9*('DATOS CORRECCIONES EQUIPOS EMPL'!E73+69.34881)))))</f>
        <v>#VALUE!</v>
      </c>
      <c r="P123" s="1151"/>
      <c r="Q123" s="1150" t="e">
        <f>IF($H$68=$H$165,(C123-A123-$D$41)*(((1/$R$21)*(($R$21-M123)/(O123-M123)))*(1-$F$22*('DATOS CORRECCIONES EQUIPOS EMPL'!$E73-20)))*1000,IF($H$68=$H$164,(C123-A123-$D$41)*(((1/$R$21)*(($R$21-M123)/(O123-M123)))*(1-$F$22*('DATOS CORRECCIONES EQUIPOS EMPL'!$E73-20))),(C123-A123-$D$41)*(((1/$R$21)*(($R$21-M123)/(O123-M123)))*(1-$F$22*('DATOS CORRECCIONES EQUIPOS EMPL'!$E73-20)))/1000))</f>
        <v>#VALUE!</v>
      </c>
      <c r="R123" s="1151"/>
      <c r="S123" s="1164" t="e">
        <f t="shared" si="23"/>
        <v>#VALUE!</v>
      </c>
      <c r="T123" s="1165"/>
      <c r="U123" s="406" t="e">
        <f>+(1*(0.0632693*'DATOS CORRECCIONES EQUIPOS EMPL'!E73^0)-2*(0.00852393*'DATOS CORRECCIONES EQUIPOS EMPL'!E73^1)+3*(0.00006943248*'DATOS CORRECCIONES EQUIPOS EMPL'!E73^2)-4*(0.0000003821216*'DATOS CORRECCIONES EQUIPOS EMPL'!E73^3))/1000</f>
        <v>#VALUE!</v>
      </c>
      <c r="V123" s="485"/>
      <c r="W123" s="574" t="e">
        <f t="shared" si="24"/>
        <v>#VALUE!</v>
      </c>
      <c r="X123" s="570" t="str">
        <f t="shared" si="25"/>
        <v>Revisar</v>
      </c>
      <c r="Y123" s="570" t="str">
        <f t="shared" si="26"/>
        <v>ok</v>
      </c>
      <c r="Z123" s="570" t="str">
        <f t="shared" si="21"/>
        <v>ok</v>
      </c>
      <c r="AA123" s="570" t="str">
        <f t="shared" si="22"/>
        <v>ok</v>
      </c>
    </row>
    <row r="124" spans="1:28" ht="13.5" hidden="1" thickBot="1" x14ac:dyDescent="0.25">
      <c r="A124" s="1345"/>
      <c r="B124" s="1346"/>
      <c r="C124" s="1345"/>
      <c r="D124" s="1346"/>
      <c r="E124" s="1180"/>
      <c r="F124" s="1181"/>
      <c r="G124" s="1180"/>
      <c r="H124" s="1181"/>
      <c r="I124" s="1173"/>
      <c r="J124" s="1174"/>
      <c r="K124" s="1173"/>
      <c r="L124" s="1174"/>
      <c r="M124" s="1154" t="e">
        <f>+(((0.34844*'DATOS CORRECCIONES EQUIPOS EMPL'!K74)+'DATOS CORRECCIONES EQUIPOS EMPL'!I74*((-0.00252*'DATOS CORRECCIONES EQUIPOS EMPL'!G74)+0.020582))/('DATOS CORRECCIONES EQUIPOS EMPL'!G74+273.15))/1000</f>
        <v>#VALUE!</v>
      </c>
      <c r="N124" s="1155"/>
      <c r="O124" s="1150" t="e">
        <f>IF('INCERTIDUMBRE DE LA MEDIDA'!$E$38="Kell",((999.85308+0.0632693*'DATOS CORRECCIONES EQUIPOS EMPL'!E74)-(0.00852393*'DATOS CORRECCIONES EQUIPOS EMPL'!E74^2)+(0.00006943248*'DATOS CORRECCIONES EQUIPOS EMPL'!E74^3)-(0.0000003821216*'DATOS CORRECCIONES EQUIPOS EMPL'!E74^4))/1000,(0.99997495*(1-(('DATOS CORRECCIONES EQUIPOS EMPL'!E74-3.983035)^2*('DATOS CORRECCIONES EQUIPOS EMPL'!E74+301.797))/(522528.9*('DATOS CORRECCIONES EQUIPOS EMPL'!E74+69.34881)))))</f>
        <v>#VALUE!</v>
      </c>
      <c r="P124" s="1151"/>
      <c r="Q124" s="1150" t="e">
        <f>IF($H$68=$H$165,(C124-A124-$D$41)*(((1/$R$21)*(($R$21-M124)/(O124-M124)))*(1-$F$22*('DATOS CORRECCIONES EQUIPOS EMPL'!$E74-20)))*1000,IF($H$68=$H$164,(C124-A124-$D$41)*(((1/$R$21)*(($R$21-M124)/(O124-M124)))*(1-$F$22*('DATOS CORRECCIONES EQUIPOS EMPL'!$E74-20))),(C124-A124-$D$41)*(((1/$R$21)*(($R$21-M124)/(O124-M124)))*(1-$F$22*('DATOS CORRECCIONES EQUIPOS EMPL'!$E74-20)))/1000))</f>
        <v>#VALUE!</v>
      </c>
      <c r="R124" s="1151"/>
      <c r="S124" s="1164" t="e">
        <f t="shared" si="23"/>
        <v>#VALUE!</v>
      </c>
      <c r="T124" s="1165"/>
      <c r="U124" s="406" t="e">
        <f>+(1*(0.0632693*'DATOS CORRECCIONES EQUIPOS EMPL'!E74^0)-2*(0.00852393*'DATOS CORRECCIONES EQUIPOS EMPL'!E74^1)+3*(0.00006943248*'DATOS CORRECCIONES EQUIPOS EMPL'!E74^2)-4*(0.0000003821216*'DATOS CORRECCIONES EQUIPOS EMPL'!E74^3))/1000</f>
        <v>#VALUE!</v>
      </c>
      <c r="V124" s="485"/>
      <c r="W124" s="574" t="e">
        <f t="shared" si="24"/>
        <v>#VALUE!</v>
      </c>
      <c r="X124" s="570" t="str">
        <f t="shared" si="25"/>
        <v>Revisar</v>
      </c>
      <c r="Y124" s="570" t="str">
        <f t="shared" si="26"/>
        <v>ok</v>
      </c>
      <c r="Z124" s="570" t="str">
        <f t="shared" si="21"/>
        <v>ok</v>
      </c>
      <c r="AA124" s="570" t="str">
        <f t="shared" si="22"/>
        <v>ok</v>
      </c>
    </row>
    <row r="125" spans="1:28" ht="13.5" hidden="1" thickBot="1" x14ac:dyDescent="0.25">
      <c r="A125" s="1345"/>
      <c r="B125" s="1346"/>
      <c r="C125" s="1345"/>
      <c r="D125" s="1346"/>
      <c r="E125" s="1180"/>
      <c r="F125" s="1181"/>
      <c r="G125" s="1180"/>
      <c r="H125" s="1181"/>
      <c r="I125" s="1173"/>
      <c r="J125" s="1174"/>
      <c r="K125" s="1173"/>
      <c r="L125" s="1174"/>
      <c r="M125" s="1154" t="e">
        <f>+(((0.34844*'DATOS CORRECCIONES EQUIPOS EMPL'!K75)+'DATOS CORRECCIONES EQUIPOS EMPL'!I75*((-0.00252*'DATOS CORRECCIONES EQUIPOS EMPL'!G75)+0.020582))/('DATOS CORRECCIONES EQUIPOS EMPL'!G75+273.15))/1000</f>
        <v>#VALUE!</v>
      </c>
      <c r="N125" s="1155"/>
      <c r="O125" s="1150" t="e">
        <f>IF('INCERTIDUMBRE DE LA MEDIDA'!$E$38="Kell",((999.85308+0.0632693*'DATOS CORRECCIONES EQUIPOS EMPL'!E75)-(0.00852393*'DATOS CORRECCIONES EQUIPOS EMPL'!E75^2)+(0.00006943248*'DATOS CORRECCIONES EQUIPOS EMPL'!E75^3)-(0.0000003821216*'DATOS CORRECCIONES EQUIPOS EMPL'!E75^4))/1000,(0.99997495*(1-(('DATOS CORRECCIONES EQUIPOS EMPL'!E75-3.983035)^2*('DATOS CORRECCIONES EQUIPOS EMPL'!E75+301.797))/(522528.9*('DATOS CORRECCIONES EQUIPOS EMPL'!E75+69.34881)))))</f>
        <v>#VALUE!</v>
      </c>
      <c r="P125" s="1151"/>
      <c r="Q125" s="1150" t="e">
        <f>IF($H$68=$H$165,(C125-A125-$D$41)*(((1/$R$21)*(($R$21-M125)/(O125-M125)))*(1-$F$22*('DATOS CORRECCIONES EQUIPOS EMPL'!$E75-20)))*1000,IF($H$68=$H$164,(C125-A125-$D$41)*(((1/$R$21)*(($R$21-M125)/(O125-M125)))*(1-$F$22*('DATOS CORRECCIONES EQUIPOS EMPL'!$E75-20))),(C125-A125-$D$41)*(((1/$R$21)*(($R$21-M125)/(O125-M125)))*(1-$F$22*('DATOS CORRECCIONES EQUIPOS EMPL'!$E75-20)))/1000))</f>
        <v>#VALUE!</v>
      </c>
      <c r="R125" s="1151"/>
      <c r="S125" s="1164" t="e">
        <f t="shared" si="23"/>
        <v>#VALUE!</v>
      </c>
      <c r="T125" s="1165"/>
      <c r="U125" s="406" t="e">
        <f>+(1*(0.0632693*'DATOS CORRECCIONES EQUIPOS EMPL'!E75^0)-2*(0.00852393*'DATOS CORRECCIONES EQUIPOS EMPL'!E75^1)+3*(0.00006943248*'DATOS CORRECCIONES EQUIPOS EMPL'!E75^2)-4*(0.0000003821216*'DATOS CORRECCIONES EQUIPOS EMPL'!E75^3))/1000</f>
        <v>#VALUE!</v>
      </c>
      <c r="V125" s="485"/>
      <c r="W125" s="574" t="e">
        <f t="shared" si="24"/>
        <v>#VALUE!</v>
      </c>
      <c r="X125" s="570" t="str">
        <f t="shared" si="25"/>
        <v>Revisar</v>
      </c>
      <c r="Y125" s="570" t="str">
        <f t="shared" si="26"/>
        <v>ok</v>
      </c>
      <c r="Z125" s="570" t="str">
        <f t="shared" si="21"/>
        <v>ok</v>
      </c>
      <c r="AA125" s="570" t="str">
        <f t="shared" si="22"/>
        <v>ok</v>
      </c>
    </row>
    <row r="126" spans="1:28" ht="13.5" hidden="1" thickBot="1" x14ac:dyDescent="0.25">
      <c r="A126" s="1345"/>
      <c r="B126" s="1346"/>
      <c r="C126" s="1345"/>
      <c r="D126" s="1346"/>
      <c r="E126" s="1180"/>
      <c r="F126" s="1181"/>
      <c r="G126" s="1180"/>
      <c r="H126" s="1181"/>
      <c r="I126" s="1173"/>
      <c r="J126" s="1174"/>
      <c r="K126" s="1173"/>
      <c r="L126" s="1174"/>
      <c r="M126" s="1154" t="e">
        <f>+(((0.34844*'DATOS CORRECCIONES EQUIPOS EMPL'!K76)+'DATOS CORRECCIONES EQUIPOS EMPL'!I76*((-0.00252*'DATOS CORRECCIONES EQUIPOS EMPL'!G76)+0.020582))/('DATOS CORRECCIONES EQUIPOS EMPL'!G76+273.15))/1000</f>
        <v>#VALUE!</v>
      </c>
      <c r="N126" s="1155"/>
      <c r="O126" s="1150" t="e">
        <f>IF('INCERTIDUMBRE DE LA MEDIDA'!$E$38="Kell",((999.85308+0.0632693*'DATOS CORRECCIONES EQUIPOS EMPL'!E76)-(0.00852393*'DATOS CORRECCIONES EQUIPOS EMPL'!E76^2)+(0.00006943248*'DATOS CORRECCIONES EQUIPOS EMPL'!E76^3)-(0.0000003821216*'DATOS CORRECCIONES EQUIPOS EMPL'!E76^4))/1000,(0.99997495*(1-(('DATOS CORRECCIONES EQUIPOS EMPL'!E76-3.983035)^2*('DATOS CORRECCIONES EQUIPOS EMPL'!E76+301.797))/(522528.9*('DATOS CORRECCIONES EQUIPOS EMPL'!E76+69.34881)))))</f>
        <v>#VALUE!</v>
      </c>
      <c r="P126" s="1151"/>
      <c r="Q126" s="1150" t="e">
        <f>IF($H$68=$H$165,(C126-A126-$D$41)*(((1/$R$21)*(($R$21-M126)/(O126-M126)))*(1-$F$22*('DATOS CORRECCIONES EQUIPOS EMPL'!$E76-20)))*1000,IF($H$68=$H$164,(C126-A126-$D$41)*(((1/$R$21)*(($R$21-M126)/(O126-M126)))*(1-$F$22*('DATOS CORRECCIONES EQUIPOS EMPL'!$E76-20))),(C126-A126-$D$41)*(((1/$R$21)*(($R$21-M126)/(O126-M126)))*(1-$F$22*('DATOS CORRECCIONES EQUIPOS EMPL'!$E76-20)))/1000))</f>
        <v>#VALUE!</v>
      </c>
      <c r="R126" s="1151"/>
      <c r="S126" s="1164" t="e">
        <f t="shared" si="23"/>
        <v>#VALUE!</v>
      </c>
      <c r="T126" s="1165"/>
      <c r="U126" s="406" t="e">
        <f>+(1*(0.0632693*'DATOS CORRECCIONES EQUIPOS EMPL'!E76^0)-2*(0.00852393*'DATOS CORRECCIONES EQUIPOS EMPL'!E76^1)+3*(0.00006943248*'DATOS CORRECCIONES EQUIPOS EMPL'!E76^2)-4*(0.0000003821216*'DATOS CORRECCIONES EQUIPOS EMPL'!E76^3))/1000</f>
        <v>#VALUE!</v>
      </c>
      <c r="V126" s="485"/>
      <c r="W126" s="574" t="e">
        <f t="shared" si="24"/>
        <v>#VALUE!</v>
      </c>
      <c r="X126" s="570" t="str">
        <f t="shared" si="25"/>
        <v>Revisar</v>
      </c>
      <c r="Y126" s="570" t="str">
        <f t="shared" si="26"/>
        <v>ok</v>
      </c>
      <c r="Z126" s="570" t="str">
        <f t="shared" si="21"/>
        <v>ok</v>
      </c>
      <c r="AA126" s="570" t="str">
        <f t="shared" si="22"/>
        <v>ok</v>
      </c>
    </row>
    <row r="127" spans="1:28" ht="13.5" hidden="1" thickBot="1" x14ac:dyDescent="0.25">
      <c r="A127" s="1345"/>
      <c r="B127" s="1346"/>
      <c r="C127" s="1345"/>
      <c r="D127" s="1346"/>
      <c r="E127" s="1180"/>
      <c r="F127" s="1181"/>
      <c r="G127" s="1180"/>
      <c r="H127" s="1181"/>
      <c r="I127" s="1173"/>
      <c r="J127" s="1174"/>
      <c r="K127" s="1173"/>
      <c r="L127" s="1174"/>
      <c r="M127" s="1154" t="e">
        <f>+(((0.34844*'DATOS CORRECCIONES EQUIPOS EMPL'!K77)+'DATOS CORRECCIONES EQUIPOS EMPL'!I77*((-0.00252*'DATOS CORRECCIONES EQUIPOS EMPL'!G77)+0.020582))/('DATOS CORRECCIONES EQUIPOS EMPL'!G77+273.15))/1000</f>
        <v>#VALUE!</v>
      </c>
      <c r="N127" s="1155"/>
      <c r="O127" s="1150" t="e">
        <f>IF('INCERTIDUMBRE DE LA MEDIDA'!$E$38="Kell",((999.85308+0.0632693*'DATOS CORRECCIONES EQUIPOS EMPL'!E77)-(0.00852393*'DATOS CORRECCIONES EQUIPOS EMPL'!E77^2)+(0.00006943248*'DATOS CORRECCIONES EQUIPOS EMPL'!E77^3)-(0.0000003821216*'DATOS CORRECCIONES EQUIPOS EMPL'!E77^4))/1000,(0.99997495*(1-(('DATOS CORRECCIONES EQUIPOS EMPL'!E77-3.983035)^2*('DATOS CORRECCIONES EQUIPOS EMPL'!E77+301.797))/(522528.9*('DATOS CORRECCIONES EQUIPOS EMPL'!E77+69.34881)))))</f>
        <v>#VALUE!</v>
      </c>
      <c r="P127" s="1151"/>
      <c r="Q127" s="1150" t="e">
        <f>IF($H$68=$H$165,(C127-A127-$D$41)*(((1/$R$21)*(($R$21-M127)/(O127-M127)))*(1-$F$22*('DATOS CORRECCIONES EQUIPOS EMPL'!$E77-20)))*1000,IF($H$68=$H$164,(C127-A127-$D$41)*(((1/$R$21)*(($R$21-M127)/(O127-M127)))*(1-$F$22*('DATOS CORRECCIONES EQUIPOS EMPL'!$E77-20))),(C127-A127-$D$41)*(((1/$R$21)*(($R$21-M127)/(O127-M127)))*(1-$F$22*('DATOS CORRECCIONES EQUIPOS EMPL'!$E77-20)))/1000))</f>
        <v>#VALUE!</v>
      </c>
      <c r="R127" s="1151"/>
      <c r="S127" s="1164" t="e">
        <f t="shared" si="23"/>
        <v>#VALUE!</v>
      </c>
      <c r="T127" s="1165"/>
      <c r="U127" s="406" t="e">
        <f>+(1*(0.0632693*'DATOS CORRECCIONES EQUIPOS EMPL'!E77^0)-2*(0.00852393*'DATOS CORRECCIONES EQUIPOS EMPL'!E77^1)+3*(0.00006943248*'DATOS CORRECCIONES EQUIPOS EMPL'!E77^2)-4*(0.0000003821216*'DATOS CORRECCIONES EQUIPOS EMPL'!E77^3))/1000</f>
        <v>#VALUE!</v>
      </c>
      <c r="V127" s="485"/>
      <c r="W127" s="574" t="e">
        <f t="shared" si="24"/>
        <v>#VALUE!</v>
      </c>
      <c r="X127" s="570" t="e">
        <f>IF(ABS(E128-$E$70)&lt;=$V$45,"ok","Revisar")</f>
        <v>#VALUE!</v>
      </c>
      <c r="Y127" s="570" t="str">
        <f t="shared" si="26"/>
        <v>ok</v>
      </c>
      <c r="Z127" s="570" t="e">
        <f t="shared" si="21"/>
        <v>#VALUE!</v>
      </c>
      <c r="AA127" s="570" t="e">
        <f t="shared" si="22"/>
        <v>#VALUE!</v>
      </c>
    </row>
    <row r="128" spans="1:28" hidden="1" x14ac:dyDescent="0.2">
      <c r="A128" s="1132" t="str">
        <f>IF(ISBLANK(A118)," ",AVERAGE(A118:B127))</f>
        <v xml:space="preserve"> </v>
      </c>
      <c r="B128" s="1132"/>
      <c r="C128" s="1132" t="str">
        <f>IF(ISBLANK(C118)," ",AVERAGE(C118:D127))</f>
        <v xml:space="preserve"> </v>
      </c>
      <c r="D128" s="1132"/>
      <c r="E128" s="1132" t="str">
        <f>IF(ISBLANK(E118)," ",AVERAGE(E118:F127))</f>
        <v xml:space="preserve"> </v>
      </c>
      <c r="F128" s="1132"/>
      <c r="G128" s="1132" t="str">
        <f>IF(ISBLANK(G118)," ",AVERAGE(G118:H127))</f>
        <v xml:space="preserve"> </v>
      </c>
      <c r="H128" s="1132"/>
      <c r="I128" s="1364" t="str">
        <f>IF(ISBLANK(I118)," ",AVERAGE(I118:J127))</f>
        <v xml:space="preserve"> </v>
      </c>
      <c r="J128" s="1365"/>
      <c r="K128" s="1132" t="str">
        <f>IF(ISBLANK(K118)," ",AVERAGE(K118:L127))</f>
        <v xml:space="preserve"> </v>
      </c>
      <c r="L128" s="1132"/>
      <c r="M128" s="1166" t="e">
        <f>AVERAGE(M118:N127)</f>
        <v>#VALUE!</v>
      </c>
      <c r="N128" s="1167"/>
      <c r="O128" s="1166" t="e">
        <f>AVERAGE(O118:P127)</f>
        <v>#VALUE!</v>
      </c>
      <c r="P128" s="1167"/>
      <c r="Q128" s="1166" t="e">
        <f>AVERAGE(Q118:R127)</f>
        <v>#VALUE!</v>
      </c>
      <c r="R128" s="1167"/>
      <c r="S128" s="1166" t="e">
        <f>AVERAGE(S118:T127)</f>
        <v>#VALUE!</v>
      </c>
      <c r="T128" s="1167"/>
      <c r="U128" s="407" t="e">
        <f>AVERAGE(U118:V127)</f>
        <v>#VALUE!</v>
      </c>
      <c r="V128" s="486" t="e">
        <f>('INCERTIDUMBRE DE LA MEDIDA'!P246)</f>
        <v>#VALUE!</v>
      </c>
      <c r="W128" s="1157" t="e">
        <f>IF(LEN(W118)+LEN(W119)+LEN(W120)+LEN(W121)+LEN(W122)+LEN(W123)+LEN(W124)+LEN(W125)+LEN(W126)+LEN(W127)+LEN(X118)+LEN(X119)+LEN(X120)+LEN(X121)+LEN(X122)+LEN(X123)+LEN(X124)+LEN(X125)+LEN(X126)+LEN(X127)+LEN(Y118)+LEN(Y119)+LEN(Y120)+LEN(Y121)+LEN(Y122)+LEN(Y123)+LEN(Y124)+LEN(Y125)+LEN(Y126)+LEN(Y127)+LEN(Z118)+LEN(Z119)+LEN(Z120)+LEN(Z121)+LEN(Z122)+LEN(Z123)+LEN(Z124)+LEN(Z125)+LEN(Z126)+LEN(Z127)+LEN(AA118)+LEN(AA119)+LEN(AA120)+LEN(AA121)+LEN(AA122)+LEN(AA123)+LEN(AA124)+LEN(AA125)+LEN(AA126)+LEN(AA127)=100,"Revisado OK","Revisar")</f>
        <v>#VALUE!</v>
      </c>
      <c r="X128" s="1158"/>
      <c r="Y128" s="1158"/>
      <c r="Z128" s="1158"/>
      <c r="AA128" s="602"/>
    </row>
    <row r="129" spans="1:28" hidden="1" x14ac:dyDescent="0.2">
      <c r="A129" s="137"/>
      <c r="B129" s="137"/>
      <c r="C129" s="1134" t="e">
        <f>ABS(S128)</f>
        <v>#VALUE!</v>
      </c>
      <c r="D129" s="1134"/>
      <c r="E129" s="1134">
        <f>MAX(E118:E127)-MIN(E118:E127)</f>
        <v>0</v>
      </c>
      <c r="F129" s="1134"/>
      <c r="G129" s="1134">
        <f>MAX(G118:G127)-MIN(G118:G127)</f>
        <v>0</v>
      </c>
      <c r="H129" s="1134"/>
      <c r="I129" s="1134">
        <f>MAX(I118:I127)-MIN(I118:I127)</f>
        <v>0</v>
      </c>
      <c r="J129" s="1134"/>
      <c r="K129" s="1134">
        <f>MAX(K118:K127)-MIN(K118:K127)</f>
        <v>0</v>
      </c>
      <c r="L129" s="1134"/>
      <c r="Q129" s="1152" t="str">
        <f>CONCATENATE("CV ",$H$68)</f>
        <v>CV µL</v>
      </c>
      <c r="R129" s="1153"/>
      <c r="S129" s="1361" t="e">
        <f>STDEVA(S118:T127)</f>
        <v>#VALUE!</v>
      </c>
      <c r="T129" s="1362"/>
      <c r="U129" s="187" t="s">
        <v>271</v>
      </c>
      <c r="V129" s="178" t="e">
        <f>ABS(IF(H21=Q163,(S129*100/Q128)*(F116/M21),IF(H21=Q164,(S129*100/Q128),"")))</f>
        <v>#VALUE!</v>
      </c>
      <c r="W129" s="1117"/>
      <c r="X129" s="1118"/>
      <c r="Y129" s="1118"/>
      <c r="Z129" s="1118"/>
      <c r="AA129" s="1119"/>
    </row>
    <row r="130" spans="1:28" hidden="1" x14ac:dyDescent="0.2">
      <c r="Q130" s="1152" t="str">
        <f>CONCATENATE("E ",$H$68)</f>
        <v>E µL</v>
      </c>
      <c r="R130" s="1153"/>
      <c r="S130" s="1150" t="e">
        <f>F116-Q128</f>
        <v>#VALUE!</v>
      </c>
      <c r="T130" s="1151"/>
      <c r="U130" s="187" t="s">
        <v>274</v>
      </c>
      <c r="V130" s="178" t="e">
        <f>ABS(IF(H21=Q163,S130*100/M21,IF(H21=Q164,S130*100/K21,"")))</f>
        <v>#VALUE!</v>
      </c>
    </row>
    <row r="131" spans="1:28" ht="15" hidden="1" thickBot="1" x14ac:dyDescent="0.25">
      <c r="Q131" s="1239" t="s">
        <v>462</v>
      </c>
      <c r="R131" s="1240"/>
      <c r="S131" s="1241" t="str">
        <f>IF(ISBLANK($Q$22),"",IF($N$24="simple",IF(AND(ABS(S130)&lt;=$Q$22,S129&lt;=$Q$23,R132&gt;=3),"Cumple","No Cumple"),IF($N$24="Conservadora",IF(AND(ABS(S130)+V128&lt;=$Q$22,S129&lt;=$Q$23),"Cumple","No Cumple"),"N.A.")))</f>
        <v>N.A.</v>
      </c>
      <c r="T131" s="1242"/>
      <c r="U131" s="532" t="str">
        <f>IF(ISBLANK($Q$22),"",IF($N$24="simple",IF(AND(ABS(S129)&lt;=$Q$23,ABS(S130)&lt;=$Q$22),"Cumple","No Cumple"),IF($N$24="Conservadora",IF(AND(ABS(S129)+U128&lt;=$Q$23,ABS(S130)+U128&lt;=$Q$22),"Cumple","No Cumple"),"N.A.")))</f>
        <v>N.A.</v>
      </c>
      <c r="V131" s="482"/>
    </row>
    <row r="132" spans="1:28" ht="34.5" hidden="1" thickBot="1" x14ac:dyDescent="0.25">
      <c r="C132" s="1135" t="s">
        <v>63</v>
      </c>
      <c r="D132" s="1136"/>
      <c r="E132" s="1137"/>
      <c r="F132" s="1129"/>
      <c r="G132" s="1130"/>
      <c r="H132" s="443"/>
      <c r="Q132" s="694" t="s">
        <v>581</v>
      </c>
      <c r="R132" s="695">
        <f>$Q$22/3</f>
        <v>2.6666666666666665</v>
      </c>
      <c r="S132" s="1172" t="e">
        <f>IF(V128&lt;=R132,"ok","Revisar TUR")</f>
        <v>#VALUE!</v>
      </c>
      <c r="T132" s="1172"/>
      <c r="W132" s="577">
        <v>5</v>
      </c>
    </row>
    <row r="133" spans="1:28" s="136" customFormat="1" ht="39" hidden="1" thickBot="1" x14ac:dyDescent="0.25">
      <c r="A133" s="1127" t="s">
        <v>73</v>
      </c>
      <c r="B133" s="1127"/>
      <c r="C133" s="1127" t="s">
        <v>74</v>
      </c>
      <c r="D133" s="1127"/>
      <c r="E133" s="1127" t="s">
        <v>75</v>
      </c>
      <c r="F133" s="1127"/>
      <c r="G133" s="1127" t="s">
        <v>172</v>
      </c>
      <c r="H133" s="1127"/>
      <c r="I133" s="1127" t="s">
        <v>174</v>
      </c>
      <c r="J133" s="1127"/>
      <c r="K133" s="1214" t="s">
        <v>726</v>
      </c>
      <c r="L133" s="1214"/>
      <c r="M133" s="1416" t="s">
        <v>76</v>
      </c>
      <c r="N133" s="1176"/>
      <c r="O133" s="1416" t="s">
        <v>77</v>
      </c>
      <c r="P133" s="1176"/>
      <c r="Q133" s="1149" t="str">
        <f>CONCATENATE("Volumen calculado","[",H132,"]")</f>
        <v>Volumen calculado[]</v>
      </c>
      <c r="R133" s="1149"/>
      <c r="S133" s="1149" t="str">
        <f>CONCATENATE("Error  del IBP","[",H132,"]")</f>
        <v>Error  del IBP[]</v>
      </c>
      <c r="T133" s="1149"/>
      <c r="U133" s="405"/>
      <c r="V133" s="483" t="str">
        <f>CONCATENATE("Incertidumbre"," [", $H$68,"]")</f>
        <v>Incertidumbre [µL]</v>
      </c>
      <c r="W133" s="569" t="s">
        <v>727</v>
      </c>
      <c r="X133" s="569" t="s">
        <v>728</v>
      </c>
      <c r="Y133" s="569" t="s">
        <v>729</v>
      </c>
      <c r="Z133" s="569" t="s">
        <v>730</v>
      </c>
      <c r="AA133" s="569" t="s">
        <v>731</v>
      </c>
    </row>
    <row r="134" spans="1:28" ht="13.5" hidden="1" thickBot="1" x14ac:dyDescent="0.25">
      <c r="A134" s="1345"/>
      <c r="B134" s="1346"/>
      <c r="C134" s="1345"/>
      <c r="D134" s="1346"/>
      <c r="E134" s="1180"/>
      <c r="F134" s="1181"/>
      <c r="G134" s="1180"/>
      <c r="H134" s="1181"/>
      <c r="I134" s="1173"/>
      <c r="J134" s="1174"/>
      <c r="K134" s="1173"/>
      <c r="L134" s="1174"/>
      <c r="M134" s="1154" t="e">
        <f>+(((0.34844*'DATOS CORRECCIONES EQUIPOS EMPL'!K86)+'DATOS CORRECCIONES EQUIPOS EMPL'!I86*((-0.00252*'DATOS CORRECCIONES EQUIPOS EMPL'!G86)+0.020582))/('DATOS CORRECCIONES EQUIPOS EMPL'!G86+273.15))/1000</f>
        <v>#VALUE!</v>
      </c>
      <c r="N134" s="1155"/>
      <c r="O134" s="1150" t="e">
        <f>IF('INCERTIDUMBRE DE LA MEDIDA'!$E$38="Kell",((999.85308+0.0632693*'DATOS CORRECCIONES EQUIPOS EMPL'!E86)-(0.00852393*'DATOS CORRECCIONES EQUIPOS EMPL'!E86^2)+(0.00006943248*'DATOS CORRECCIONES EQUIPOS EMPL'!E86^3)-(0.0000003821216*'DATOS CORRECCIONES EQUIPOS EMPL'!E86^4))/1000,(0.99997495*(1-(('DATOS CORRECCIONES EQUIPOS EMPL'!E86-3.983035)^2*('DATOS CORRECCIONES EQUIPOS EMPL'!E86+301.797))/(522528.9*('DATOS CORRECCIONES EQUIPOS EMPL'!E86+69.34881)))))</f>
        <v>#VALUE!</v>
      </c>
      <c r="P134" s="1151"/>
      <c r="Q134" s="1150" t="e">
        <f>IF($H$68=$H$165,(C134-A134-$D$41)*(((1/$R$21)*(($R$21-M134)/(O134-M134)))*(1-$F$22*('DATOS CORRECCIONES EQUIPOS EMPL'!$E86-20)))*1000,IF($H$68=$H$164,(C134-A134-$D$41)*(((1/$R$21)*(($R$21-M134)/(O134-M134)))*(1-$F$22*('DATOS CORRECCIONES EQUIPOS EMPL'!$E86-20))),(C134-A134-$D$41)*(((1/$R$21)*(($R$21-M134)/(O134-M134)))*(1-$F$22*('DATOS CORRECCIONES EQUIPOS EMPL'!$E86-20)))/1000))</f>
        <v>#VALUE!</v>
      </c>
      <c r="R134" s="1151"/>
      <c r="S134" s="1164" t="e">
        <f>Q134-$F$132</f>
        <v>#VALUE!</v>
      </c>
      <c r="T134" s="1165"/>
      <c r="U134" s="406" t="e">
        <f>+(1*(0.0632693*'DATOS CORRECCIONES EQUIPOS EMPL'!E86^0)-2*(0.00852393*'DATOS CORRECCIONES EQUIPOS EMPL'!E86^1)+3*(0.00006943248*'DATOS CORRECCIONES EQUIPOS EMPL'!E86^2)-4*(0.0000003821216*'DATOS CORRECCIONES EQUIPOS EMPL'!E86^3))/1000</f>
        <v>#VALUE!</v>
      </c>
      <c r="V134" s="484"/>
      <c r="W134" s="574" t="e">
        <f>IF(ABS(S134)&gt;=$Q$22,"Revisar pesada","ok")</f>
        <v>#VALUE!</v>
      </c>
      <c r="X134" s="570" t="str">
        <f>IF(ABS(E135-$E$70)&lt;=$V$45,"ok","Revisar")</f>
        <v>Revisar</v>
      </c>
      <c r="Y134" s="570" t="str">
        <f>IF(ABS(G134-E134)&gt;=$W$45,"Revisar","ok")</f>
        <v>ok</v>
      </c>
      <c r="Z134" s="570" t="str">
        <f t="shared" ref="Z134:Z143" si="27">IF(ABS(I135-$I$120)&lt;=$X$45,"ok","Revisar")</f>
        <v>ok</v>
      </c>
      <c r="AA134" s="570" t="str">
        <f t="shared" ref="AA134:AA143" si="28">IF(ABS(K135-$K$120)&lt;=$Y$45,"ok","Revisar")</f>
        <v>ok</v>
      </c>
    </row>
    <row r="135" spans="1:28" ht="13.5" hidden="1" thickBot="1" x14ac:dyDescent="0.25">
      <c r="A135" s="1345"/>
      <c r="B135" s="1346"/>
      <c r="C135" s="1345"/>
      <c r="D135" s="1346"/>
      <c r="E135" s="1180"/>
      <c r="F135" s="1181"/>
      <c r="G135" s="1180"/>
      <c r="H135" s="1181"/>
      <c r="I135" s="1173"/>
      <c r="J135" s="1174"/>
      <c r="K135" s="1173"/>
      <c r="L135" s="1174"/>
      <c r="M135" s="1154" t="e">
        <f>+(((0.34844*'DATOS CORRECCIONES EQUIPOS EMPL'!K87)+'DATOS CORRECCIONES EQUIPOS EMPL'!I87*((-0.00252*'DATOS CORRECCIONES EQUIPOS EMPL'!G87)+0.020582))/('DATOS CORRECCIONES EQUIPOS EMPL'!G87+273.15))/1000</f>
        <v>#VALUE!</v>
      </c>
      <c r="N135" s="1155"/>
      <c r="O135" s="1150" t="e">
        <f>IF('INCERTIDUMBRE DE LA MEDIDA'!$E$38="Kell",((999.85308+0.0632693*'DATOS CORRECCIONES EQUIPOS EMPL'!E87)-(0.00852393*'DATOS CORRECCIONES EQUIPOS EMPL'!E87^2)+(0.00006943248*'DATOS CORRECCIONES EQUIPOS EMPL'!E87^3)-(0.0000003821216*'DATOS CORRECCIONES EQUIPOS EMPL'!E87^4))/1000,(0.99997495*(1-(('DATOS CORRECCIONES EQUIPOS EMPL'!E87-3.983035)^2*('DATOS CORRECCIONES EQUIPOS EMPL'!E87+301.797))/(522528.9*('DATOS CORRECCIONES EQUIPOS EMPL'!E87+69.34881)))))</f>
        <v>#VALUE!</v>
      </c>
      <c r="P135" s="1151"/>
      <c r="Q135" s="1150" t="e">
        <f>IF($H$68=$H$165,(C135-A135-$D$41)*(((1/$R$21)*(($R$21-M135)/(O135-M135)))*(1-$F$22*('DATOS CORRECCIONES EQUIPOS EMPL'!$E87-20)))*1000,IF($H$68=$H$164,(C135-A135-$D$41)*(((1/$R$21)*(($R$21-M135)/(O135-M135)))*(1-$F$22*('DATOS CORRECCIONES EQUIPOS EMPL'!$E87-20))),(C135-A135-$D$41)*(((1/$R$21)*(($R$21-M135)/(O135-M135)))*(1-$F$22*('DATOS CORRECCIONES EQUIPOS EMPL'!$E87-20)))/1000))</f>
        <v>#VALUE!</v>
      </c>
      <c r="R135" s="1151"/>
      <c r="S135" s="1164" t="e">
        <f t="shared" ref="S135:S143" si="29">Q135-$F$132</f>
        <v>#VALUE!</v>
      </c>
      <c r="T135" s="1165"/>
      <c r="U135" s="406" t="e">
        <f>+(1*(0.0632693*'DATOS CORRECCIONES EQUIPOS EMPL'!E87^0)-2*(0.00852393*'DATOS CORRECCIONES EQUIPOS EMPL'!E87^1)+3*(0.00006943248*'DATOS CORRECCIONES EQUIPOS EMPL'!E87^2)-4*(0.0000003821216*'DATOS CORRECCIONES EQUIPOS EMPL'!E87^3))/1000</f>
        <v>#VALUE!</v>
      </c>
      <c r="V135" s="485"/>
      <c r="W135" s="574" t="e">
        <f t="shared" ref="W135:W143" si="30">IF(ABS(S135)&gt;=$Q$22,"Revisar pesada","ok")</f>
        <v>#VALUE!</v>
      </c>
      <c r="X135" s="570" t="str">
        <f t="shared" ref="X135:X142" si="31">IF(ABS(E136-$E$70)&lt;=$V$45,"ok","Revisar")</f>
        <v>Revisar</v>
      </c>
      <c r="Y135" s="570" t="str">
        <f t="shared" ref="Y135:Y143" si="32">IF(ABS(G135-E135)&gt;=$W$45,"Revisar","ok")</f>
        <v>ok</v>
      </c>
      <c r="Z135" s="570" t="str">
        <f t="shared" si="27"/>
        <v>ok</v>
      </c>
      <c r="AA135" s="570" t="str">
        <f t="shared" si="28"/>
        <v>ok</v>
      </c>
    </row>
    <row r="136" spans="1:28" ht="13.5" hidden="1" thickBot="1" x14ac:dyDescent="0.25">
      <c r="A136" s="1345"/>
      <c r="B136" s="1346"/>
      <c r="C136" s="1345"/>
      <c r="D136" s="1346"/>
      <c r="E136" s="1180"/>
      <c r="F136" s="1181"/>
      <c r="G136" s="1180"/>
      <c r="H136" s="1181"/>
      <c r="I136" s="1173"/>
      <c r="J136" s="1174"/>
      <c r="K136" s="1173"/>
      <c r="L136" s="1174"/>
      <c r="M136" s="1154" t="e">
        <f>+(((0.34844*'DATOS CORRECCIONES EQUIPOS EMPL'!K88)+'DATOS CORRECCIONES EQUIPOS EMPL'!I88*((-0.00252*'DATOS CORRECCIONES EQUIPOS EMPL'!G88)+0.020582))/('DATOS CORRECCIONES EQUIPOS EMPL'!G88+273.15))/1000</f>
        <v>#VALUE!</v>
      </c>
      <c r="N136" s="1155"/>
      <c r="O136" s="1150" t="e">
        <f>IF('INCERTIDUMBRE DE LA MEDIDA'!$E$38="Kell",((999.85308+0.0632693*'DATOS CORRECCIONES EQUIPOS EMPL'!E88)-(0.00852393*'DATOS CORRECCIONES EQUIPOS EMPL'!E88^2)+(0.00006943248*'DATOS CORRECCIONES EQUIPOS EMPL'!E88^3)-(0.0000003821216*'DATOS CORRECCIONES EQUIPOS EMPL'!E88^4))/1000,(0.99997495*(1-(('DATOS CORRECCIONES EQUIPOS EMPL'!E88-3.983035)^2*('DATOS CORRECCIONES EQUIPOS EMPL'!E88+301.797))/(522528.9*('DATOS CORRECCIONES EQUIPOS EMPL'!E88+69.34881)))))</f>
        <v>#VALUE!</v>
      </c>
      <c r="P136" s="1151"/>
      <c r="Q136" s="1150" t="e">
        <f>IF($H$68=$H$165,(C136-A136-$D$41)*(((1/$R$21)*(($R$21-M136)/(O136-M136)))*(1-$F$22*('DATOS CORRECCIONES EQUIPOS EMPL'!$E88-20)))*1000,IF($H$68=$H$164,(C136-A136-$D$41)*(((1/$R$21)*(($R$21-M136)/(O136-M136)))*(1-$F$22*('DATOS CORRECCIONES EQUIPOS EMPL'!$E88-20))),(C136-A136-$D$41)*(((1/$R$21)*(($R$21-M136)/(O136-M136)))*(1-$F$22*('DATOS CORRECCIONES EQUIPOS EMPL'!$E88-20)))/1000))</f>
        <v>#VALUE!</v>
      </c>
      <c r="R136" s="1151"/>
      <c r="S136" s="1164" t="e">
        <f t="shared" si="29"/>
        <v>#VALUE!</v>
      </c>
      <c r="T136" s="1165"/>
      <c r="U136" s="406" t="e">
        <f>+(1*(0.0632693*'DATOS CORRECCIONES EQUIPOS EMPL'!E88^0)-2*(0.00852393*'DATOS CORRECCIONES EQUIPOS EMPL'!E88^1)+3*(0.00006943248*'DATOS CORRECCIONES EQUIPOS EMPL'!E88^2)-4*(0.0000003821216*'DATOS CORRECCIONES EQUIPOS EMPL'!E88^3))/1000</f>
        <v>#VALUE!</v>
      </c>
      <c r="V136" s="485"/>
      <c r="W136" s="574" t="e">
        <f t="shared" si="30"/>
        <v>#VALUE!</v>
      </c>
      <c r="X136" s="570" t="str">
        <f t="shared" si="31"/>
        <v>Revisar</v>
      </c>
      <c r="Y136" s="570" t="str">
        <f t="shared" si="32"/>
        <v>ok</v>
      </c>
      <c r="Z136" s="570" t="str">
        <f t="shared" si="27"/>
        <v>ok</v>
      </c>
      <c r="AA136" s="570" t="str">
        <f t="shared" si="28"/>
        <v>ok</v>
      </c>
    </row>
    <row r="137" spans="1:28" ht="13.5" hidden="1" thickBot="1" x14ac:dyDescent="0.25">
      <c r="A137" s="1345"/>
      <c r="B137" s="1346"/>
      <c r="C137" s="1345"/>
      <c r="D137" s="1346"/>
      <c r="E137" s="1180"/>
      <c r="F137" s="1181"/>
      <c r="G137" s="1180"/>
      <c r="H137" s="1181"/>
      <c r="I137" s="1173"/>
      <c r="J137" s="1174"/>
      <c r="K137" s="1173"/>
      <c r="L137" s="1174"/>
      <c r="M137" s="1154" t="e">
        <f>+(((0.34844*'DATOS CORRECCIONES EQUIPOS EMPL'!K89)+'DATOS CORRECCIONES EQUIPOS EMPL'!I89*((-0.00252*'DATOS CORRECCIONES EQUIPOS EMPL'!G89)+0.020582))/('DATOS CORRECCIONES EQUIPOS EMPL'!G89+273.15))/1000</f>
        <v>#VALUE!</v>
      </c>
      <c r="N137" s="1155"/>
      <c r="O137" s="1150" t="e">
        <f>IF('INCERTIDUMBRE DE LA MEDIDA'!$E$38="Kell",((999.85308+0.0632693*'DATOS CORRECCIONES EQUIPOS EMPL'!E89)-(0.00852393*'DATOS CORRECCIONES EQUIPOS EMPL'!E89^2)+(0.00006943248*'DATOS CORRECCIONES EQUIPOS EMPL'!E89^3)-(0.0000003821216*'DATOS CORRECCIONES EQUIPOS EMPL'!E89^4))/1000,(0.99997495*(1-(('DATOS CORRECCIONES EQUIPOS EMPL'!E89-3.983035)^2*('DATOS CORRECCIONES EQUIPOS EMPL'!E89+301.797))/(522528.9*('DATOS CORRECCIONES EQUIPOS EMPL'!E89+69.34881)))))</f>
        <v>#VALUE!</v>
      </c>
      <c r="P137" s="1151"/>
      <c r="Q137" s="1150" t="e">
        <f>IF($H$68=$H$165,(C137-A137-$D$41)*(((1/$R$21)*(($R$21-M137)/(O137-M137)))*(1-$F$22*('DATOS CORRECCIONES EQUIPOS EMPL'!$E89-20)))*1000,IF($H$68=$H$164,(C137-A137-$D$41)*(((1/$R$21)*(($R$21-M137)/(O137-M137)))*(1-$F$22*('DATOS CORRECCIONES EQUIPOS EMPL'!$E89-20))),(C137-A137-$D$41)*(((1/$R$21)*(($R$21-M137)/(O137-M137)))*(1-$F$22*('DATOS CORRECCIONES EQUIPOS EMPL'!$E89-20)))/1000))</f>
        <v>#VALUE!</v>
      </c>
      <c r="R137" s="1151"/>
      <c r="S137" s="1164" t="e">
        <f t="shared" si="29"/>
        <v>#VALUE!</v>
      </c>
      <c r="T137" s="1165"/>
      <c r="U137" s="406" t="e">
        <f>+(1*(0.0632693*'DATOS CORRECCIONES EQUIPOS EMPL'!E89^0)-2*(0.00852393*'DATOS CORRECCIONES EQUIPOS EMPL'!E89^1)+3*(0.00006943248*'DATOS CORRECCIONES EQUIPOS EMPL'!E89^2)-4*(0.0000003821216*'DATOS CORRECCIONES EQUIPOS EMPL'!E89^3))/1000</f>
        <v>#VALUE!</v>
      </c>
      <c r="V137" s="485"/>
      <c r="W137" s="574" t="e">
        <f t="shared" si="30"/>
        <v>#VALUE!</v>
      </c>
      <c r="X137" s="570" t="str">
        <f t="shared" si="31"/>
        <v>Revisar</v>
      </c>
      <c r="Y137" s="570" t="str">
        <f t="shared" si="32"/>
        <v>ok</v>
      </c>
      <c r="Z137" s="570" t="str">
        <f t="shared" si="27"/>
        <v>ok</v>
      </c>
      <c r="AA137" s="570" t="str">
        <f t="shared" si="28"/>
        <v>ok</v>
      </c>
      <c r="AB137" s="3">
        <v>4</v>
      </c>
    </row>
    <row r="138" spans="1:28" ht="13.5" hidden="1" thickBot="1" x14ac:dyDescent="0.25">
      <c r="A138" s="1345"/>
      <c r="B138" s="1346"/>
      <c r="C138" s="1345"/>
      <c r="D138" s="1346"/>
      <c r="E138" s="1180"/>
      <c r="F138" s="1181"/>
      <c r="G138" s="1180"/>
      <c r="H138" s="1181"/>
      <c r="I138" s="1173"/>
      <c r="J138" s="1174"/>
      <c r="K138" s="1173"/>
      <c r="L138" s="1174"/>
      <c r="M138" s="1154" t="e">
        <f>+(((0.34844*'DATOS CORRECCIONES EQUIPOS EMPL'!K90)+'DATOS CORRECCIONES EQUIPOS EMPL'!I90*((-0.00252*'DATOS CORRECCIONES EQUIPOS EMPL'!G90)+0.020582))/('DATOS CORRECCIONES EQUIPOS EMPL'!G90+273.15))/1000</f>
        <v>#VALUE!</v>
      </c>
      <c r="N138" s="1155"/>
      <c r="O138" s="1150" t="e">
        <f>IF('INCERTIDUMBRE DE LA MEDIDA'!$E$38="Kell",((999.85308+0.0632693*'DATOS CORRECCIONES EQUIPOS EMPL'!E90)-(0.00852393*'DATOS CORRECCIONES EQUIPOS EMPL'!E90^2)+(0.00006943248*'DATOS CORRECCIONES EQUIPOS EMPL'!E90^3)-(0.0000003821216*'DATOS CORRECCIONES EQUIPOS EMPL'!E90^4))/1000,(0.99997495*(1-(('DATOS CORRECCIONES EQUIPOS EMPL'!E90-3.983035)^2*('DATOS CORRECCIONES EQUIPOS EMPL'!E90+301.797))/(522528.9*('DATOS CORRECCIONES EQUIPOS EMPL'!E90+69.34881)))))</f>
        <v>#VALUE!</v>
      </c>
      <c r="P138" s="1151"/>
      <c r="Q138" s="1150" t="e">
        <f>IF($H$68=$H$165,(C138-A138-$D$41)*(((1/$R$21)*(($R$21-M138)/(O138-M138)))*(1-$F$22*('DATOS CORRECCIONES EQUIPOS EMPL'!$E90-20)))*1000,IF($H$68=$H$164,(C138-A138-$D$41)*(((1/$R$21)*(($R$21-M138)/(O138-M138)))*(1-$F$22*('DATOS CORRECCIONES EQUIPOS EMPL'!$E90-20))),(C138-A138-$D$41)*(((1/$R$21)*(($R$21-M138)/(O138-M138)))*(1-$F$22*('DATOS CORRECCIONES EQUIPOS EMPL'!$E90-20)))/1000))</f>
        <v>#VALUE!</v>
      </c>
      <c r="R138" s="1151"/>
      <c r="S138" s="1164" t="e">
        <f t="shared" si="29"/>
        <v>#VALUE!</v>
      </c>
      <c r="T138" s="1165"/>
      <c r="U138" s="406" t="e">
        <f>+(1*(0.0632693*'DATOS CORRECCIONES EQUIPOS EMPL'!E90^0)-2*(0.00852393*'DATOS CORRECCIONES EQUIPOS EMPL'!E90^1)+3*(0.00006943248*'DATOS CORRECCIONES EQUIPOS EMPL'!E90^2)-4*(0.0000003821216*'DATOS CORRECCIONES EQUIPOS EMPL'!E90^3))/1000</f>
        <v>#VALUE!</v>
      </c>
      <c r="V138" s="485"/>
      <c r="W138" s="574" t="e">
        <f t="shared" si="30"/>
        <v>#VALUE!</v>
      </c>
      <c r="X138" s="570" t="str">
        <f t="shared" si="31"/>
        <v>Revisar</v>
      </c>
      <c r="Y138" s="570" t="str">
        <f t="shared" si="32"/>
        <v>ok</v>
      </c>
      <c r="Z138" s="570" t="str">
        <f t="shared" si="27"/>
        <v>ok</v>
      </c>
      <c r="AA138" s="570" t="str">
        <f t="shared" si="28"/>
        <v>ok</v>
      </c>
    </row>
    <row r="139" spans="1:28" ht="13.5" hidden="1" thickBot="1" x14ac:dyDescent="0.25">
      <c r="A139" s="1345"/>
      <c r="B139" s="1346"/>
      <c r="C139" s="1345"/>
      <c r="D139" s="1346"/>
      <c r="E139" s="1180"/>
      <c r="F139" s="1181"/>
      <c r="G139" s="1180"/>
      <c r="H139" s="1181"/>
      <c r="I139" s="1173"/>
      <c r="J139" s="1174"/>
      <c r="K139" s="1173"/>
      <c r="L139" s="1174"/>
      <c r="M139" s="1154" t="e">
        <f>+(((0.34844*'DATOS CORRECCIONES EQUIPOS EMPL'!K91)+'DATOS CORRECCIONES EQUIPOS EMPL'!I91*((-0.00252*'DATOS CORRECCIONES EQUIPOS EMPL'!G91)+0.020582))/('DATOS CORRECCIONES EQUIPOS EMPL'!G91+273.15))/1000</f>
        <v>#VALUE!</v>
      </c>
      <c r="N139" s="1155"/>
      <c r="O139" s="1150" t="e">
        <f>IF('INCERTIDUMBRE DE LA MEDIDA'!$E$38="Kell",((999.85308+0.0632693*'DATOS CORRECCIONES EQUIPOS EMPL'!E91)-(0.00852393*'DATOS CORRECCIONES EQUIPOS EMPL'!E91^2)+(0.00006943248*'DATOS CORRECCIONES EQUIPOS EMPL'!E91^3)-(0.0000003821216*'DATOS CORRECCIONES EQUIPOS EMPL'!E91^4))/1000,(0.99997495*(1-(('DATOS CORRECCIONES EQUIPOS EMPL'!E91-3.983035)^2*('DATOS CORRECCIONES EQUIPOS EMPL'!E91+301.797))/(522528.9*('DATOS CORRECCIONES EQUIPOS EMPL'!E91+69.34881)))))</f>
        <v>#VALUE!</v>
      </c>
      <c r="P139" s="1151"/>
      <c r="Q139" s="1150" t="e">
        <f>IF($H$68=$H$165,(C139-A139-$D$41)*(((1/$R$21)*(($R$21-M139)/(O139-M139)))*(1-$F$22*('DATOS CORRECCIONES EQUIPOS EMPL'!$E91-20)))*1000,IF($H$68=$H$164,(C139-A139-$D$41)*(((1/$R$21)*(($R$21-M139)/(O139-M139)))*(1-$F$22*('DATOS CORRECCIONES EQUIPOS EMPL'!$E91-20))),(C139-A139-$D$41)*(((1/$R$21)*(($R$21-M139)/(O139-M139)))*(1-$F$22*('DATOS CORRECCIONES EQUIPOS EMPL'!$E91-20)))/1000))</f>
        <v>#VALUE!</v>
      </c>
      <c r="R139" s="1151"/>
      <c r="S139" s="1164" t="e">
        <f t="shared" si="29"/>
        <v>#VALUE!</v>
      </c>
      <c r="T139" s="1165"/>
      <c r="U139" s="406" t="e">
        <f>+(1*(0.0632693*'DATOS CORRECCIONES EQUIPOS EMPL'!E91^0)-2*(0.00852393*'DATOS CORRECCIONES EQUIPOS EMPL'!E91^1)+3*(0.00006943248*'DATOS CORRECCIONES EQUIPOS EMPL'!E91^2)-4*(0.0000003821216*'DATOS CORRECCIONES EQUIPOS EMPL'!E91^3))/1000</f>
        <v>#VALUE!</v>
      </c>
      <c r="V139" s="485"/>
      <c r="W139" s="574" t="e">
        <f t="shared" si="30"/>
        <v>#VALUE!</v>
      </c>
      <c r="X139" s="570" t="str">
        <f t="shared" si="31"/>
        <v>Revisar</v>
      </c>
      <c r="Y139" s="570" t="str">
        <f t="shared" si="32"/>
        <v>ok</v>
      </c>
      <c r="Z139" s="570" t="str">
        <f t="shared" si="27"/>
        <v>ok</v>
      </c>
      <c r="AA139" s="570" t="str">
        <f t="shared" si="28"/>
        <v>ok</v>
      </c>
    </row>
    <row r="140" spans="1:28" ht="13.5" hidden="1" thickBot="1" x14ac:dyDescent="0.25">
      <c r="A140" s="1345"/>
      <c r="B140" s="1346"/>
      <c r="C140" s="1345"/>
      <c r="D140" s="1346"/>
      <c r="E140" s="1180"/>
      <c r="F140" s="1181"/>
      <c r="G140" s="1180"/>
      <c r="H140" s="1181"/>
      <c r="I140" s="1173"/>
      <c r="J140" s="1174"/>
      <c r="K140" s="1173"/>
      <c r="L140" s="1174"/>
      <c r="M140" s="1154" t="e">
        <f>+(((0.34844*'DATOS CORRECCIONES EQUIPOS EMPL'!K92)+'DATOS CORRECCIONES EQUIPOS EMPL'!I92*((-0.00252*'DATOS CORRECCIONES EQUIPOS EMPL'!G92)+0.020582))/('DATOS CORRECCIONES EQUIPOS EMPL'!G92+273.15))/1000</f>
        <v>#VALUE!</v>
      </c>
      <c r="N140" s="1155"/>
      <c r="O140" s="1150" t="e">
        <f>IF('INCERTIDUMBRE DE LA MEDIDA'!$E$38="Kell",((999.85308+0.0632693*'DATOS CORRECCIONES EQUIPOS EMPL'!E92)-(0.00852393*'DATOS CORRECCIONES EQUIPOS EMPL'!E92^2)+(0.00006943248*'DATOS CORRECCIONES EQUIPOS EMPL'!E92^3)-(0.0000003821216*'DATOS CORRECCIONES EQUIPOS EMPL'!E92^4))/1000,(0.99997495*(1-(('DATOS CORRECCIONES EQUIPOS EMPL'!E92-3.983035)^2*('DATOS CORRECCIONES EQUIPOS EMPL'!E92+301.797))/(522528.9*('DATOS CORRECCIONES EQUIPOS EMPL'!E92+69.34881)))))</f>
        <v>#VALUE!</v>
      </c>
      <c r="P140" s="1151"/>
      <c r="Q140" s="1150" t="e">
        <f>IF($H$68=$H$165,(C140-A140-$D$41)*(((1/$R$21)*(($R$21-M140)/(O140-M140)))*(1-$F$22*('DATOS CORRECCIONES EQUIPOS EMPL'!$E92-20)))*1000,IF($H$68=$H$164,(C140-A140-$D$41)*(((1/$R$21)*(($R$21-M140)/(O140-M140)))*(1-$F$22*('DATOS CORRECCIONES EQUIPOS EMPL'!$E92-20))),(C140-A140-$D$41)*(((1/$R$21)*(($R$21-M140)/(O140-M140)))*(1-$F$22*('DATOS CORRECCIONES EQUIPOS EMPL'!$E92-20)))/1000))</f>
        <v>#VALUE!</v>
      </c>
      <c r="R140" s="1151"/>
      <c r="S140" s="1164" t="e">
        <f t="shared" si="29"/>
        <v>#VALUE!</v>
      </c>
      <c r="T140" s="1165"/>
      <c r="U140" s="406" t="e">
        <f>+(1*(0.0632693*'DATOS CORRECCIONES EQUIPOS EMPL'!E92^0)-2*(0.00852393*'DATOS CORRECCIONES EQUIPOS EMPL'!E92^1)+3*(0.00006943248*'DATOS CORRECCIONES EQUIPOS EMPL'!E92^2)-4*(0.0000003821216*'DATOS CORRECCIONES EQUIPOS EMPL'!E92^3))/1000</f>
        <v>#VALUE!</v>
      </c>
      <c r="V140" s="485"/>
      <c r="W140" s="574" t="e">
        <f t="shared" si="30"/>
        <v>#VALUE!</v>
      </c>
      <c r="X140" s="570" t="str">
        <f t="shared" si="31"/>
        <v>Revisar</v>
      </c>
      <c r="Y140" s="570" t="str">
        <f t="shared" si="32"/>
        <v>ok</v>
      </c>
      <c r="Z140" s="570" t="str">
        <f t="shared" si="27"/>
        <v>ok</v>
      </c>
      <c r="AA140" s="570" t="str">
        <f t="shared" si="28"/>
        <v>ok</v>
      </c>
    </row>
    <row r="141" spans="1:28" ht="13.5" hidden="1" thickBot="1" x14ac:dyDescent="0.25">
      <c r="A141" s="1345"/>
      <c r="B141" s="1346"/>
      <c r="C141" s="1345"/>
      <c r="D141" s="1346"/>
      <c r="E141" s="1180"/>
      <c r="F141" s="1181"/>
      <c r="G141" s="1180"/>
      <c r="H141" s="1181"/>
      <c r="I141" s="1173"/>
      <c r="J141" s="1174"/>
      <c r="K141" s="1173"/>
      <c r="L141" s="1174"/>
      <c r="M141" s="1154" t="e">
        <f>+(((0.34844*'DATOS CORRECCIONES EQUIPOS EMPL'!K93)+'DATOS CORRECCIONES EQUIPOS EMPL'!I93*((-0.00252*'DATOS CORRECCIONES EQUIPOS EMPL'!G93)+0.020582))/('DATOS CORRECCIONES EQUIPOS EMPL'!G93+273.15))/1000</f>
        <v>#VALUE!</v>
      </c>
      <c r="N141" s="1155"/>
      <c r="O141" s="1150" t="e">
        <f>IF('INCERTIDUMBRE DE LA MEDIDA'!$E$38="Kell",((999.85308+0.0632693*'DATOS CORRECCIONES EQUIPOS EMPL'!E93)-(0.00852393*'DATOS CORRECCIONES EQUIPOS EMPL'!E93^2)+(0.00006943248*'DATOS CORRECCIONES EQUIPOS EMPL'!E93^3)-(0.0000003821216*'DATOS CORRECCIONES EQUIPOS EMPL'!E93^4))/1000,(0.99997495*(1-(('DATOS CORRECCIONES EQUIPOS EMPL'!E93-3.983035)^2*('DATOS CORRECCIONES EQUIPOS EMPL'!E93+301.797))/(522528.9*('DATOS CORRECCIONES EQUIPOS EMPL'!E93+69.34881)))))</f>
        <v>#VALUE!</v>
      </c>
      <c r="P141" s="1151"/>
      <c r="Q141" s="1150" t="e">
        <f>IF($H$68=$H$165,(C141-A141-$D$41)*(((1/$R$21)*(($R$21-M141)/(O141-M141)))*(1-$F$22*('DATOS CORRECCIONES EQUIPOS EMPL'!$E93-20)))*1000,IF($H$68=$H$164,(C141-A141-$D$41)*(((1/$R$21)*(($R$21-M141)/(O141-M141)))*(1-$F$22*('DATOS CORRECCIONES EQUIPOS EMPL'!$E93-20))),(C141-A141-$D$41)*(((1/$R$21)*(($R$21-M141)/(O141-M141)))*(1-$F$22*('DATOS CORRECCIONES EQUIPOS EMPL'!$E93-20)))/1000))</f>
        <v>#VALUE!</v>
      </c>
      <c r="R141" s="1151"/>
      <c r="S141" s="1164" t="e">
        <f t="shared" si="29"/>
        <v>#VALUE!</v>
      </c>
      <c r="T141" s="1165"/>
      <c r="U141" s="406" t="e">
        <f>+(1*(0.0632693*'DATOS CORRECCIONES EQUIPOS EMPL'!E93^0)-2*(0.00852393*'DATOS CORRECCIONES EQUIPOS EMPL'!E93^1)+3*(0.00006943248*'DATOS CORRECCIONES EQUIPOS EMPL'!E93^2)-4*(0.0000003821216*'DATOS CORRECCIONES EQUIPOS EMPL'!E93^3))/1000</f>
        <v>#VALUE!</v>
      </c>
      <c r="V141" s="485"/>
      <c r="W141" s="574" t="e">
        <f t="shared" si="30"/>
        <v>#VALUE!</v>
      </c>
      <c r="X141" s="570" t="str">
        <f t="shared" si="31"/>
        <v>Revisar</v>
      </c>
      <c r="Y141" s="570" t="str">
        <f t="shared" si="32"/>
        <v>ok</v>
      </c>
      <c r="Z141" s="570" t="str">
        <f t="shared" si="27"/>
        <v>ok</v>
      </c>
      <c r="AA141" s="570" t="str">
        <f t="shared" si="28"/>
        <v>ok</v>
      </c>
    </row>
    <row r="142" spans="1:28" ht="13.5" hidden="1" thickBot="1" x14ac:dyDescent="0.25">
      <c r="A142" s="1345"/>
      <c r="B142" s="1346"/>
      <c r="C142" s="1345"/>
      <c r="D142" s="1346"/>
      <c r="E142" s="1180"/>
      <c r="F142" s="1181"/>
      <c r="G142" s="1180"/>
      <c r="H142" s="1181"/>
      <c r="I142" s="1173"/>
      <c r="J142" s="1174"/>
      <c r="K142" s="1173"/>
      <c r="L142" s="1174"/>
      <c r="M142" s="1154" t="e">
        <f>+(((0.34844*'DATOS CORRECCIONES EQUIPOS EMPL'!K94)+'DATOS CORRECCIONES EQUIPOS EMPL'!I94*((-0.00252*'DATOS CORRECCIONES EQUIPOS EMPL'!G94)+0.020582))/('DATOS CORRECCIONES EQUIPOS EMPL'!G94+273.15))/1000</f>
        <v>#VALUE!</v>
      </c>
      <c r="N142" s="1155"/>
      <c r="O142" s="1150" t="e">
        <f>IF('INCERTIDUMBRE DE LA MEDIDA'!$E$38="Kell",((999.85308+0.0632693*'DATOS CORRECCIONES EQUIPOS EMPL'!E94)-(0.00852393*'DATOS CORRECCIONES EQUIPOS EMPL'!E94^2)+(0.00006943248*'DATOS CORRECCIONES EQUIPOS EMPL'!E94^3)-(0.0000003821216*'DATOS CORRECCIONES EQUIPOS EMPL'!E94^4))/1000,(0.99997495*(1-(('DATOS CORRECCIONES EQUIPOS EMPL'!E94-3.983035)^2*('DATOS CORRECCIONES EQUIPOS EMPL'!E94+301.797))/(522528.9*('DATOS CORRECCIONES EQUIPOS EMPL'!E94+69.34881)))))</f>
        <v>#VALUE!</v>
      </c>
      <c r="P142" s="1151"/>
      <c r="Q142" s="1150" t="e">
        <f>IF($H$68=$H$165,(C142-A142-$D$41)*(((1/$R$21)*(($R$21-M142)/(O142-M142)))*(1-$F$22*('DATOS CORRECCIONES EQUIPOS EMPL'!$E94-20)))*1000,IF($H$68=$H$164,(C142-A142-$D$41)*(((1/$R$21)*(($R$21-M142)/(O142-M142)))*(1-$F$22*('DATOS CORRECCIONES EQUIPOS EMPL'!$E94-20))),(C142-A142-$D$41)*(((1/$R$21)*(($R$21-M142)/(O142-M142)))*(1-$F$22*('DATOS CORRECCIONES EQUIPOS EMPL'!$E94-20)))/1000))</f>
        <v>#VALUE!</v>
      </c>
      <c r="R142" s="1151"/>
      <c r="S142" s="1164" t="e">
        <f t="shared" si="29"/>
        <v>#VALUE!</v>
      </c>
      <c r="T142" s="1165"/>
      <c r="U142" s="406" t="e">
        <f>+(1*(0.0632693*'DATOS CORRECCIONES EQUIPOS EMPL'!E94^0)-2*(0.00852393*'DATOS CORRECCIONES EQUIPOS EMPL'!E94^1)+3*(0.00006943248*'DATOS CORRECCIONES EQUIPOS EMPL'!E94^2)-4*(0.0000003821216*'DATOS CORRECCIONES EQUIPOS EMPL'!E94^3))/1000</f>
        <v>#VALUE!</v>
      </c>
      <c r="V142" s="485"/>
      <c r="W142" s="574" t="e">
        <f t="shared" si="30"/>
        <v>#VALUE!</v>
      </c>
      <c r="X142" s="570" t="str">
        <f t="shared" si="31"/>
        <v>Revisar</v>
      </c>
      <c r="Y142" s="570" t="str">
        <f t="shared" si="32"/>
        <v>ok</v>
      </c>
      <c r="Z142" s="570" t="str">
        <f t="shared" si="27"/>
        <v>ok</v>
      </c>
      <c r="AA142" s="570" t="str">
        <f t="shared" si="28"/>
        <v>ok</v>
      </c>
    </row>
    <row r="143" spans="1:28" ht="13.5" hidden="1" thickBot="1" x14ac:dyDescent="0.25">
      <c r="A143" s="1345"/>
      <c r="B143" s="1346"/>
      <c r="C143" s="1345"/>
      <c r="D143" s="1346"/>
      <c r="E143" s="1180"/>
      <c r="F143" s="1181"/>
      <c r="G143" s="1180"/>
      <c r="H143" s="1181"/>
      <c r="I143" s="1173"/>
      <c r="J143" s="1174"/>
      <c r="K143" s="1173"/>
      <c r="L143" s="1174"/>
      <c r="M143" s="1154" t="e">
        <f>+(((0.34844*'DATOS CORRECCIONES EQUIPOS EMPL'!K95)+'DATOS CORRECCIONES EQUIPOS EMPL'!I95*((-0.00252*'DATOS CORRECCIONES EQUIPOS EMPL'!G95)+0.020582))/('DATOS CORRECCIONES EQUIPOS EMPL'!G95+273.15))/1000</f>
        <v>#VALUE!</v>
      </c>
      <c r="N143" s="1155"/>
      <c r="O143" s="1150" t="e">
        <f>IF('INCERTIDUMBRE DE LA MEDIDA'!$E$38="Kell",((999.85308+0.0632693*'DATOS CORRECCIONES EQUIPOS EMPL'!E95)-(0.00852393*'DATOS CORRECCIONES EQUIPOS EMPL'!E95^2)+(0.00006943248*'DATOS CORRECCIONES EQUIPOS EMPL'!E95^3)-(0.0000003821216*'DATOS CORRECCIONES EQUIPOS EMPL'!E95^4))/1000,(0.99997495*(1-(('DATOS CORRECCIONES EQUIPOS EMPL'!E95-3.983035)^2*('DATOS CORRECCIONES EQUIPOS EMPL'!E95+301.797))/(522528.9*('DATOS CORRECCIONES EQUIPOS EMPL'!E95+69.34881)))))</f>
        <v>#VALUE!</v>
      </c>
      <c r="P143" s="1151"/>
      <c r="Q143" s="1150" t="e">
        <f>IF($H$68=$H$165,(C143-A143-$D$41)*(((1/$R$21)*(($R$21-M143)/(O143-M143)))*(1-$F$22*('DATOS CORRECCIONES EQUIPOS EMPL'!$E95-20)))*1000,IF($H$68=$H$164,(C143-A143-$D$41)*(((1/$R$21)*(($R$21-M143)/(O143-M143)))*(1-$F$22*('DATOS CORRECCIONES EQUIPOS EMPL'!$E95-20))),(C143-A143-$D$41)*(((1/$R$21)*(($R$21-M143)/(O143-M143)))*(1-$F$22*('DATOS CORRECCIONES EQUIPOS EMPL'!$E95-20)))/1000))</f>
        <v>#VALUE!</v>
      </c>
      <c r="R143" s="1151"/>
      <c r="S143" s="1164" t="e">
        <f t="shared" si="29"/>
        <v>#VALUE!</v>
      </c>
      <c r="T143" s="1165"/>
      <c r="U143" s="406" t="e">
        <f>+(1*(0.0632693*'DATOS CORRECCIONES EQUIPOS EMPL'!E95^0)-2*(0.00852393*'DATOS CORRECCIONES EQUIPOS EMPL'!E95^1)+3*(0.00006943248*'DATOS CORRECCIONES EQUIPOS EMPL'!E95^2)-4*(0.0000003821216*'DATOS CORRECCIONES EQUIPOS EMPL'!E95^3))/1000</f>
        <v>#VALUE!</v>
      </c>
      <c r="V143" s="485"/>
      <c r="W143" s="574" t="e">
        <f t="shared" si="30"/>
        <v>#VALUE!</v>
      </c>
      <c r="X143" s="570" t="e">
        <f>IF(ABS(E144-$E$70)&lt;=$V$45,"ok","Revisar")</f>
        <v>#VALUE!</v>
      </c>
      <c r="Y143" s="570" t="str">
        <f t="shared" si="32"/>
        <v>ok</v>
      </c>
      <c r="Z143" s="570" t="e">
        <f t="shared" si="27"/>
        <v>#VALUE!</v>
      </c>
      <c r="AA143" s="570" t="e">
        <f t="shared" si="28"/>
        <v>#VALUE!</v>
      </c>
    </row>
    <row r="144" spans="1:28" hidden="1" x14ac:dyDescent="0.2">
      <c r="A144" s="1132" t="str">
        <f>IF(ISBLANK(A134)," ",AVERAGE(A134:B143))</f>
        <v xml:space="preserve"> </v>
      </c>
      <c r="B144" s="1132"/>
      <c r="C144" s="1132" t="str">
        <f>IF(ISBLANK(C134)," ",AVERAGE(C134:D143))</f>
        <v xml:space="preserve"> </v>
      </c>
      <c r="D144" s="1132"/>
      <c r="E144" s="1132" t="str">
        <f>IF(ISBLANK(E134)," ",AVERAGE(E134:F143))</f>
        <v xml:space="preserve"> </v>
      </c>
      <c r="F144" s="1132"/>
      <c r="G144" s="1132" t="str">
        <f>IF(ISBLANK(G134)," ",AVERAGE(G134:H143))</f>
        <v xml:space="preserve"> </v>
      </c>
      <c r="H144" s="1132"/>
      <c r="I144" s="1364" t="str">
        <f>IF(ISBLANK(I134)," ",AVERAGE(I134:J143))</f>
        <v xml:space="preserve"> </v>
      </c>
      <c r="J144" s="1365"/>
      <c r="K144" s="1132" t="str">
        <f>IF(ISBLANK(K134)," ",AVERAGE(K134:L143))</f>
        <v xml:space="preserve"> </v>
      </c>
      <c r="L144" s="1132"/>
      <c r="M144" s="1166" t="e">
        <f>AVERAGE(M134:N143)</f>
        <v>#VALUE!</v>
      </c>
      <c r="N144" s="1167"/>
      <c r="O144" s="1166" t="e">
        <f>AVERAGE(O134:P143)</f>
        <v>#VALUE!</v>
      </c>
      <c r="P144" s="1167"/>
      <c r="Q144" s="1166" t="e">
        <f>AVERAGE(Q134:R143)</f>
        <v>#VALUE!</v>
      </c>
      <c r="R144" s="1167"/>
      <c r="S144" s="1166" t="e">
        <f>AVERAGE(S134:T143)</f>
        <v>#VALUE!</v>
      </c>
      <c r="T144" s="1167"/>
      <c r="U144" s="407" t="e">
        <f>AVERAGE(U134:V143)</f>
        <v>#VALUE!</v>
      </c>
      <c r="V144" s="486" t="e">
        <f>('INCERTIDUMBRE DE LA MEDIDA'!P307)</f>
        <v>#VALUE!</v>
      </c>
      <c r="W144" s="1157" t="e">
        <f>IF(LEN(W134)+LEN(W135)+LEN(W136)+LEN(W137)+LEN(W138)+LEN(W139)+LEN(W140)+LEN(W141)+LEN(W142)+LEN(W143)+LEN(X134)+LEN(X135)+LEN(X136)+LEN(X137)+LEN(X138)+LEN(X139)+LEN(X140)+LEN(X141)+LEN(X142)+LEN(X143)+LEN(Y134)+LEN(Y135)+LEN(Y136)+LEN(Y137)+LEN(Y138)+LEN(Y139)+LEN(Y140)+LEN(Y141)+LEN(Y142)+LEN(Y143)+LEN(Z134)+LEN(Z135)+LEN(Z136)+LEN(Z137)+LEN(Z138)+LEN(Z139)+LEN(Z140)+LEN(Z141)+LEN(Z142)+LEN(Z143)+LEN(AA134)+LEN(AA135)+LEN(AA136)+LEN(AA137)+LEN(AA138)+LEN(AA139)+LEN(AA140)+LEN(AA141)+LEN(AA142)+LEN(AA143)=100,"Revisado OK","Revisar")</f>
        <v>#VALUE!</v>
      </c>
      <c r="X144" s="1158"/>
      <c r="Y144" s="1158"/>
      <c r="Z144" s="1158"/>
      <c r="AA144" s="602"/>
    </row>
    <row r="145" spans="1:27" hidden="1" x14ac:dyDescent="0.2">
      <c r="A145" s="137"/>
      <c r="B145" s="137"/>
      <c r="C145" s="1134" t="e">
        <f>ABS(S144)</f>
        <v>#VALUE!</v>
      </c>
      <c r="D145" s="1134"/>
      <c r="E145" s="1134">
        <f>MAX(E134:E143)-MIN(E134:E143)</f>
        <v>0</v>
      </c>
      <c r="F145" s="1134"/>
      <c r="G145" s="1134">
        <f>MAX(G134:G143)-MIN(G134:G143)</f>
        <v>0</v>
      </c>
      <c r="H145" s="1134"/>
      <c r="I145" s="1134">
        <f>MAX(I134:I143)-MIN(I134:I143)</f>
        <v>0</v>
      </c>
      <c r="J145" s="1134"/>
      <c r="K145" s="1134">
        <f>MAX(K134:K143)-MIN(K134:K143)</f>
        <v>0</v>
      </c>
      <c r="L145" s="1134"/>
      <c r="Q145" s="1152" t="str">
        <f>CONCATENATE("CV ",$H$68)</f>
        <v>CV µL</v>
      </c>
      <c r="R145" s="1153"/>
      <c r="S145" s="1361" t="e">
        <f>STDEVA(S134:T143)</f>
        <v>#VALUE!</v>
      </c>
      <c r="T145" s="1362"/>
      <c r="U145" s="187" t="s">
        <v>271</v>
      </c>
      <c r="V145" s="178" t="e">
        <f>ABS(IF(H36=Q179,(S145*100/Q144)*(F132/M21),IF(H21=Q180,(S145*100/Q144),"")))</f>
        <v>#VALUE!</v>
      </c>
      <c r="W145" s="1117"/>
      <c r="X145" s="1118"/>
      <c r="Y145" s="1118"/>
      <c r="Z145" s="1118"/>
      <c r="AA145" s="1119"/>
    </row>
    <row r="146" spans="1:27" hidden="1" x14ac:dyDescent="0.2">
      <c r="Q146" s="1152" t="str">
        <f>CONCATENATE("E ",$H$68)</f>
        <v>E µL</v>
      </c>
      <c r="R146" s="1153"/>
      <c r="S146" s="1150" t="e">
        <f>F132-Q144</f>
        <v>#VALUE!</v>
      </c>
      <c r="T146" s="1151"/>
      <c r="U146" s="187" t="s">
        <v>274</v>
      </c>
      <c r="V146" s="178" t="e">
        <f>ABS(IF(H36=Q179,S146*100/M21,IF(H21=Q180,S146*100/K36,"")))</f>
        <v>#VALUE!</v>
      </c>
    </row>
    <row r="147" spans="1:27" ht="14.25" hidden="1" x14ac:dyDescent="0.2">
      <c r="Q147" s="1239" t="s">
        <v>462</v>
      </c>
      <c r="R147" s="1240"/>
      <c r="S147" s="1241" t="str">
        <f>IF(ISBLANK($Q$22),"",IF($N$24="simple",IF(AND(ABS(S146)&lt;=$Q$22,S145&lt;=$Q$23,R148&gt;=3),"Cumple","No Cumple"),IF($N$24="Conservadora",IF(AND(ABS(S146)+V144&lt;=$Q$22,S145&lt;=$Q$23),"Cumple","No Cumple"),"N.A.")))</f>
        <v>N.A.</v>
      </c>
      <c r="T147" s="1242"/>
      <c r="U147" s="532" t="str">
        <f>IF(ISBLANK($Q$22),"",IF($N$24="simple",IF(AND(ABS(S145)&lt;=$Q$23,ABS(S146)&lt;=$Q$22),"Cumple","No Cumple"),IF($N$24="Conservadora",IF(AND(ABS(S145)+U144&lt;=$Q$23,ABS(S146)+U144&lt;=$Q$22),"Cumple","No Cumple"),"N.A.")))</f>
        <v>N.A.</v>
      </c>
      <c r="V147" s="482"/>
    </row>
    <row r="148" spans="1:27" hidden="1" x14ac:dyDescent="0.2">
      <c r="M148" s="143"/>
      <c r="Q148" s="694" t="s">
        <v>581</v>
      </c>
      <c r="R148" s="695">
        <f>$Q$22/3</f>
        <v>2.6666666666666665</v>
      </c>
      <c r="S148" s="1172" t="e">
        <f>IF(V144&lt;=R148,"ok","Revisar TUR")</f>
        <v>#VALUE!</v>
      </c>
      <c r="T148" s="1172"/>
    </row>
    <row r="149" spans="1:27" ht="13.5" thickBot="1" x14ac:dyDescent="0.25">
      <c r="S149" s="193"/>
      <c r="T149" s="193"/>
    </row>
    <row r="150" spans="1:27" x14ac:dyDescent="0.2">
      <c r="B150" s="1355" t="s">
        <v>51</v>
      </c>
      <c r="C150" s="1356"/>
      <c r="D150" s="1356"/>
      <c r="E150" s="1356"/>
      <c r="F150" s="1356"/>
      <c r="G150" s="1356"/>
      <c r="H150" s="1356"/>
      <c r="I150" s="1356"/>
      <c r="J150" s="1356"/>
      <c r="K150" s="1356"/>
      <c r="L150" s="1356"/>
      <c r="M150" s="1356"/>
      <c r="N150" s="1356"/>
      <c r="O150" s="1356"/>
      <c r="P150" s="1356"/>
      <c r="Q150" s="1356"/>
      <c r="R150" s="1356"/>
      <c r="S150" s="1357"/>
    </row>
    <row r="151" spans="1:27" x14ac:dyDescent="0.2">
      <c r="B151" s="1358"/>
      <c r="C151" s="1359"/>
      <c r="D151" s="1359"/>
      <c r="E151" s="1359"/>
      <c r="F151" s="1359"/>
      <c r="G151" s="1359"/>
      <c r="H151" s="1359"/>
      <c r="I151" s="1359"/>
      <c r="J151" s="1359"/>
      <c r="K151" s="1359"/>
      <c r="L151" s="1359"/>
      <c r="M151" s="1359"/>
      <c r="N151" s="1359"/>
      <c r="O151" s="1359"/>
      <c r="P151" s="1359"/>
      <c r="Q151" s="1359"/>
      <c r="R151" s="1359"/>
      <c r="S151" s="1360"/>
    </row>
    <row r="152" spans="1:27" x14ac:dyDescent="0.2">
      <c r="B152" s="1358"/>
      <c r="C152" s="1359"/>
      <c r="D152" s="1359"/>
      <c r="E152" s="1359"/>
      <c r="F152" s="1359"/>
      <c r="G152" s="1359"/>
      <c r="H152" s="1359"/>
      <c r="I152" s="1359"/>
      <c r="J152" s="1359"/>
      <c r="K152" s="1359"/>
      <c r="L152" s="1359"/>
      <c r="M152" s="1359"/>
      <c r="N152" s="1359"/>
      <c r="O152" s="1359"/>
      <c r="P152" s="1359"/>
      <c r="Q152" s="1359"/>
      <c r="R152" s="1359"/>
      <c r="S152" s="1360"/>
    </row>
    <row r="153" spans="1:27" x14ac:dyDescent="0.2">
      <c r="B153" s="1358"/>
      <c r="C153" s="1359"/>
      <c r="D153" s="1359"/>
      <c r="E153" s="1359"/>
      <c r="F153" s="1359"/>
      <c r="G153" s="1359"/>
      <c r="H153" s="1359"/>
      <c r="I153" s="1359"/>
      <c r="J153" s="1359"/>
      <c r="K153" s="1359"/>
      <c r="L153" s="1359"/>
      <c r="M153" s="1359"/>
      <c r="N153" s="1359"/>
      <c r="O153" s="1359"/>
      <c r="P153" s="1359"/>
      <c r="Q153" s="1359"/>
      <c r="R153" s="1359"/>
      <c r="S153" s="1360"/>
    </row>
    <row r="154" spans="1:27" ht="13.5" thickBot="1" x14ac:dyDescent="0.25">
      <c r="B154" s="147"/>
      <c r="C154" s="148"/>
      <c r="D154" s="148"/>
      <c r="E154" s="148"/>
      <c r="F154" s="149"/>
      <c r="G154" s="149"/>
      <c r="H154" s="149"/>
      <c r="I154" s="149"/>
      <c r="J154" s="146"/>
      <c r="K154" s="146"/>
      <c r="L154" s="148"/>
      <c r="M154" s="148"/>
      <c r="N154" s="148"/>
      <c r="O154" s="148"/>
      <c r="P154" s="149"/>
      <c r="Q154" s="149"/>
      <c r="R154" s="149"/>
      <c r="S154" s="150"/>
    </row>
    <row r="155" spans="1:27" x14ac:dyDescent="0.2">
      <c r="B155" s="139"/>
      <c r="C155" s="139"/>
      <c r="D155" s="139"/>
      <c r="E155" s="139"/>
      <c r="F155" s="140"/>
      <c r="G155" s="140"/>
      <c r="H155" s="140"/>
      <c r="I155" s="140"/>
      <c r="L155" s="139"/>
      <c r="M155" s="139"/>
      <c r="N155" s="139"/>
      <c r="O155" s="139"/>
      <c r="P155" s="140"/>
      <c r="Q155" s="140"/>
      <c r="R155" s="140"/>
      <c r="S155" s="140"/>
    </row>
    <row r="156" spans="1:27" x14ac:dyDescent="0.2">
      <c r="B156" s="139"/>
      <c r="C156" s="139"/>
      <c r="D156" s="139"/>
      <c r="E156" s="139"/>
      <c r="F156" s="140"/>
      <c r="G156" s="140"/>
      <c r="H156" s="140"/>
      <c r="I156" s="140"/>
      <c r="L156" s="139"/>
      <c r="M156" s="139"/>
      <c r="N156" s="139"/>
      <c r="O156" s="139"/>
      <c r="P156" s="140"/>
      <c r="Q156" s="140"/>
      <c r="R156" s="140"/>
      <c r="S156" s="140"/>
    </row>
    <row r="157" spans="1:27" ht="15" x14ac:dyDescent="0.25">
      <c r="B157" s="183" t="s">
        <v>31</v>
      </c>
      <c r="C157" s="184"/>
      <c r="D157" s="184"/>
      <c r="E157" s="2"/>
      <c r="F157" s="2"/>
      <c r="G157" s="2"/>
      <c r="I157" s="2"/>
      <c r="J157" s="1197" t="s">
        <v>313</v>
      </c>
      <c r="K157" s="1197"/>
      <c r="L157" s="1197"/>
      <c r="N157" s="179"/>
      <c r="O157" s="179"/>
      <c r="P157" s="140"/>
      <c r="Q157" s="140"/>
      <c r="R157" s="140"/>
      <c r="S157" s="140"/>
    </row>
    <row r="158" spans="1:27" ht="15.75" thickBot="1" x14ac:dyDescent="0.3">
      <c r="B158" s="185" t="s">
        <v>33</v>
      </c>
      <c r="C158" s="186"/>
      <c r="D158" s="186"/>
      <c r="E158" s="2"/>
      <c r="F158" s="2"/>
      <c r="G158" s="2"/>
      <c r="I158" s="2"/>
      <c r="J158" s="1363" t="s">
        <v>32</v>
      </c>
      <c r="K158" s="1363"/>
      <c r="L158" s="1363"/>
      <c r="N158" s="179"/>
      <c r="O158" s="179"/>
      <c r="P158" s="140"/>
      <c r="Q158" s="140"/>
      <c r="R158" s="140"/>
      <c r="S158" s="140"/>
    </row>
    <row r="159" spans="1:27" ht="13.5" thickBot="1" x14ac:dyDescent="0.25">
      <c r="B159" s="1189" t="s">
        <v>357</v>
      </c>
      <c r="C159" s="1190"/>
      <c r="D159" s="1190"/>
      <c r="E159" s="1190"/>
      <c r="F159" s="1191"/>
      <c r="G159" s="134"/>
      <c r="H159" s="134"/>
      <c r="I159" s="134"/>
      <c r="J159" s="1189" t="s">
        <v>732</v>
      </c>
      <c r="K159" s="1190"/>
      <c r="L159" s="1190"/>
      <c r="M159" s="1190"/>
      <c r="N159" s="1191"/>
      <c r="O159" s="134"/>
    </row>
    <row r="160" spans="1:27" ht="13.5" thickBot="1" x14ac:dyDescent="0.25">
      <c r="B160" s="1192" t="s">
        <v>53</v>
      </c>
      <c r="C160" s="1193"/>
      <c r="D160" s="1193"/>
      <c r="E160" s="1193"/>
      <c r="F160" s="1194"/>
      <c r="G160" s="134"/>
      <c r="H160" s="141"/>
      <c r="I160" s="141"/>
      <c r="J160" s="1192" t="s">
        <v>36</v>
      </c>
      <c r="K160" s="1193"/>
      <c r="L160" s="1193"/>
      <c r="M160" s="1193"/>
      <c r="N160" s="1194"/>
      <c r="O160" s="180"/>
    </row>
    <row r="161" spans="1:33" x14ac:dyDescent="0.2">
      <c r="B161" s="142"/>
      <c r="C161" s="142"/>
      <c r="D161" s="142"/>
      <c r="E161" s="142"/>
      <c r="F161" s="142"/>
      <c r="G161" s="134"/>
      <c r="H161" s="141"/>
      <c r="I161" s="141"/>
      <c r="J161" s="141"/>
      <c r="K161" s="4"/>
      <c r="L161" s="4"/>
      <c r="M161" s="4"/>
      <c r="N161" s="4"/>
      <c r="O161" s="4"/>
    </row>
    <row r="162" spans="1:33" hidden="1" x14ac:dyDescent="0.2">
      <c r="B162" s="142"/>
      <c r="C162" s="142"/>
      <c r="D162" s="142"/>
      <c r="E162" s="142"/>
      <c r="F162" s="142"/>
      <c r="G162" s="134"/>
      <c r="H162" s="141"/>
      <c r="I162" s="141"/>
      <c r="J162" s="141"/>
      <c r="K162" s="4"/>
      <c r="L162" s="4"/>
      <c r="M162" s="4"/>
      <c r="N162" s="4"/>
      <c r="O162" s="4"/>
    </row>
    <row r="163" spans="1:33" ht="49.5" hidden="1" customHeight="1" x14ac:dyDescent="0.2">
      <c r="A163" s="119" t="s">
        <v>20</v>
      </c>
      <c r="B163" s="534"/>
      <c r="C163" s="534"/>
      <c r="D163" s="534"/>
      <c r="E163" s="534" t="s">
        <v>55</v>
      </c>
      <c r="F163" s="534"/>
      <c r="G163" s="135"/>
      <c r="H163" s="535" t="s">
        <v>22</v>
      </c>
      <c r="I163" s="535"/>
      <c r="J163" s="535"/>
      <c r="K163" s="416" t="s">
        <v>34</v>
      </c>
      <c r="L163" s="416"/>
      <c r="M163" s="416" t="s">
        <v>35</v>
      </c>
      <c r="N163" s="416"/>
      <c r="O163" s="416"/>
      <c r="P163" s="119"/>
      <c r="Q163" s="119" t="s">
        <v>783</v>
      </c>
      <c r="R163" s="119"/>
      <c r="S163" s="119"/>
      <c r="T163" s="119"/>
      <c r="U163" s="119" t="s">
        <v>325</v>
      </c>
      <c r="V163" s="119"/>
      <c r="W163" s="133"/>
      <c r="X163" s="119"/>
      <c r="Y163" s="119"/>
      <c r="Z163" s="614" t="s">
        <v>332</v>
      </c>
      <c r="AA163" s="607"/>
      <c r="AB163" s="617" t="s">
        <v>550</v>
      </c>
      <c r="AC163" s="119"/>
      <c r="AD163" s="119"/>
      <c r="AE163" s="119"/>
      <c r="AF163" s="119"/>
      <c r="AG163" s="119"/>
    </row>
    <row r="164" spans="1:33" ht="12.75" hidden="1" customHeight="1" x14ac:dyDescent="0.2">
      <c r="A164" s="3" t="s">
        <v>560</v>
      </c>
      <c r="B164" s="435" t="s">
        <v>733</v>
      </c>
      <c r="C164" s="435"/>
      <c r="D164" s="435"/>
      <c r="E164" s="435"/>
      <c r="F164" s="435"/>
      <c r="G164" s="435"/>
      <c r="H164" s="435" t="s">
        <v>177</v>
      </c>
      <c r="I164" s="435"/>
      <c r="J164" s="435"/>
      <c r="K164" s="435" t="s">
        <v>357</v>
      </c>
      <c r="L164" s="435"/>
      <c r="M164" s="435" t="s">
        <v>257</v>
      </c>
      <c r="N164" s="435"/>
      <c r="O164" s="435"/>
      <c r="P164" s="435"/>
      <c r="Q164" s="436" t="s">
        <v>181</v>
      </c>
      <c r="R164" s="435"/>
      <c r="S164" s="435"/>
      <c r="T164" s="435"/>
      <c r="U164" s="435" t="s">
        <v>326</v>
      </c>
      <c r="Z164" s="178" t="s">
        <v>333</v>
      </c>
      <c r="AA164" s="615"/>
      <c r="AB164" s="417">
        <v>1.0000000000000001E-5</v>
      </c>
      <c r="AC164" s="304" t="s">
        <v>365</v>
      </c>
      <c r="AD164" s="422"/>
      <c r="AE164" s="304"/>
    </row>
    <row r="165" spans="1:33" ht="12.75" hidden="1" customHeight="1" x14ac:dyDescent="0.3">
      <c r="A165" s="4" t="s">
        <v>559</v>
      </c>
      <c r="B165" s="435" t="s">
        <v>734</v>
      </c>
      <c r="C165" s="435"/>
      <c r="D165" s="435"/>
      <c r="E165" s="435"/>
      <c r="F165" s="435"/>
      <c r="G165" s="435"/>
      <c r="H165" s="437" t="s">
        <v>260</v>
      </c>
      <c r="I165" s="435"/>
      <c r="J165" s="435"/>
      <c r="K165" s="435" t="s">
        <v>258</v>
      </c>
      <c r="L165" s="435"/>
      <c r="M165" s="435" t="s">
        <v>53</v>
      </c>
      <c r="N165" s="435"/>
      <c r="O165" s="435"/>
      <c r="P165" s="435"/>
      <c r="Q165" s="435" t="s">
        <v>539</v>
      </c>
      <c r="R165" s="435"/>
      <c r="S165" s="435"/>
      <c r="T165" s="435"/>
      <c r="U165" s="435"/>
      <c r="Z165" s="178" t="s">
        <v>334</v>
      </c>
      <c r="AA165" s="615"/>
      <c r="AB165" s="417">
        <v>1.5E-5</v>
      </c>
      <c r="AC165" s="304" t="s">
        <v>365</v>
      </c>
    </row>
    <row r="166" spans="1:33" ht="12.75" hidden="1" customHeight="1" x14ac:dyDescent="0.2">
      <c r="B166" s="435"/>
      <c r="C166" s="435"/>
      <c r="D166" s="435"/>
      <c r="E166" s="435"/>
      <c r="F166" s="435"/>
      <c r="G166" s="435"/>
      <c r="H166" s="435" t="s">
        <v>261</v>
      </c>
      <c r="I166" s="435"/>
      <c r="J166" s="435"/>
      <c r="K166" s="435" t="s">
        <v>428</v>
      </c>
      <c r="L166" s="435"/>
      <c r="M166" s="435" t="s">
        <v>36</v>
      </c>
      <c r="N166" s="435"/>
      <c r="O166" s="435"/>
      <c r="P166" s="435"/>
      <c r="Q166" s="435" t="s">
        <v>549</v>
      </c>
      <c r="R166" s="435"/>
      <c r="S166" s="435"/>
      <c r="T166" s="435"/>
      <c r="U166" s="435"/>
      <c r="Z166" s="178" t="s">
        <v>335</v>
      </c>
      <c r="AA166" s="615"/>
      <c r="AB166" s="417">
        <v>2.5000000000000001E-5</v>
      </c>
      <c r="AC166" s="304" t="s">
        <v>365</v>
      </c>
    </row>
    <row r="167" spans="1:33" ht="12.75" hidden="1" customHeight="1" x14ac:dyDescent="0.2">
      <c r="A167" s="3" t="s">
        <v>561</v>
      </c>
      <c r="B167" s="435"/>
      <c r="C167" s="435"/>
      <c r="D167" s="435"/>
      <c r="E167" s="435"/>
      <c r="F167" s="435"/>
      <c r="G167" s="435"/>
      <c r="H167" s="435"/>
      <c r="I167" s="435"/>
      <c r="J167" s="435"/>
      <c r="K167" s="3" t="s">
        <v>732</v>
      </c>
      <c r="L167" s="435"/>
      <c r="M167" s="435" t="s">
        <v>36</v>
      </c>
      <c r="N167" s="435"/>
      <c r="O167" s="435"/>
      <c r="P167" s="435"/>
      <c r="Q167" s="462" t="s">
        <v>259</v>
      </c>
      <c r="R167" s="435"/>
      <c r="S167" s="435"/>
      <c r="T167" s="435"/>
      <c r="U167" s="435"/>
      <c r="Z167" s="178" t="s">
        <v>336</v>
      </c>
      <c r="AA167" s="615"/>
      <c r="AB167" s="417">
        <v>2.4000000000000001E-4</v>
      </c>
      <c r="AC167" s="304" t="s">
        <v>365</v>
      </c>
    </row>
    <row r="168" spans="1:33" ht="12.75" hidden="1" customHeight="1" x14ac:dyDescent="0.2">
      <c r="A168" s="3" t="s">
        <v>562</v>
      </c>
      <c r="B168" s="435"/>
      <c r="C168" s="435"/>
      <c r="D168" s="435"/>
      <c r="E168" s="462" t="s">
        <v>459</v>
      </c>
      <c r="F168" s="462"/>
      <c r="G168" s="462"/>
      <c r="H168" s="462" t="s">
        <v>460</v>
      </c>
      <c r="I168" s="462"/>
      <c r="J168" s="462"/>
      <c r="N168" s="435"/>
      <c r="O168" s="435"/>
      <c r="P168" s="435"/>
      <c r="Q168" s="435"/>
      <c r="R168" s="435"/>
      <c r="S168" s="435"/>
      <c r="T168" s="435"/>
      <c r="U168" s="435"/>
      <c r="Z168" s="178" t="s">
        <v>358</v>
      </c>
      <c r="AA168" s="615"/>
      <c r="AB168" s="417">
        <v>4.4999999999999999E-4</v>
      </c>
      <c r="AC168" s="304" t="s">
        <v>365</v>
      </c>
    </row>
    <row r="169" spans="1:33" ht="12.75" hidden="1" customHeight="1" x14ac:dyDescent="0.2">
      <c r="A169" s="3" t="s">
        <v>563</v>
      </c>
      <c r="E169" s="462"/>
      <c r="F169" s="462"/>
      <c r="G169" s="462"/>
      <c r="H169" s="462" t="s">
        <v>457</v>
      </c>
      <c r="I169" s="462"/>
      <c r="J169" s="462"/>
      <c r="Z169" s="178" t="s">
        <v>359</v>
      </c>
      <c r="AA169" s="615"/>
      <c r="AB169" s="417">
        <v>2.1000000000000001E-4</v>
      </c>
      <c r="AC169" s="304" t="s">
        <v>365</v>
      </c>
    </row>
    <row r="170" spans="1:33" ht="12.75" hidden="1" customHeight="1" thickBot="1" x14ac:dyDescent="0.25">
      <c r="A170" s="3" t="s">
        <v>564</v>
      </c>
      <c r="E170" s="462"/>
      <c r="F170" s="462"/>
      <c r="G170" s="462"/>
      <c r="H170" s="462" t="s">
        <v>259</v>
      </c>
      <c r="I170" s="462"/>
      <c r="J170" s="462"/>
      <c r="Z170" s="178" t="s">
        <v>337</v>
      </c>
      <c r="AA170" s="615"/>
      <c r="AB170" s="417">
        <v>4.7700000000000001E-5</v>
      </c>
      <c r="AC170" s="304" t="s">
        <v>365</v>
      </c>
    </row>
    <row r="171" spans="1:33" ht="12.75" hidden="1" customHeight="1" thickBot="1" x14ac:dyDescent="0.25">
      <c r="A171" s="3" t="s">
        <v>565</v>
      </c>
      <c r="H171" s="692"/>
      <c r="Z171" s="178" t="s">
        <v>735</v>
      </c>
      <c r="AA171" s="615"/>
      <c r="AB171" s="417">
        <v>3.3000000000000003E-5</v>
      </c>
      <c r="AC171" s="304" t="s">
        <v>365</v>
      </c>
    </row>
    <row r="172" spans="1:33" ht="12.75" hidden="1" customHeight="1" x14ac:dyDescent="0.2">
      <c r="A172" s="3" t="s">
        <v>566</v>
      </c>
      <c r="H172" s="462" t="s">
        <v>14</v>
      </c>
      <c r="Z172" s="178" t="s">
        <v>354</v>
      </c>
      <c r="AA172" s="615"/>
      <c r="AB172" s="417">
        <v>5.1800000000000004E-6</v>
      </c>
      <c r="AC172" s="304" t="s">
        <v>365</v>
      </c>
    </row>
    <row r="173" spans="1:33" ht="12.75" hidden="1" customHeight="1" x14ac:dyDescent="0.2">
      <c r="H173" s="462" t="s">
        <v>10</v>
      </c>
      <c r="Z173" s="178" t="s">
        <v>360</v>
      </c>
      <c r="AA173" s="616"/>
      <c r="AB173" s="423">
        <v>9.9000000000000001E-6</v>
      </c>
    </row>
    <row r="174" spans="1:33" ht="12.75" hidden="1" customHeight="1" x14ac:dyDescent="0.2">
      <c r="A174" s="1417" t="s">
        <v>763</v>
      </c>
      <c r="B174" s="1417"/>
      <c r="C174" s="1417"/>
      <c r="D174" s="1067">
        <v>10</v>
      </c>
      <c r="E174" s="429"/>
      <c r="F174" s="429"/>
      <c r="G174" s="429"/>
      <c r="H174" s="462" t="s">
        <v>259</v>
      </c>
      <c r="I174" s="429"/>
      <c r="J174" s="429"/>
      <c r="K174" s="429"/>
      <c r="L174" s="429"/>
      <c r="M174" s="429"/>
      <c r="N174" s="429"/>
      <c r="O174" s="429"/>
      <c r="P174" s="429"/>
      <c r="Q174" s="429"/>
      <c r="R174" s="429"/>
      <c r="S174" s="1195"/>
      <c r="T174" s="1195"/>
      <c r="U174" s="1195"/>
      <c r="V174" s="1195"/>
      <c r="W174" s="1195"/>
      <c r="X174" s="1195"/>
      <c r="Z174" s="178" t="s">
        <v>361</v>
      </c>
      <c r="AA174" s="178"/>
      <c r="AB174" s="423">
        <v>2.6999999999999999E-5</v>
      </c>
    </row>
    <row r="175" spans="1:33" ht="12.75" hidden="1" customHeight="1" x14ac:dyDescent="0.2">
      <c r="A175" s="1163" t="s">
        <v>764</v>
      </c>
      <c r="B175" s="1163"/>
      <c r="C175" s="575" t="s">
        <v>765</v>
      </c>
      <c r="D175" s="575"/>
      <c r="E175" s="575"/>
      <c r="F175" s="575"/>
      <c r="G175" s="575"/>
      <c r="H175" s="575"/>
      <c r="I175" s="1163"/>
      <c r="J175" s="1163"/>
      <c r="K175" s="1163"/>
      <c r="L175" s="1163"/>
      <c r="M175" s="1163"/>
      <c r="N175" s="1163"/>
      <c r="O175" s="1163"/>
      <c r="P175" s="1163"/>
      <c r="Q175" s="1163"/>
      <c r="R175" s="1163"/>
      <c r="S175" s="1163"/>
      <c r="T175" s="1163"/>
      <c r="U175" s="1163"/>
      <c r="V175" s="1163"/>
      <c r="W175" s="1163"/>
      <c r="X175" s="1163"/>
      <c r="Z175" s="178" t="s">
        <v>362</v>
      </c>
      <c r="AA175" s="178"/>
      <c r="AB175" s="423">
        <v>4.4999999999999999E-4</v>
      </c>
      <c r="AC175" s="304"/>
    </row>
    <row r="176" spans="1:33" ht="12.75" hidden="1" customHeight="1" x14ac:dyDescent="0.2">
      <c r="A176" s="401" t="s">
        <v>583</v>
      </c>
      <c r="B176" s="401"/>
      <c r="C176" s="1177" t="s">
        <v>584</v>
      </c>
      <c r="D176" s="1177"/>
      <c r="E176" s="1177"/>
      <c r="F176" s="1177"/>
      <c r="G176" s="1177"/>
      <c r="H176" s="1177"/>
      <c r="I176" s="1163"/>
      <c r="J176" s="1163"/>
      <c r="K176" s="1163"/>
      <c r="L176" s="1163"/>
      <c r="M176" s="1163"/>
      <c r="N176" s="1163"/>
      <c r="O176" s="1163"/>
      <c r="P176" s="1163"/>
      <c r="Q176" s="1163"/>
      <c r="R176" s="1163"/>
      <c r="S176" s="1163"/>
      <c r="T176" s="1163"/>
      <c r="U176" s="1163"/>
      <c r="V176" s="1163"/>
      <c r="W176" s="1163"/>
      <c r="X176" s="1163"/>
      <c r="Z176" s="178" t="s">
        <v>363</v>
      </c>
      <c r="AA176" s="178"/>
      <c r="AB176" s="423">
        <v>3.5100000000000002E-4</v>
      </c>
    </row>
    <row r="177" spans="1:28" ht="12.75" hidden="1" customHeight="1" x14ac:dyDescent="0.2">
      <c r="A177" s="401"/>
      <c r="B177" s="401"/>
      <c r="C177" s="1196"/>
      <c r="D177" s="1196"/>
      <c r="E177" s="1196"/>
      <c r="F177" s="1196"/>
      <c r="G177" s="1196"/>
      <c r="H177" s="1196"/>
      <c r="I177" s="1163"/>
      <c r="J177" s="1163"/>
      <c r="K177" s="1196"/>
      <c r="L177" s="1196"/>
      <c r="M177" s="1196"/>
      <c r="N177" s="1196"/>
      <c r="O177" s="1196"/>
      <c r="P177" s="1196"/>
      <c r="Q177" s="1163"/>
      <c r="R177" s="1163"/>
      <c r="S177" s="1196"/>
      <c r="T177" s="1196"/>
      <c r="U177" s="1196"/>
      <c r="V177" s="1196"/>
      <c r="W177" s="1196"/>
      <c r="X177" s="1196"/>
      <c r="Z177" s="178" t="s">
        <v>364</v>
      </c>
      <c r="AA177" s="178"/>
      <c r="AB177" s="423">
        <v>3.3E-4</v>
      </c>
    </row>
    <row r="178" spans="1:28" ht="12.75" hidden="1" customHeight="1" x14ac:dyDescent="0.2">
      <c r="A178" s="421"/>
      <c r="B178" s="421"/>
      <c r="C178" s="424"/>
      <c r="D178" s="424"/>
      <c r="E178" s="424"/>
      <c r="F178" s="424"/>
      <c r="G178" s="424"/>
      <c r="H178" s="424"/>
      <c r="I178" s="421"/>
      <c r="J178" s="421"/>
      <c r="K178" s="424"/>
      <c r="L178" s="424"/>
      <c r="M178" s="424"/>
      <c r="N178" s="424"/>
      <c r="O178" s="424"/>
      <c r="P178" s="424"/>
      <c r="Q178" s="421"/>
      <c r="R178" s="421"/>
      <c r="S178" s="424"/>
      <c r="T178" s="424"/>
      <c r="U178" s="424"/>
      <c r="V178" s="424"/>
      <c r="W178" s="578"/>
      <c r="X178" s="424"/>
      <c r="Z178" s="571"/>
      <c r="AA178" s="573"/>
      <c r="AB178" s="423"/>
    </row>
    <row r="179" spans="1:28" ht="15" hidden="1" x14ac:dyDescent="0.25">
      <c r="A179" s="144"/>
      <c r="B179" s="144"/>
      <c r="C179" s="144"/>
      <c r="D179" s="144"/>
      <c r="E179" s="144"/>
      <c r="F179" s="144"/>
      <c r="G179" s="145"/>
      <c r="H179" s="144"/>
      <c r="I179" s="144"/>
      <c r="J179" s="144"/>
      <c r="K179" s="144"/>
      <c r="L179" s="144"/>
      <c r="M179" s="144"/>
      <c r="N179" s="144"/>
      <c r="O179" s="144"/>
      <c r="P179" s="144"/>
      <c r="Q179" s="144"/>
      <c r="R179" s="144"/>
      <c r="S179" s="144"/>
      <c r="T179" s="144"/>
      <c r="U179" s="144"/>
      <c r="V179" s="144"/>
      <c r="W179" s="489"/>
      <c r="X179" s="144"/>
      <c r="AB179" s="434"/>
    </row>
    <row r="180" spans="1:28" ht="15" x14ac:dyDescent="0.25">
      <c r="A180" s="1350" t="s">
        <v>263</v>
      </c>
      <c r="B180" s="1351"/>
      <c r="C180" s="1351"/>
      <c r="D180" s="1351"/>
      <c r="E180" s="1351"/>
      <c r="F180" s="1351"/>
      <c r="G180" s="1351"/>
      <c r="H180" s="1351"/>
      <c r="I180" s="1351"/>
      <c r="J180" s="1351"/>
      <c r="K180" s="1351"/>
      <c r="L180" s="1351"/>
      <c r="M180" s="1351"/>
      <c r="N180" s="1351"/>
      <c r="O180" s="1351"/>
      <c r="P180" s="1351"/>
      <c r="Q180" s="1351"/>
      <c r="R180" s="1351"/>
      <c r="S180" s="1351"/>
      <c r="T180" s="1351"/>
      <c r="U180" s="1351"/>
      <c r="V180" s="1351"/>
      <c r="W180" s="1351"/>
      <c r="X180" s="1352"/>
      <c r="AB180" s="434"/>
    </row>
    <row r="181" spans="1:28" ht="15" x14ac:dyDescent="0.25">
      <c r="A181" s="1350" t="s">
        <v>264</v>
      </c>
      <c r="B181" s="1352"/>
      <c r="C181" s="1350" t="s">
        <v>265</v>
      </c>
      <c r="D181" s="1351"/>
      <c r="E181" s="1351"/>
      <c r="F181" s="1351"/>
      <c r="G181" s="1351"/>
      <c r="H181" s="1351"/>
      <c r="I181" s="1351"/>
      <c r="J181" s="1351"/>
      <c r="K181" s="1352"/>
      <c r="L181" s="1350" t="s">
        <v>266</v>
      </c>
      <c r="M181" s="1351"/>
      <c r="N181" s="1351"/>
      <c r="O181" s="1351"/>
      <c r="P181" s="1351"/>
      <c r="Q181" s="1351"/>
      <c r="R181" s="1351"/>
      <c r="S181" s="1352"/>
      <c r="T181" s="1371" t="s">
        <v>267</v>
      </c>
      <c r="U181" s="1372"/>
      <c r="V181" s="1372"/>
      <c r="W181" s="1372"/>
      <c r="X181" s="1373"/>
      <c r="AB181" s="434"/>
    </row>
    <row r="182" spans="1:28" ht="15" x14ac:dyDescent="0.25">
      <c r="A182" s="1350">
        <v>2</v>
      </c>
      <c r="B182" s="1352"/>
      <c r="C182" s="1198" t="s">
        <v>366</v>
      </c>
      <c r="D182" s="1199"/>
      <c r="E182" s="1199"/>
      <c r="F182" s="1199"/>
      <c r="G182" s="1199"/>
      <c r="H182" s="1199"/>
      <c r="I182" s="1199"/>
      <c r="J182" s="1199"/>
      <c r="K182" s="1200"/>
      <c r="L182" s="1377" t="s">
        <v>314</v>
      </c>
      <c r="M182" s="1378"/>
      <c r="N182" s="1378"/>
      <c r="O182" s="1378"/>
      <c r="P182" s="1378"/>
      <c r="Q182" s="1378"/>
      <c r="R182" s="1378"/>
      <c r="S182" s="1379"/>
      <c r="T182" s="1368">
        <v>43495</v>
      </c>
      <c r="U182" s="1369"/>
      <c r="V182" s="1369"/>
      <c r="W182" s="1369"/>
      <c r="X182" s="1370"/>
    </row>
    <row r="183" spans="1:28" s="119" customFormat="1" ht="15" x14ac:dyDescent="0.2">
      <c r="A183" s="1367">
        <v>3</v>
      </c>
      <c r="B183" s="1349"/>
      <c r="C183" s="1186" t="s">
        <v>736</v>
      </c>
      <c r="D183" s="1187"/>
      <c r="E183" s="1187"/>
      <c r="F183" s="1187"/>
      <c r="G183" s="1187"/>
      <c r="H183" s="1187"/>
      <c r="I183" s="1187"/>
      <c r="J183" s="1187"/>
      <c r="K183" s="1188"/>
      <c r="L183" s="1374" t="s">
        <v>314</v>
      </c>
      <c r="M183" s="1375"/>
      <c r="N183" s="1375"/>
      <c r="O183" s="1375"/>
      <c r="P183" s="1375"/>
      <c r="Q183" s="1375"/>
      <c r="R183" s="1375"/>
      <c r="S183" s="1376"/>
      <c r="T183" s="1347">
        <v>43663</v>
      </c>
      <c r="U183" s="1348"/>
      <c r="V183" s="1348"/>
      <c r="W183" s="1348"/>
      <c r="X183" s="1349"/>
    </row>
    <row r="184" spans="1:28" s="119" customFormat="1" ht="15" x14ac:dyDescent="0.2">
      <c r="A184" s="1367">
        <v>4</v>
      </c>
      <c r="B184" s="1349"/>
      <c r="C184" s="1186" t="s">
        <v>368</v>
      </c>
      <c r="D184" s="1187"/>
      <c r="E184" s="1187"/>
      <c r="F184" s="1187"/>
      <c r="G184" s="1187"/>
      <c r="H184" s="1187"/>
      <c r="I184" s="1187"/>
      <c r="J184" s="1187"/>
      <c r="K184" s="1188"/>
      <c r="L184" s="1354" t="s">
        <v>357</v>
      </c>
      <c r="M184" s="1348"/>
      <c r="N184" s="1348"/>
      <c r="O184" s="1348"/>
      <c r="P184" s="1348"/>
      <c r="Q184" s="1348"/>
      <c r="R184" s="1348"/>
      <c r="S184" s="1349"/>
      <c r="T184" s="1347">
        <v>44238</v>
      </c>
      <c r="U184" s="1348"/>
      <c r="V184" s="1348"/>
      <c r="W184" s="1348"/>
      <c r="X184" s="1349"/>
    </row>
    <row r="185" spans="1:28" ht="15" x14ac:dyDescent="0.25">
      <c r="A185" s="1367">
        <v>5</v>
      </c>
      <c r="B185" s="1349"/>
      <c r="C185" s="1186" t="s">
        <v>737</v>
      </c>
      <c r="D185" s="1187"/>
      <c r="E185" s="1187"/>
      <c r="F185" s="1187"/>
      <c r="G185" s="1187"/>
      <c r="H185" s="1187"/>
      <c r="I185" s="1187"/>
      <c r="J185" s="1187"/>
      <c r="K185" s="1188"/>
      <c r="L185" s="1354" t="s">
        <v>357</v>
      </c>
      <c r="M185" s="1348"/>
      <c r="N185" s="1348"/>
      <c r="O185" s="1348"/>
      <c r="P185" s="1348"/>
      <c r="Q185" s="1348"/>
      <c r="R185" s="1348"/>
      <c r="S185" s="1349"/>
      <c r="T185" s="1368">
        <v>44315</v>
      </c>
      <c r="U185" s="1351"/>
      <c r="V185" s="1351"/>
      <c r="W185" s="1351"/>
      <c r="X185" s="1352"/>
    </row>
    <row r="186" spans="1:28" ht="15" x14ac:dyDescent="0.25">
      <c r="A186" s="1367">
        <v>6</v>
      </c>
      <c r="B186" s="1349"/>
      <c r="C186" s="1186" t="s">
        <v>393</v>
      </c>
      <c r="D186" s="1187"/>
      <c r="E186" s="1187"/>
      <c r="F186" s="1187"/>
      <c r="G186" s="1187"/>
      <c r="H186" s="1187"/>
      <c r="I186" s="1187"/>
      <c r="J186" s="1187"/>
      <c r="K186" s="1188"/>
      <c r="L186" s="1353" t="s">
        <v>357</v>
      </c>
      <c r="M186" s="1348"/>
      <c r="N186" s="1348"/>
      <c r="O186" s="1348"/>
      <c r="P186" s="1348"/>
      <c r="Q186" s="1348"/>
      <c r="R186" s="1348"/>
      <c r="S186" s="1349"/>
      <c r="T186" s="1368">
        <v>44407</v>
      </c>
      <c r="U186" s="1351"/>
      <c r="V186" s="1351"/>
      <c r="W186" s="1351"/>
      <c r="X186" s="1352"/>
    </row>
    <row r="187" spans="1:28" ht="15" x14ac:dyDescent="0.25">
      <c r="A187" s="1350"/>
      <c r="B187" s="1352"/>
      <c r="C187" s="1350"/>
      <c r="D187" s="1351"/>
      <c r="E187" s="1351"/>
      <c r="F187" s="1351"/>
      <c r="G187" s="1351"/>
      <c r="H187" s="1351"/>
      <c r="I187" s="1351"/>
      <c r="J187" s="1351"/>
      <c r="K187" s="1352"/>
      <c r="L187" s="1350"/>
      <c r="M187" s="1351"/>
      <c r="N187" s="1351"/>
      <c r="O187" s="1351"/>
      <c r="P187" s="1351"/>
      <c r="Q187" s="1351"/>
      <c r="R187" s="1351"/>
      <c r="S187" s="1352"/>
      <c r="T187" s="1350"/>
      <c r="U187" s="1351"/>
      <c r="V187" s="1351"/>
      <c r="W187" s="1351"/>
      <c r="X187" s="1352"/>
    </row>
    <row r="188" spans="1:28" ht="15" x14ac:dyDescent="0.25">
      <c r="A188" s="1350"/>
      <c r="B188" s="1352"/>
      <c r="C188" s="1350"/>
      <c r="D188" s="1351"/>
      <c r="E188" s="1351"/>
      <c r="F188" s="1351"/>
      <c r="G188" s="1351"/>
      <c r="H188" s="1351"/>
      <c r="I188" s="1351"/>
      <c r="J188" s="1351"/>
      <c r="K188" s="1352"/>
      <c r="L188" s="1350"/>
      <c r="M188" s="1351"/>
      <c r="N188" s="1351"/>
      <c r="O188" s="1351"/>
      <c r="P188" s="1351"/>
      <c r="Q188" s="1351"/>
      <c r="R188" s="1351"/>
      <c r="S188" s="1352"/>
      <c r="T188" s="1350"/>
      <c r="U188" s="1351"/>
      <c r="V188" s="1351"/>
      <c r="W188" s="1351"/>
      <c r="X188" s="1352"/>
    </row>
  </sheetData>
  <sheetProtection algorithmName="SHA-512" hashValue="91+R/SWN8UDhmfsClAxZ4lZSe2eilE+OW4vbQwCYnV58eVRGtAGV6bLIAnLqE/hRDJVfFXTKsGiCNcGQ2RH76g==" saltValue="zKT/WSV1Mnnaw7qvevnANw==" spinCount="100000" sheet="1" selectLockedCells="1"/>
  <dataConsolidate/>
  <mergeCells count="935">
    <mergeCell ref="A174:C174"/>
    <mergeCell ref="A83:E83"/>
    <mergeCell ref="A99:E99"/>
    <mergeCell ref="A67:E67"/>
    <mergeCell ref="A15:B15"/>
    <mergeCell ref="C15:H15"/>
    <mergeCell ref="I15:J15"/>
    <mergeCell ref="K15:O15"/>
    <mergeCell ref="P15:Q15"/>
    <mergeCell ref="Q147:R147"/>
    <mergeCell ref="I141:J141"/>
    <mergeCell ref="K141:L141"/>
    <mergeCell ref="M141:N141"/>
    <mergeCell ref="O141:P141"/>
    <mergeCell ref="Q141:R141"/>
    <mergeCell ref="O142:P142"/>
    <mergeCell ref="C135:D135"/>
    <mergeCell ref="E135:F135"/>
    <mergeCell ref="G135:H135"/>
    <mergeCell ref="I135:J135"/>
    <mergeCell ref="K135:L135"/>
    <mergeCell ref="M135:N135"/>
    <mergeCell ref="O135:P135"/>
    <mergeCell ref="Q135:R135"/>
    <mergeCell ref="W15:Z15"/>
    <mergeCell ref="A144:B144"/>
    <mergeCell ref="S142:T142"/>
    <mergeCell ref="A143:B143"/>
    <mergeCell ref="C143:D143"/>
    <mergeCell ref="E143:F143"/>
    <mergeCell ref="G143:H143"/>
    <mergeCell ref="I143:J143"/>
    <mergeCell ref="K143:L143"/>
    <mergeCell ref="M143:N143"/>
    <mergeCell ref="O143:P143"/>
    <mergeCell ref="Q143:R143"/>
    <mergeCell ref="S143:T143"/>
    <mergeCell ref="A142:B142"/>
    <mergeCell ref="C142:D142"/>
    <mergeCell ref="E142:F142"/>
    <mergeCell ref="G142:H142"/>
    <mergeCell ref="I142:J142"/>
    <mergeCell ref="Q142:R142"/>
    <mergeCell ref="K142:L142"/>
    <mergeCell ref="M142:N142"/>
    <mergeCell ref="E141:F141"/>
    <mergeCell ref="G141:H141"/>
    <mergeCell ref="S141:T141"/>
    <mergeCell ref="W144:Z144"/>
    <mergeCell ref="C145:D145"/>
    <mergeCell ref="E145:F145"/>
    <mergeCell ref="G145:H145"/>
    <mergeCell ref="I145:J145"/>
    <mergeCell ref="K145:L145"/>
    <mergeCell ref="Q145:R145"/>
    <mergeCell ref="S145:T145"/>
    <mergeCell ref="C144:D144"/>
    <mergeCell ref="E144:F144"/>
    <mergeCell ref="G144:H144"/>
    <mergeCell ref="I144:J144"/>
    <mergeCell ref="K144:L144"/>
    <mergeCell ref="M144:N144"/>
    <mergeCell ref="O144:P144"/>
    <mergeCell ref="Q144:R144"/>
    <mergeCell ref="E140:F140"/>
    <mergeCell ref="G140:H140"/>
    <mergeCell ref="I140:J140"/>
    <mergeCell ref="K140:L140"/>
    <mergeCell ref="M140:N140"/>
    <mergeCell ref="O140:P140"/>
    <mergeCell ref="Q140:R140"/>
    <mergeCell ref="S147:T147"/>
    <mergeCell ref="S144:T144"/>
    <mergeCell ref="Q146:R146"/>
    <mergeCell ref="S146:T146"/>
    <mergeCell ref="S140:T140"/>
    <mergeCell ref="A141:B141"/>
    <mergeCell ref="C141:D141"/>
    <mergeCell ref="S138:T138"/>
    <mergeCell ref="A139:B139"/>
    <mergeCell ref="C139:D139"/>
    <mergeCell ref="E139:F139"/>
    <mergeCell ref="G139:H139"/>
    <mergeCell ref="I139:J139"/>
    <mergeCell ref="K139:L139"/>
    <mergeCell ref="M139:N139"/>
    <mergeCell ref="O139:P139"/>
    <mergeCell ref="Q139:R139"/>
    <mergeCell ref="S139:T139"/>
    <mergeCell ref="A138:B138"/>
    <mergeCell ref="C138:D138"/>
    <mergeCell ref="E138:F138"/>
    <mergeCell ref="G138:H138"/>
    <mergeCell ref="I138:J138"/>
    <mergeCell ref="K138:L138"/>
    <mergeCell ref="M138:N138"/>
    <mergeCell ref="O138:P138"/>
    <mergeCell ref="Q138:R138"/>
    <mergeCell ref="A140:B140"/>
    <mergeCell ref="C140:D140"/>
    <mergeCell ref="Q99:R99"/>
    <mergeCell ref="S99:T99"/>
    <mergeCell ref="S137:T137"/>
    <mergeCell ref="A136:B136"/>
    <mergeCell ref="C136:D136"/>
    <mergeCell ref="E136:F136"/>
    <mergeCell ref="G136:H136"/>
    <mergeCell ref="I136:J136"/>
    <mergeCell ref="K136:L136"/>
    <mergeCell ref="M136:N136"/>
    <mergeCell ref="O136:P136"/>
    <mergeCell ref="Q136:R136"/>
    <mergeCell ref="A137:B137"/>
    <mergeCell ref="C137:D137"/>
    <mergeCell ref="E137:F137"/>
    <mergeCell ref="G137:H137"/>
    <mergeCell ref="I137:J137"/>
    <mergeCell ref="K137:L137"/>
    <mergeCell ref="M137:N137"/>
    <mergeCell ref="O137:P137"/>
    <mergeCell ref="Q137:R137"/>
    <mergeCell ref="S136:T136"/>
    <mergeCell ref="A135:B135"/>
    <mergeCell ref="C101:D101"/>
    <mergeCell ref="W112:Z112"/>
    <mergeCell ref="W128:Z128"/>
    <mergeCell ref="C132:E132"/>
    <mergeCell ref="F132:G132"/>
    <mergeCell ref="A133:B133"/>
    <mergeCell ref="C133:D133"/>
    <mergeCell ref="E133:F133"/>
    <mergeCell ref="G133:H133"/>
    <mergeCell ref="I133:J133"/>
    <mergeCell ref="K133:L133"/>
    <mergeCell ref="M133:N133"/>
    <mergeCell ref="O133:P133"/>
    <mergeCell ref="Q133:R133"/>
    <mergeCell ref="S133:T133"/>
    <mergeCell ref="C113:D113"/>
    <mergeCell ref="E113:F113"/>
    <mergeCell ref="G113:H113"/>
    <mergeCell ref="I113:J113"/>
    <mergeCell ref="K113:L113"/>
    <mergeCell ref="C129:D129"/>
    <mergeCell ref="E129:F129"/>
    <mergeCell ref="S131:T131"/>
    <mergeCell ref="S130:T130"/>
    <mergeCell ref="G128:H128"/>
    <mergeCell ref="A27:T27"/>
    <mergeCell ref="I125:J125"/>
    <mergeCell ref="C128:D128"/>
    <mergeCell ref="E128:F128"/>
    <mergeCell ref="S127:T127"/>
    <mergeCell ref="K126:L126"/>
    <mergeCell ref="M126:N126"/>
    <mergeCell ref="O126:P126"/>
    <mergeCell ref="K124:L124"/>
    <mergeCell ref="M124:N124"/>
    <mergeCell ref="O124:P124"/>
    <mergeCell ref="Q124:R124"/>
    <mergeCell ref="K125:L125"/>
    <mergeCell ref="M125:N125"/>
    <mergeCell ref="O125:P125"/>
    <mergeCell ref="Q125:R125"/>
    <mergeCell ref="M28:T28"/>
    <mergeCell ref="E126:F126"/>
    <mergeCell ref="I124:J124"/>
    <mergeCell ref="A121:B121"/>
    <mergeCell ref="C121:D121"/>
    <mergeCell ref="A124:B124"/>
    <mergeCell ref="C124:D124"/>
    <mergeCell ref="A101:B101"/>
    <mergeCell ref="A16:T16"/>
    <mergeCell ref="P14:Q14"/>
    <mergeCell ref="K7:N7"/>
    <mergeCell ref="K9:N9"/>
    <mergeCell ref="A11:E11"/>
    <mergeCell ref="O7:S7"/>
    <mergeCell ref="A9:E9"/>
    <mergeCell ref="I14:J14"/>
    <mergeCell ref="A14:B14"/>
    <mergeCell ref="O9:S9"/>
    <mergeCell ref="R14:T14"/>
    <mergeCell ref="F7:J7"/>
    <mergeCell ref="F11:J11"/>
    <mergeCell ref="F9:J9"/>
    <mergeCell ref="A7:E7"/>
    <mergeCell ref="A13:T13"/>
    <mergeCell ref="R15:T15"/>
    <mergeCell ref="A188:B188"/>
    <mergeCell ref="C187:K187"/>
    <mergeCell ref="A187:B187"/>
    <mergeCell ref="C186:K186"/>
    <mergeCell ref="A186:B186"/>
    <mergeCell ref="A185:B185"/>
    <mergeCell ref="A180:X180"/>
    <mergeCell ref="C184:K184"/>
    <mergeCell ref="A184:B184"/>
    <mergeCell ref="T183:X183"/>
    <mergeCell ref="T182:X182"/>
    <mergeCell ref="T181:X181"/>
    <mergeCell ref="L183:S183"/>
    <mergeCell ref="L182:S182"/>
    <mergeCell ref="L181:S181"/>
    <mergeCell ref="C183:K183"/>
    <mergeCell ref="A183:B183"/>
    <mergeCell ref="A182:B182"/>
    <mergeCell ref="C181:K181"/>
    <mergeCell ref="A181:B181"/>
    <mergeCell ref="T188:X188"/>
    <mergeCell ref="T187:X187"/>
    <mergeCell ref="T186:X186"/>
    <mergeCell ref="T185:X185"/>
    <mergeCell ref="M123:N123"/>
    <mergeCell ref="O123:P123"/>
    <mergeCell ref="K117:L117"/>
    <mergeCell ref="S121:T121"/>
    <mergeCell ref="K122:L122"/>
    <mergeCell ref="M122:N122"/>
    <mergeCell ref="K123:L123"/>
    <mergeCell ref="O122:P122"/>
    <mergeCell ref="Q122:R122"/>
    <mergeCell ref="S122:T122"/>
    <mergeCell ref="M121:N121"/>
    <mergeCell ref="K119:L119"/>
    <mergeCell ref="M119:N119"/>
    <mergeCell ref="O119:P119"/>
    <mergeCell ref="S118:T118"/>
    <mergeCell ref="K120:L120"/>
    <mergeCell ref="M120:N120"/>
    <mergeCell ref="O120:P120"/>
    <mergeCell ref="I128:J128"/>
    <mergeCell ref="K128:L128"/>
    <mergeCell ref="M128:N128"/>
    <mergeCell ref="O128:P128"/>
    <mergeCell ref="Q115:R115"/>
    <mergeCell ref="S115:T115"/>
    <mergeCell ref="I101:J101"/>
    <mergeCell ref="Q131:R131"/>
    <mergeCell ref="B153:S153"/>
    <mergeCell ref="E124:F124"/>
    <mergeCell ref="E125:F125"/>
    <mergeCell ref="A123:B123"/>
    <mergeCell ref="C123:D123"/>
    <mergeCell ref="E123:F123"/>
    <mergeCell ref="E122:F122"/>
    <mergeCell ref="G122:H122"/>
    <mergeCell ref="A125:B125"/>
    <mergeCell ref="C125:D125"/>
    <mergeCell ref="G125:H125"/>
    <mergeCell ref="G124:H124"/>
    <mergeCell ref="G121:H121"/>
    <mergeCell ref="I121:J121"/>
    <mergeCell ref="I119:J119"/>
    <mergeCell ref="I118:J118"/>
    <mergeCell ref="K176:P176"/>
    <mergeCell ref="S175:X175"/>
    <mergeCell ref="A175:B175"/>
    <mergeCell ref="S128:T128"/>
    <mergeCell ref="Q175:R175"/>
    <mergeCell ref="B151:S151"/>
    <mergeCell ref="Q130:R130"/>
    <mergeCell ref="A126:B126"/>
    <mergeCell ref="C126:D126"/>
    <mergeCell ref="K129:L129"/>
    <mergeCell ref="G129:H129"/>
    <mergeCell ref="I129:J129"/>
    <mergeCell ref="S134:T134"/>
    <mergeCell ref="S135:T135"/>
    <mergeCell ref="A134:B134"/>
    <mergeCell ref="C134:D134"/>
    <mergeCell ref="E134:F134"/>
    <mergeCell ref="G134:H134"/>
    <mergeCell ref="I134:J134"/>
    <mergeCell ref="K134:L134"/>
    <mergeCell ref="M134:N134"/>
    <mergeCell ref="O134:P134"/>
    <mergeCell ref="Q134:R134"/>
    <mergeCell ref="J158:L158"/>
    <mergeCell ref="T184:X184"/>
    <mergeCell ref="L188:S188"/>
    <mergeCell ref="L187:S187"/>
    <mergeCell ref="L186:S186"/>
    <mergeCell ref="L185:S185"/>
    <mergeCell ref="L184:S184"/>
    <mergeCell ref="Q126:R126"/>
    <mergeCell ref="C188:K188"/>
    <mergeCell ref="I175:J175"/>
    <mergeCell ref="K175:P175"/>
    <mergeCell ref="B150:S150"/>
    <mergeCell ref="B152:S152"/>
    <mergeCell ref="A127:B127"/>
    <mergeCell ref="C127:D127"/>
    <mergeCell ref="E127:F127"/>
    <mergeCell ref="G127:H127"/>
    <mergeCell ref="I127:J127"/>
    <mergeCell ref="K127:L127"/>
    <mergeCell ref="M127:N127"/>
    <mergeCell ref="O127:P127"/>
    <mergeCell ref="Q127:R127"/>
    <mergeCell ref="C177:H177"/>
    <mergeCell ref="Q129:R129"/>
    <mergeCell ref="S129:T129"/>
    <mergeCell ref="A122:B122"/>
    <mergeCell ref="C122:D122"/>
    <mergeCell ref="G123:H123"/>
    <mergeCell ref="I123:J123"/>
    <mergeCell ref="I122:J122"/>
    <mergeCell ref="C120:D120"/>
    <mergeCell ref="E120:F120"/>
    <mergeCell ref="G119:H119"/>
    <mergeCell ref="C119:D119"/>
    <mergeCell ref="C111:D111"/>
    <mergeCell ref="G108:H108"/>
    <mergeCell ref="E110:F110"/>
    <mergeCell ref="E104:F104"/>
    <mergeCell ref="C103:D103"/>
    <mergeCell ref="C108:D108"/>
    <mergeCell ref="A111:B111"/>
    <mergeCell ref="C109:D109"/>
    <mergeCell ref="E111:F111"/>
    <mergeCell ref="A104:B104"/>
    <mergeCell ref="A105:B105"/>
    <mergeCell ref="G111:H111"/>
    <mergeCell ref="A107:B107"/>
    <mergeCell ref="A106:B106"/>
    <mergeCell ref="G105:H105"/>
    <mergeCell ref="C107:D107"/>
    <mergeCell ref="A110:B110"/>
    <mergeCell ref="A95:B95"/>
    <mergeCell ref="A94:B94"/>
    <mergeCell ref="A91:B91"/>
    <mergeCell ref="A92:B92"/>
    <mergeCell ref="A93:B93"/>
    <mergeCell ref="C89:D89"/>
    <mergeCell ref="C90:D90"/>
    <mergeCell ref="C91:D91"/>
    <mergeCell ref="C92:D92"/>
    <mergeCell ref="C93:D93"/>
    <mergeCell ref="E70:F70"/>
    <mergeCell ref="C94:D94"/>
    <mergeCell ref="A78:B78"/>
    <mergeCell ref="A79:B79"/>
    <mergeCell ref="C77:D77"/>
    <mergeCell ref="C79:D79"/>
    <mergeCell ref="A77:B77"/>
    <mergeCell ref="A85:B85"/>
    <mergeCell ref="E85:F85"/>
    <mergeCell ref="F84:G84"/>
    <mergeCell ref="E90:F90"/>
    <mergeCell ref="A81:B81"/>
    <mergeCell ref="C81:D81"/>
    <mergeCell ref="G85:H85"/>
    <mergeCell ref="A86:B86"/>
    <mergeCell ref="A90:B90"/>
    <mergeCell ref="I109:J109"/>
    <mergeCell ref="G110:H110"/>
    <mergeCell ref="G109:H109"/>
    <mergeCell ref="E109:F109"/>
    <mergeCell ref="A96:B96"/>
    <mergeCell ref="C70:D70"/>
    <mergeCell ref="C72:D72"/>
    <mergeCell ref="A73:B73"/>
    <mergeCell ref="A76:B76"/>
    <mergeCell ref="C76:D76"/>
    <mergeCell ref="C71:D71"/>
    <mergeCell ref="A70:B70"/>
    <mergeCell ref="A71:B71"/>
    <mergeCell ref="A75:B75"/>
    <mergeCell ref="A74:B74"/>
    <mergeCell ref="C75:D75"/>
    <mergeCell ref="C73:D73"/>
    <mergeCell ref="A72:B72"/>
    <mergeCell ref="A87:B87"/>
    <mergeCell ref="A89:B89"/>
    <mergeCell ref="A88:B88"/>
    <mergeCell ref="C85:D85"/>
    <mergeCell ref="C84:E84"/>
    <mergeCell ref="C80:D80"/>
    <mergeCell ref="I104:J104"/>
    <mergeCell ref="I108:J108"/>
    <mergeCell ref="G102:H102"/>
    <mergeCell ref="I102:J102"/>
    <mergeCell ref="K104:L104"/>
    <mergeCell ref="I105:J105"/>
    <mergeCell ref="K105:L105"/>
    <mergeCell ref="K108:L108"/>
    <mergeCell ref="E108:F108"/>
    <mergeCell ref="G107:H107"/>
    <mergeCell ref="I106:J106"/>
    <mergeCell ref="I107:J107"/>
    <mergeCell ref="A102:B102"/>
    <mergeCell ref="A120:B120"/>
    <mergeCell ref="E119:F119"/>
    <mergeCell ref="E112:F112"/>
    <mergeCell ref="G112:H112"/>
    <mergeCell ref="A119:B119"/>
    <mergeCell ref="A117:B117"/>
    <mergeCell ref="C112:D112"/>
    <mergeCell ref="C117:D117"/>
    <mergeCell ref="A118:B118"/>
    <mergeCell ref="A112:B112"/>
    <mergeCell ref="C116:E116"/>
    <mergeCell ref="F116:G116"/>
    <mergeCell ref="C118:D118"/>
    <mergeCell ref="E118:F118"/>
    <mergeCell ref="G118:H118"/>
    <mergeCell ref="G120:H120"/>
    <mergeCell ref="E117:F117"/>
    <mergeCell ref="A109:B109"/>
    <mergeCell ref="C105:D105"/>
    <mergeCell ref="C106:D106"/>
    <mergeCell ref="A103:B103"/>
    <mergeCell ref="A108:B108"/>
    <mergeCell ref="C110:D110"/>
    <mergeCell ref="G117:H117"/>
    <mergeCell ref="E107:F107"/>
    <mergeCell ref="H23:J23"/>
    <mergeCell ref="J28:L28"/>
    <mergeCell ref="M103:N103"/>
    <mergeCell ref="O103:P103"/>
    <mergeCell ref="E101:F101"/>
    <mergeCell ref="K101:L101"/>
    <mergeCell ref="M101:N101"/>
    <mergeCell ref="O101:P101"/>
    <mergeCell ref="M102:N102"/>
    <mergeCell ref="M96:N96"/>
    <mergeCell ref="I76:J76"/>
    <mergeCell ref="I75:J75"/>
    <mergeCell ref="E76:F76"/>
    <mergeCell ref="O56:P56"/>
    <mergeCell ref="O57:P57"/>
    <mergeCell ref="M89:N89"/>
    <mergeCell ref="O89:P89"/>
    <mergeCell ref="K85:L85"/>
    <mergeCell ref="I80:J80"/>
    <mergeCell ref="I85:J85"/>
    <mergeCell ref="G80:H80"/>
    <mergeCell ref="N34:R34"/>
    <mergeCell ref="F38:I38"/>
    <mergeCell ref="J38:O38"/>
    <mergeCell ref="F35:O35"/>
    <mergeCell ref="J34:K34"/>
    <mergeCell ref="M44:O44"/>
    <mergeCell ref="P44:R44"/>
    <mergeCell ref="L34:M34"/>
    <mergeCell ref="F40:I40"/>
    <mergeCell ref="F41:I41"/>
    <mergeCell ref="A43:J43"/>
    <mergeCell ref="F39:I39"/>
    <mergeCell ref="J39:O39"/>
    <mergeCell ref="F37:I37"/>
    <mergeCell ref="F36:I36"/>
    <mergeCell ref="K44:L44"/>
    <mergeCell ref="Q37:R37"/>
    <mergeCell ref="Q38:R38"/>
    <mergeCell ref="Q39:R39"/>
    <mergeCell ref="Q40:R40"/>
    <mergeCell ref="Q41:R41"/>
    <mergeCell ref="Q36:R36"/>
    <mergeCell ref="C44:E44"/>
    <mergeCell ref="A44:B44"/>
    <mergeCell ref="H22:L22"/>
    <mergeCell ref="M33:T33"/>
    <mergeCell ref="M30:T30"/>
    <mergeCell ref="M31:T31"/>
    <mergeCell ref="A33:I33"/>
    <mergeCell ref="A30:I30"/>
    <mergeCell ref="A31:I31"/>
    <mergeCell ref="O22:O23"/>
    <mergeCell ref="M32:T32"/>
    <mergeCell ref="A32:I32"/>
    <mergeCell ref="A28:I29"/>
    <mergeCell ref="P24:S24"/>
    <mergeCell ref="N24:O24"/>
    <mergeCell ref="L25:O25"/>
    <mergeCell ref="L26:O26"/>
    <mergeCell ref="P25:T25"/>
    <mergeCell ref="P26:T26"/>
    <mergeCell ref="A22:E22"/>
    <mergeCell ref="F22:G22"/>
    <mergeCell ref="M29:T29"/>
    <mergeCell ref="A26:D26"/>
    <mergeCell ref="K23:N23"/>
    <mergeCell ref="D23:G23"/>
    <mergeCell ref="A23:C23"/>
    <mergeCell ref="W14:Z14"/>
    <mergeCell ref="S21:T21"/>
    <mergeCell ref="A20:T20"/>
    <mergeCell ref="A21:C21"/>
    <mergeCell ref="A17:B17"/>
    <mergeCell ref="H21:J21"/>
    <mergeCell ref="E19:M19"/>
    <mergeCell ref="N19:O19"/>
    <mergeCell ref="A19:D19"/>
    <mergeCell ref="A18:B18"/>
    <mergeCell ref="H17:I17"/>
    <mergeCell ref="N17:O17"/>
    <mergeCell ref="H18:I18"/>
    <mergeCell ref="N18:O18"/>
    <mergeCell ref="O21:Q21"/>
    <mergeCell ref="P19:S19"/>
    <mergeCell ref="D21:G21"/>
    <mergeCell ref="C14:H14"/>
    <mergeCell ref="K14:O14"/>
    <mergeCell ref="C17:G17"/>
    <mergeCell ref="C18:G18"/>
    <mergeCell ref="J17:M17"/>
    <mergeCell ref="J18:M18"/>
    <mergeCell ref="P17:T17"/>
    <mergeCell ref="K45:L45"/>
    <mergeCell ref="M45:O45"/>
    <mergeCell ref="C45:E45"/>
    <mergeCell ref="P45:R45"/>
    <mergeCell ref="Q68:R68"/>
    <mergeCell ref="S44:T44"/>
    <mergeCell ref="J41:O41"/>
    <mergeCell ref="J36:O36"/>
    <mergeCell ref="J37:O37"/>
    <mergeCell ref="C46:E46"/>
    <mergeCell ref="J40:O40"/>
    <mergeCell ref="I44:J44"/>
    <mergeCell ref="H58:I58"/>
    <mergeCell ref="J56:N56"/>
    <mergeCell ref="J57:N57"/>
    <mergeCell ref="K52:O52"/>
    <mergeCell ref="A53:E53"/>
    <mergeCell ref="F53:J53"/>
    <mergeCell ref="K53:O53"/>
    <mergeCell ref="K47:L47"/>
    <mergeCell ref="A57:B57"/>
    <mergeCell ref="A58:B58"/>
    <mergeCell ref="F54:J54"/>
    <mergeCell ref="A54:E54"/>
    <mergeCell ref="C69:D69"/>
    <mergeCell ref="A50:E50"/>
    <mergeCell ref="F68:G68"/>
    <mergeCell ref="I69:J69"/>
    <mergeCell ref="C68:E68"/>
    <mergeCell ref="E69:F69"/>
    <mergeCell ref="A69:B69"/>
    <mergeCell ref="I46:J46"/>
    <mergeCell ref="P46:R46"/>
    <mergeCell ref="G69:H69"/>
    <mergeCell ref="F50:J50"/>
    <mergeCell ref="A55:E55"/>
    <mergeCell ref="F55:J55"/>
    <mergeCell ref="K55:O55"/>
    <mergeCell ref="H57:I57"/>
    <mergeCell ref="C57:G57"/>
    <mergeCell ref="C56:G56"/>
    <mergeCell ref="J58:N58"/>
    <mergeCell ref="C58:G58"/>
    <mergeCell ref="Q57:T57"/>
    <mergeCell ref="F52:J52"/>
    <mergeCell ref="S46:T46"/>
    <mergeCell ref="M46:O46"/>
    <mergeCell ref="A49:E49"/>
    <mergeCell ref="W80:Z80"/>
    <mergeCell ref="S72:T72"/>
    <mergeCell ref="S73:T73"/>
    <mergeCell ref="S74:T74"/>
    <mergeCell ref="Q75:R75"/>
    <mergeCell ref="O75:P75"/>
    <mergeCell ref="O85:P85"/>
    <mergeCell ref="S85:T85"/>
    <mergeCell ref="S81:T81"/>
    <mergeCell ref="O77:P77"/>
    <mergeCell ref="Q83:R83"/>
    <mergeCell ref="S83:T83"/>
    <mergeCell ref="S76:T76"/>
    <mergeCell ref="S78:T78"/>
    <mergeCell ref="S77:T77"/>
    <mergeCell ref="O76:P76"/>
    <mergeCell ref="Q76:R76"/>
    <mergeCell ref="W81:AA81"/>
    <mergeCell ref="O74:P74"/>
    <mergeCell ref="O79:P79"/>
    <mergeCell ref="Q72:R72"/>
    <mergeCell ref="Q73:R73"/>
    <mergeCell ref="O72:P72"/>
    <mergeCell ref="O73:P73"/>
    <mergeCell ref="K54:O54"/>
    <mergeCell ref="K46:L46"/>
    <mergeCell ref="C47:E47"/>
    <mergeCell ref="A47:B47"/>
    <mergeCell ref="K49:O49"/>
    <mergeCell ref="A56:B56"/>
    <mergeCell ref="A51:O51"/>
    <mergeCell ref="A52:E52"/>
    <mergeCell ref="A46:B46"/>
    <mergeCell ref="F46:H46"/>
    <mergeCell ref="M47:O47"/>
    <mergeCell ref="K50:O50"/>
    <mergeCell ref="A48:O48"/>
    <mergeCell ref="F49:J49"/>
    <mergeCell ref="H56:I56"/>
    <mergeCell ref="O58:P58"/>
    <mergeCell ref="Q56:T56"/>
    <mergeCell ref="Q94:R94"/>
    <mergeCell ref="S68:T68"/>
    <mergeCell ref="O70:P70"/>
    <mergeCell ref="Q78:R78"/>
    <mergeCell ref="Q80:R80"/>
    <mergeCell ref="S80:T80"/>
    <mergeCell ref="Q74:R74"/>
    <mergeCell ref="S79:T79"/>
    <mergeCell ref="Q79:R79"/>
    <mergeCell ref="O80:P80"/>
    <mergeCell ref="O69:P69"/>
    <mergeCell ref="S92:T92"/>
    <mergeCell ref="Q58:T58"/>
    <mergeCell ref="O92:P92"/>
    <mergeCell ref="O90:P90"/>
    <mergeCell ref="Q90:R90"/>
    <mergeCell ref="Q69:R69"/>
    <mergeCell ref="M80:N80"/>
    <mergeCell ref="Q89:R89"/>
    <mergeCell ref="S88:T88"/>
    <mergeCell ref="M72:N72"/>
    <mergeCell ref="M73:N73"/>
    <mergeCell ref="M75:N75"/>
    <mergeCell ref="M77:N77"/>
    <mergeCell ref="O86:P86"/>
    <mergeCell ref="Q86:R86"/>
    <mergeCell ref="M87:N87"/>
    <mergeCell ref="O88:P88"/>
    <mergeCell ref="S82:T82"/>
    <mergeCell ref="Q87:R87"/>
    <mergeCell ref="S87:T87"/>
    <mergeCell ref="S84:T84"/>
    <mergeCell ref="Q81:R81"/>
    <mergeCell ref="O87:P87"/>
    <mergeCell ref="M69:N69"/>
    <mergeCell ref="K75:L75"/>
    <mergeCell ref="K69:L69"/>
    <mergeCell ref="M70:N70"/>
    <mergeCell ref="I71:J71"/>
    <mergeCell ref="K71:L71"/>
    <mergeCell ref="K70:L70"/>
    <mergeCell ref="I72:J72"/>
    <mergeCell ref="K73:L73"/>
    <mergeCell ref="K74:L74"/>
    <mergeCell ref="K72:L72"/>
    <mergeCell ref="U68:V68"/>
    <mergeCell ref="K80:L80"/>
    <mergeCell ref="S75:T75"/>
    <mergeCell ref="N68:P68"/>
    <mergeCell ref="A64:F64"/>
    <mergeCell ref="T65:U65"/>
    <mergeCell ref="G70:H70"/>
    <mergeCell ref="E73:F73"/>
    <mergeCell ref="G76:H76"/>
    <mergeCell ref="G72:H72"/>
    <mergeCell ref="G73:H73"/>
    <mergeCell ref="G74:H74"/>
    <mergeCell ref="I70:J70"/>
    <mergeCell ref="I73:J73"/>
    <mergeCell ref="C74:D74"/>
    <mergeCell ref="A80:B80"/>
    <mergeCell ref="S69:T69"/>
    <mergeCell ref="S71:T71"/>
    <mergeCell ref="M79:N79"/>
    <mergeCell ref="Q77:R77"/>
    <mergeCell ref="M76:N76"/>
    <mergeCell ref="S70:T70"/>
    <mergeCell ref="Q70:R70"/>
    <mergeCell ref="C78:D78"/>
    <mergeCell ref="M108:N108"/>
    <mergeCell ref="M81:O82"/>
    <mergeCell ref="E80:F80"/>
    <mergeCell ref="M85:N85"/>
    <mergeCell ref="I92:J92"/>
    <mergeCell ref="K88:L88"/>
    <mergeCell ref="G90:H90"/>
    <mergeCell ref="I88:J88"/>
    <mergeCell ref="I89:J89"/>
    <mergeCell ref="K106:L106"/>
    <mergeCell ref="K107:L107"/>
    <mergeCell ref="E106:F106"/>
    <mergeCell ref="G106:H106"/>
    <mergeCell ref="E103:F103"/>
    <mergeCell ref="G103:H103"/>
    <mergeCell ref="K95:L95"/>
    <mergeCell ref="O108:P108"/>
    <mergeCell ref="M105:N105"/>
    <mergeCell ref="K102:L102"/>
    <mergeCell ref="K103:L103"/>
    <mergeCell ref="E91:F91"/>
    <mergeCell ref="G91:H91"/>
    <mergeCell ref="G81:H81"/>
    <mergeCell ref="I81:J81"/>
    <mergeCell ref="Q109:R109"/>
    <mergeCell ref="S101:T101"/>
    <mergeCell ref="Q71:R71"/>
    <mergeCell ref="M71:N71"/>
    <mergeCell ref="O71:P71"/>
    <mergeCell ref="O78:P78"/>
    <mergeCell ref="M78:N78"/>
    <mergeCell ref="M74:N74"/>
    <mergeCell ref="S97:T97"/>
    <mergeCell ref="S98:T98"/>
    <mergeCell ref="M88:N88"/>
    <mergeCell ref="Q82:R82"/>
    <mergeCell ref="S91:T91"/>
    <mergeCell ref="S94:T94"/>
    <mergeCell ref="Q97:R97"/>
    <mergeCell ref="Q85:R85"/>
    <mergeCell ref="S86:T86"/>
    <mergeCell ref="S89:T89"/>
    <mergeCell ref="S90:T90"/>
    <mergeCell ref="O96:P96"/>
    <mergeCell ref="M94:N94"/>
    <mergeCell ref="S107:T107"/>
    <mergeCell ref="S105:T105"/>
    <mergeCell ref="M93:N93"/>
    <mergeCell ref="S102:T102"/>
    <mergeCell ref="Q107:R107"/>
    <mergeCell ref="M106:N106"/>
    <mergeCell ref="M107:N107"/>
    <mergeCell ref="S103:T103"/>
    <mergeCell ref="Q104:R104"/>
    <mergeCell ref="Q105:R105"/>
    <mergeCell ref="Q106:R106"/>
    <mergeCell ref="S104:T104"/>
    <mergeCell ref="Q103:R103"/>
    <mergeCell ref="O107:P107"/>
    <mergeCell ref="Q102:R102"/>
    <mergeCell ref="O102:P102"/>
    <mergeCell ref="O105:P105"/>
    <mergeCell ref="O104:P104"/>
    <mergeCell ref="S108:T108"/>
    <mergeCell ref="Q108:R108"/>
    <mergeCell ref="O109:P109"/>
    <mergeCell ref="S109:T109"/>
    <mergeCell ref="O106:P106"/>
    <mergeCell ref="C185:K185"/>
    <mergeCell ref="J159:N159"/>
    <mergeCell ref="J160:N160"/>
    <mergeCell ref="S174:X174"/>
    <mergeCell ref="I177:J177"/>
    <mergeCell ref="K177:P177"/>
    <mergeCell ref="Q177:R177"/>
    <mergeCell ref="S177:X177"/>
    <mergeCell ref="Q123:R123"/>
    <mergeCell ref="S123:T123"/>
    <mergeCell ref="J157:L157"/>
    <mergeCell ref="S125:T125"/>
    <mergeCell ref="S126:T126"/>
    <mergeCell ref="I126:J126"/>
    <mergeCell ref="B160:F160"/>
    <mergeCell ref="C182:K182"/>
    <mergeCell ref="B159:F159"/>
    <mergeCell ref="A128:B128"/>
    <mergeCell ref="M109:N109"/>
    <mergeCell ref="C176:H176"/>
    <mergeCell ref="I176:J176"/>
    <mergeCell ref="S110:T110"/>
    <mergeCell ref="O110:P110"/>
    <mergeCell ref="Q110:R110"/>
    <mergeCell ref="S111:T111"/>
    <mergeCell ref="Q113:R113"/>
    <mergeCell ref="Q114:R114"/>
    <mergeCell ref="Q111:R111"/>
    <mergeCell ref="S113:T113"/>
    <mergeCell ref="S114:T114"/>
    <mergeCell ref="S119:T119"/>
    <mergeCell ref="K111:L111"/>
    <mergeCell ref="I120:J120"/>
    <mergeCell ref="G126:H126"/>
    <mergeCell ref="I110:J110"/>
    <mergeCell ref="I111:J111"/>
    <mergeCell ref="I117:J117"/>
    <mergeCell ref="I112:J112"/>
    <mergeCell ref="E121:F121"/>
    <mergeCell ref="Q118:R118"/>
    <mergeCell ref="S112:T112"/>
    <mergeCell ref="M117:N117"/>
    <mergeCell ref="S124:T124"/>
    <mergeCell ref="M110:N110"/>
    <mergeCell ref="O111:P111"/>
    <mergeCell ref="K118:L118"/>
    <mergeCell ref="M118:N118"/>
    <mergeCell ref="M111:N111"/>
    <mergeCell ref="O117:P117"/>
    <mergeCell ref="Q117:R117"/>
    <mergeCell ref="S117:T117"/>
    <mergeCell ref="O121:P121"/>
    <mergeCell ref="Q121:R121"/>
    <mergeCell ref="K121:L121"/>
    <mergeCell ref="K110:L110"/>
    <mergeCell ref="K109:L109"/>
    <mergeCell ref="P18:T18"/>
    <mergeCell ref="Q176:R176"/>
    <mergeCell ref="S176:X176"/>
    <mergeCell ref="Q92:R92"/>
    <mergeCell ref="O118:P118"/>
    <mergeCell ref="Q95:R95"/>
    <mergeCell ref="K112:L112"/>
    <mergeCell ref="M112:N112"/>
    <mergeCell ref="O112:P112"/>
    <mergeCell ref="Q112:R112"/>
    <mergeCell ref="Q120:R120"/>
    <mergeCell ref="S120:T120"/>
    <mergeCell ref="Q119:R119"/>
    <mergeCell ref="Q128:R128"/>
    <mergeCell ref="M104:N104"/>
    <mergeCell ref="S106:T106"/>
    <mergeCell ref="K43:T43"/>
    <mergeCell ref="S45:T45"/>
    <mergeCell ref="K76:L76"/>
    <mergeCell ref="S100:T100"/>
    <mergeCell ref="S148:T148"/>
    <mergeCell ref="S116:T116"/>
    <mergeCell ref="S132:T132"/>
    <mergeCell ref="W97:AA97"/>
    <mergeCell ref="Q96:R96"/>
    <mergeCell ref="M92:N92"/>
    <mergeCell ref="M90:N90"/>
    <mergeCell ref="Q91:R91"/>
    <mergeCell ref="Q93:R93"/>
    <mergeCell ref="O93:P93"/>
    <mergeCell ref="M95:N95"/>
    <mergeCell ref="O95:P95"/>
    <mergeCell ref="M91:N91"/>
    <mergeCell ref="O91:P91"/>
    <mergeCell ref="S96:T96"/>
    <mergeCell ref="W96:Z96"/>
    <mergeCell ref="S95:T95"/>
    <mergeCell ref="S93:T93"/>
    <mergeCell ref="Q101:R101"/>
    <mergeCell ref="O94:P94"/>
    <mergeCell ref="Q88:R88"/>
    <mergeCell ref="Q98:R98"/>
    <mergeCell ref="M86:N86"/>
    <mergeCell ref="E81:F81"/>
    <mergeCell ref="K90:L90"/>
    <mergeCell ref="G87:H87"/>
    <mergeCell ref="I45:J45"/>
    <mergeCell ref="E86:F86"/>
    <mergeCell ref="E87:F87"/>
    <mergeCell ref="G86:H86"/>
    <mergeCell ref="K92:L92"/>
    <mergeCell ref="K94:L94"/>
    <mergeCell ref="K91:L91"/>
    <mergeCell ref="I94:J94"/>
    <mergeCell ref="K93:L93"/>
    <mergeCell ref="E93:F93"/>
    <mergeCell ref="G88:H88"/>
    <mergeCell ref="E89:F89"/>
    <mergeCell ref="G93:H93"/>
    <mergeCell ref="E94:F94"/>
    <mergeCell ref="I91:J91"/>
    <mergeCell ref="G94:H94"/>
    <mergeCell ref="K79:L79"/>
    <mergeCell ref="I78:J78"/>
    <mergeCell ref="G75:H75"/>
    <mergeCell ref="G78:H78"/>
    <mergeCell ref="G79:H79"/>
    <mergeCell ref="E79:F79"/>
    <mergeCell ref="E75:F75"/>
    <mergeCell ref="E77:F77"/>
    <mergeCell ref="G77:H77"/>
    <mergeCell ref="F1:V1"/>
    <mergeCell ref="A1:E2"/>
    <mergeCell ref="F2:V2"/>
    <mergeCell ref="A4:V4"/>
    <mergeCell ref="C96:D96"/>
    <mergeCell ref="G95:H95"/>
    <mergeCell ref="C95:D95"/>
    <mergeCell ref="I95:J95"/>
    <mergeCell ref="C97:D97"/>
    <mergeCell ref="K78:L78"/>
    <mergeCell ref="K77:L77"/>
    <mergeCell ref="K96:L96"/>
    <mergeCell ref="E72:F72"/>
    <mergeCell ref="E71:F71"/>
    <mergeCell ref="K81:L81"/>
    <mergeCell ref="G71:H71"/>
    <mergeCell ref="K97:L97"/>
    <mergeCell ref="A45:B45"/>
    <mergeCell ref="F44:H44"/>
    <mergeCell ref="F45:H45"/>
    <mergeCell ref="K89:L89"/>
    <mergeCell ref="E88:F88"/>
    <mergeCell ref="K86:L86"/>
    <mergeCell ref="K87:L87"/>
    <mergeCell ref="I96:J96"/>
    <mergeCell ref="E74:F74"/>
    <mergeCell ref="I77:J77"/>
    <mergeCell ref="I74:J74"/>
    <mergeCell ref="I87:J87"/>
    <mergeCell ref="E96:F96"/>
    <mergeCell ref="G92:H92"/>
    <mergeCell ref="G96:H96"/>
    <mergeCell ref="C102:D102"/>
    <mergeCell ref="E102:F102"/>
    <mergeCell ref="G89:H89"/>
    <mergeCell ref="I90:J90"/>
    <mergeCell ref="E97:F97"/>
    <mergeCell ref="G97:H97"/>
    <mergeCell ref="I97:J97"/>
    <mergeCell ref="E95:F95"/>
    <mergeCell ref="E92:F92"/>
    <mergeCell ref="C100:E100"/>
    <mergeCell ref="C86:D86"/>
    <mergeCell ref="C87:D87"/>
    <mergeCell ref="C88:D88"/>
    <mergeCell ref="E78:F78"/>
    <mergeCell ref="I79:J79"/>
    <mergeCell ref="I86:J86"/>
    <mergeCell ref="W113:AA113"/>
    <mergeCell ref="W129:AA129"/>
    <mergeCell ref="W145:AA145"/>
    <mergeCell ref="A59:R59"/>
    <mergeCell ref="A60:C60"/>
    <mergeCell ref="D60:G60"/>
    <mergeCell ref="H60:J60"/>
    <mergeCell ref="K60:R60"/>
    <mergeCell ref="A61:C61"/>
    <mergeCell ref="D61:G61"/>
    <mergeCell ref="H61:J61"/>
    <mergeCell ref="K61:R61"/>
    <mergeCell ref="A62:C62"/>
    <mergeCell ref="D62:G62"/>
    <mergeCell ref="H62:J62"/>
    <mergeCell ref="K62:R62"/>
    <mergeCell ref="S59:V62"/>
    <mergeCell ref="I93:J93"/>
    <mergeCell ref="G101:H101"/>
    <mergeCell ref="G104:H104"/>
    <mergeCell ref="I103:J103"/>
    <mergeCell ref="E105:F105"/>
    <mergeCell ref="F100:G100"/>
    <mergeCell ref="C104:D104"/>
  </mergeCells>
  <phoneticPr fontId="139" type="noConversion"/>
  <conditionalFormatting sqref="A50">
    <cfRule type="containsBlanks" dxfId="166" priority="609">
      <formula>LEN(TRIM(A50))=0</formula>
    </cfRule>
  </conditionalFormatting>
  <conditionalFormatting sqref="A53">
    <cfRule type="containsBlanks" dxfId="165" priority="135">
      <formula>LEN(TRIM(A53))=0</formula>
    </cfRule>
  </conditionalFormatting>
  <conditionalFormatting sqref="A67">
    <cfRule type="expression" dxfId="164" priority="4">
      <formula>$A$67=$C$175</formula>
    </cfRule>
  </conditionalFormatting>
  <conditionalFormatting sqref="A70:D79">
    <cfRule type="containsBlanks" dxfId="163" priority="305">
      <formula>LEN(TRIM(A70))=0</formula>
    </cfRule>
  </conditionalFormatting>
  <conditionalFormatting sqref="A86:D95">
    <cfRule type="containsBlanks" dxfId="162" priority="240">
      <formula>LEN(TRIM(A86))=0</formula>
    </cfRule>
  </conditionalFormatting>
  <conditionalFormatting sqref="A50:E50">
    <cfRule type="containsBlanks" dxfId="161" priority="32">
      <formula>LEN(TRIM(A50))=0</formula>
    </cfRule>
  </conditionalFormatting>
  <conditionalFormatting sqref="A83:E83">
    <cfRule type="expression" dxfId="160" priority="3">
      <formula>$A$83=$C$175</formula>
    </cfRule>
  </conditionalFormatting>
  <conditionalFormatting sqref="A99:E99">
    <cfRule type="expression" dxfId="159" priority="824">
      <formula>$A$99=$C$175</formula>
    </cfRule>
  </conditionalFormatting>
  <conditionalFormatting sqref="A102:L111">
    <cfRule type="containsBlanks" dxfId="158" priority="19">
      <formula>LEN(TRIM(A102))=0</formula>
    </cfRule>
  </conditionalFormatting>
  <conditionalFormatting sqref="A118:L127">
    <cfRule type="containsBlanks" dxfId="157" priority="172">
      <formula>LEN(TRIM(A118))=0</formula>
    </cfRule>
  </conditionalFormatting>
  <conditionalFormatting sqref="A134:L143">
    <cfRule type="containsBlanks" dxfId="156" priority="141">
      <formula>LEN(TRIM(A134))=0</formula>
    </cfRule>
  </conditionalFormatting>
  <conditionalFormatting sqref="A80:P80">
    <cfRule type="containsBlanks" dxfId="155" priority="79">
      <formula>LEN(TRIM(A80))=0</formula>
    </cfRule>
  </conditionalFormatting>
  <conditionalFormatting sqref="A96:P96">
    <cfRule type="containsBlanks" dxfId="154" priority="78">
      <formula>LEN(TRIM(A96))=0</formula>
    </cfRule>
  </conditionalFormatting>
  <conditionalFormatting sqref="A112:P112">
    <cfRule type="containsBlanks" dxfId="153" priority="77">
      <formula>LEN(TRIM(A112))=0</formula>
    </cfRule>
  </conditionalFormatting>
  <conditionalFormatting sqref="B151:S154">
    <cfRule type="containsBlanks" dxfId="152" priority="810">
      <formula>LEN(TRIM(B151))=0</formula>
    </cfRule>
  </conditionalFormatting>
  <conditionalFormatting sqref="C86:D95">
    <cfRule type="expression" dxfId="151" priority="203">
      <formula>$C$97&gt;$Q$22</formula>
    </cfRule>
  </conditionalFormatting>
  <conditionalFormatting sqref="C102:D111 C70:D79">
    <cfRule type="expression" dxfId="150" priority="218">
      <formula>$C$81&gt;$Q$22</formula>
    </cfRule>
  </conditionalFormatting>
  <conditionalFormatting sqref="C118:D127 C134:D143">
    <cfRule type="expression" dxfId="149" priority="173">
      <formula>$C$129&gt;$Q$22</formula>
    </cfRule>
  </conditionalFormatting>
  <conditionalFormatting sqref="C45:E46">
    <cfRule type="cellIs" dxfId="148" priority="675" operator="greaterThan">
      <formula>30</formula>
    </cfRule>
    <cfRule type="cellIs" dxfId="147" priority="676" operator="lessThan">
      <formula>15</formula>
    </cfRule>
  </conditionalFormatting>
  <conditionalFormatting sqref="C47:E47 M47:O47">
    <cfRule type="cellIs" dxfId="146" priority="705" operator="greaterThan">
      <formula>0.5</formula>
    </cfRule>
  </conditionalFormatting>
  <conditionalFormatting sqref="C17:G18">
    <cfRule type="containsBlanks" dxfId="145" priority="380">
      <formula>LEN(TRIM(C17))=0</formula>
    </cfRule>
  </conditionalFormatting>
  <conditionalFormatting sqref="C14:H15">
    <cfRule type="containsBlanks" dxfId="144" priority="9">
      <formula>LEN(TRIM(C14))=0</formula>
    </cfRule>
  </conditionalFormatting>
  <conditionalFormatting sqref="D24:D25">
    <cfRule type="containsBlanks" dxfId="143" priority="5">
      <formula>LEN(TRIM(D24))=0</formula>
    </cfRule>
  </conditionalFormatting>
  <conditionalFormatting sqref="D37">
    <cfRule type="containsBlanks" dxfId="142" priority="627">
      <formula>LEN(TRIM(D37))=0</formula>
    </cfRule>
  </conditionalFormatting>
  <conditionalFormatting sqref="D39">
    <cfRule type="containsBlanks" dxfId="141" priority="626">
      <formula>LEN(TRIM(D39))=0</formula>
    </cfRule>
  </conditionalFormatting>
  <conditionalFormatting sqref="D41">
    <cfRule type="containsBlanks" dxfId="140" priority="625">
      <formula>LEN(TRIM(D41))=0</formula>
    </cfRule>
  </conditionalFormatting>
  <conditionalFormatting sqref="D21:G21">
    <cfRule type="containsBlanks" dxfId="139" priority="613">
      <formula>LEN(TRIM(D21))=0</formula>
    </cfRule>
  </conditionalFormatting>
  <conditionalFormatting sqref="E26">
    <cfRule type="containsBlanks" dxfId="138" priority="6">
      <formula>LEN(TRIM(E26))=0</formula>
    </cfRule>
  </conditionalFormatting>
  <conditionalFormatting sqref="E70:E79 E102:E111">
    <cfRule type="expression" dxfId="137" priority="66">
      <formula>$E$97&gt;$V$45</formula>
    </cfRule>
  </conditionalFormatting>
  <conditionalFormatting sqref="E86:E95">
    <cfRule type="expression" dxfId="136" priority="60">
      <formula>$E$113&gt;$V$45</formula>
    </cfRule>
  </conditionalFormatting>
  <conditionalFormatting sqref="E118:E127 E134:E143">
    <cfRule type="expression" dxfId="135" priority="176">
      <formula>$E$129&gt;$V$45</formula>
    </cfRule>
  </conditionalFormatting>
  <conditionalFormatting sqref="E70:H70">
    <cfRule type="expression" dxfId="134" priority="62">
      <formula>"ABS(G86-E86)&gt;=$W$45"</formula>
    </cfRule>
  </conditionalFormatting>
  <conditionalFormatting sqref="E102:H102">
    <cfRule type="expression" dxfId="133" priority="14">
      <formula>"ABS(G86-E86)&gt;=$W$45"</formula>
    </cfRule>
  </conditionalFormatting>
  <conditionalFormatting sqref="E70:L79">
    <cfRule type="containsBlanks" dxfId="132" priority="67">
      <formula>LEN(TRIM(E70))=0</formula>
    </cfRule>
  </conditionalFormatting>
  <conditionalFormatting sqref="E86:L95">
    <cfRule type="containsBlanks" dxfId="131" priority="57">
      <formula>LEN(TRIM(E86))=0</formula>
    </cfRule>
  </conditionalFormatting>
  <conditionalFormatting sqref="F9">
    <cfRule type="containsBlanks" dxfId="130" priority="390">
      <formula>LEN(TRIM(F9))=0</formula>
    </cfRule>
  </conditionalFormatting>
  <conditionalFormatting sqref="F50">
    <cfRule type="containsBlanks" dxfId="129" priority="608">
      <formula>LEN(TRIM(F50))=0</formula>
    </cfRule>
  </conditionalFormatting>
  <conditionalFormatting sqref="F53">
    <cfRule type="containsBlanks" dxfId="128" priority="134">
      <formula>LEN(TRIM(F53))=0</formula>
    </cfRule>
  </conditionalFormatting>
  <conditionalFormatting sqref="F22:G22">
    <cfRule type="containsBlanks" dxfId="127" priority="612">
      <formula>LEN(TRIM(F22))=0</formula>
    </cfRule>
  </conditionalFormatting>
  <conditionalFormatting sqref="F68:G68">
    <cfRule type="containsBlanks" dxfId="126" priority="628">
      <formula>LEN(TRIM(F68))=0</formula>
    </cfRule>
  </conditionalFormatting>
  <conditionalFormatting sqref="F84:G84">
    <cfRule type="containsBlanks" dxfId="125" priority="629">
      <formula>LEN(TRIM(F84))=0</formula>
    </cfRule>
  </conditionalFormatting>
  <conditionalFormatting sqref="F100:G100">
    <cfRule type="containsBlanks" dxfId="124" priority="630">
      <formula>LEN(TRIM(F100))=0</formula>
    </cfRule>
  </conditionalFormatting>
  <conditionalFormatting sqref="F116:G116">
    <cfRule type="containsBlanks" dxfId="123" priority="631">
      <formula>LEN(TRIM(F116))=0</formula>
    </cfRule>
  </conditionalFormatting>
  <conditionalFormatting sqref="F132:G132">
    <cfRule type="containsBlanks" dxfId="122" priority="148">
      <formula>LEN(TRIM(F132))=0</formula>
    </cfRule>
  </conditionalFormatting>
  <conditionalFormatting sqref="F45:H46 P45:R46">
    <cfRule type="cellIs" dxfId="121" priority="706" operator="lessThan">
      <formula>50</formula>
    </cfRule>
  </conditionalFormatting>
  <conditionalFormatting sqref="F45:H46">
    <cfRule type="cellIs" dxfId="120" priority="674" operator="greaterThan">
      <formula>80</formula>
    </cfRule>
  </conditionalFormatting>
  <conditionalFormatting sqref="F37:I41">
    <cfRule type="containsBlanks" dxfId="119" priority="610">
      <formula>LEN(TRIM(F37))=0</formula>
    </cfRule>
  </conditionalFormatting>
  <conditionalFormatting sqref="F7:J7">
    <cfRule type="containsBlanks" dxfId="118" priority="391">
      <formula>LEN(TRIM(F7))=0</formula>
    </cfRule>
  </conditionalFormatting>
  <conditionalFormatting sqref="F11:J11">
    <cfRule type="containsBlanks" dxfId="117" priority="389">
      <formula>LEN(TRIM(F11))=0</formula>
    </cfRule>
  </conditionalFormatting>
  <conditionalFormatting sqref="F50:J50">
    <cfRule type="containsBlanks" dxfId="116" priority="31">
      <formula>LEN(TRIM(F50))=0</formula>
    </cfRule>
  </conditionalFormatting>
  <conditionalFormatting sqref="G70:H79">
    <cfRule type="expression" dxfId="115" priority="63">
      <formula>$G$97&gt;$W$45</formula>
    </cfRule>
  </conditionalFormatting>
  <conditionalFormatting sqref="G86:H95">
    <cfRule type="expression" dxfId="114" priority="58">
      <formula>$G$113&gt;$W$45</formula>
    </cfRule>
  </conditionalFormatting>
  <conditionalFormatting sqref="G102:H111">
    <cfRule type="expression" dxfId="113" priority="15">
      <formula>$G$97&gt;$W$45</formula>
    </cfRule>
  </conditionalFormatting>
  <conditionalFormatting sqref="G118:H127 G134:H143">
    <cfRule type="expression" dxfId="112" priority="174">
      <formula>$G$129&gt;$W$45</formula>
    </cfRule>
  </conditionalFormatting>
  <conditionalFormatting sqref="H68">
    <cfRule type="cellIs" dxfId="111" priority="765" operator="notEqual">
      <formula>$N$21</formula>
    </cfRule>
  </conditionalFormatting>
  <conditionalFormatting sqref="H84">
    <cfRule type="cellIs" dxfId="110" priority="373" operator="notEqual">
      <formula>$N$21</formula>
    </cfRule>
  </conditionalFormatting>
  <conditionalFormatting sqref="H100">
    <cfRule type="cellIs" dxfId="109" priority="372" operator="notEqual">
      <formula>$N$21</formula>
    </cfRule>
  </conditionalFormatting>
  <conditionalFormatting sqref="H116">
    <cfRule type="cellIs" dxfId="108" priority="371" operator="notEqual">
      <formula>$N$21</formula>
    </cfRule>
  </conditionalFormatting>
  <conditionalFormatting sqref="H132">
    <cfRule type="cellIs" dxfId="107" priority="147" operator="notEqual">
      <formula>$N$21</formula>
    </cfRule>
  </conditionalFormatting>
  <conditionalFormatting sqref="I70:J79">
    <cfRule type="cellIs" dxfId="106" priority="65" operator="lessThan">
      <formula>50</formula>
    </cfRule>
    <cfRule type="expression" dxfId="105" priority="64">
      <formula>$I$97&gt;$X$45</formula>
    </cfRule>
  </conditionalFormatting>
  <conditionalFormatting sqref="I86:J95">
    <cfRule type="expression" dxfId="104" priority="59">
      <formula>$I$113&gt;$X$45</formula>
    </cfRule>
    <cfRule type="cellIs" dxfId="103" priority="61" operator="lessThan">
      <formula>50</formula>
    </cfRule>
  </conditionalFormatting>
  <conditionalFormatting sqref="I102:J111">
    <cfRule type="expression" dxfId="102" priority="16">
      <formula>$I$97&gt;$X$45</formula>
    </cfRule>
    <cfRule type="cellIs" dxfId="101" priority="17" operator="lessThan">
      <formula>50</formula>
    </cfRule>
  </conditionalFormatting>
  <conditionalFormatting sqref="I118:J127">
    <cfRule type="expression" dxfId="100" priority="175">
      <formula>$I$129&gt;$X$45</formula>
    </cfRule>
    <cfRule type="cellIs" dxfId="99" priority="177" operator="lessThan">
      <formula>50</formula>
    </cfRule>
  </conditionalFormatting>
  <conditionalFormatting sqref="I134:J143">
    <cfRule type="cellIs" dxfId="98" priority="146" operator="lessThan">
      <formula>50</formula>
    </cfRule>
    <cfRule type="expression" dxfId="97" priority="144">
      <formula>$I$129&gt;$X$45</formula>
    </cfRule>
  </conditionalFormatting>
  <conditionalFormatting sqref="J159:J160">
    <cfRule type="containsBlanks" dxfId="96" priority="769">
      <formula>LEN(TRIM(J159))=0</formula>
    </cfRule>
  </conditionalFormatting>
  <conditionalFormatting sqref="J17:M18">
    <cfRule type="containsBlanks" dxfId="95" priority="378">
      <formula>LEN(TRIM(J17))=0</formula>
    </cfRule>
  </conditionalFormatting>
  <conditionalFormatting sqref="J30:T33 C45:J46 B159:B160">
    <cfRule type="containsBlanks" dxfId="94" priority="811">
      <formula>LEN(TRIM(B30))=0</formula>
    </cfRule>
  </conditionalFormatting>
  <conditionalFormatting sqref="K21 R21 Q22:Q23">
    <cfRule type="containsBlanks" dxfId="93" priority="615">
      <formula>LEN(TRIM(K21))=0</formula>
    </cfRule>
  </conditionalFormatting>
  <conditionalFormatting sqref="K50">
    <cfRule type="containsBlanks" dxfId="92" priority="607">
      <formula>LEN(TRIM(K50))=0</formula>
    </cfRule>
  </conditionalFormatting>
  <conditionalFormatting sqref="K53">
    <cfRule type="containsBlanks" dxfId="91" priority="133">
      <formula>LEN(TRIM(K53))=0</formula>
    </cfRule>
  </conditionalFormatting>
  <conditionalFormatting sqref="K14:O15">
    <cfRule type="containsBlanks" dxfId="90" priority="8">
      <formula>LEN(TRIM(K14))=0</formula>
    </cfRule>
  </conditionalFormatting>
  <conditionalFormatting sqref="L26:P26">
    <cfRule type="containsBlanks" dxfId="89" priority="80">
      <formula>LEN(TRIM(L26))=0</formula>
    </cfRule>
  </conditionalFormatting>
  <conditionalFormatting sqref="M21:N22">
    <cfRule type="containsBlanks" dxfId="88" priority="614">
      <formula>LEN(TRIM(M21))=0</formula>
    </cfRule>
  </conditionalFormatting>
  <conditionalFormatting sqref="M45:O46">
    <cfRule type="cellIs" dxfId="87" priority="672" operator="greaterThan">
      <formula>30</formula>
    </cfRule>
    <cfRule type="cellIs" dxfId="86" priority="673" operator="lessThan">
      <formula>15</formula>
    </cfRule>
  </conditionalFormatting>
  <conditionalFormatting sqref="M45:T46">
    <cfRule type="containsBlanks" dxfId="85" priority="808">
      <formula>LEN(TRIM(M45))=0</formula>
    </cfRule>
  </conditionalFormatting>
  <conditionalFormatting sqref="N24">
    <cfRule type="containsBlanks" dxfId="84" priority="239">
      <formula>LEN(TRIM(N24))=0</formula>
    </cfRule>
  </conditionalFormatting>
  <conditionalFormatting sqref="O7:S7">
    <cfRule type="containsBlanks" dxfId="83" priority="388">
      <formula>LEN(TRIM(O7))=0</formula>
    </cfRule>
  </conditionalFormatting>
  <conditionalFormatting sqref="O9:S9">
    <cfRule type="containsBlanks" dxfId="82" priority="386">
      <formula>LEN(TRIM(O9))=0</formula>
    </cfRule>
  </conditionalFormatting>
  <conditionalFormatting sqref="P45:R46">
    <cfRule type="cellIs" dxfId="81" priority="671" operator="greaterThan">
      <formula>80</formula>
    </cfRule>
  </conditionalFormatting>
  <conditionalFormatting sqref="P17:T19">
    <cfRule type="containsBlanks" dxfId="80" priority="374">
      <formula>LEN(TRIM(P17))=0</formula>
    </cfRule>
  </conditionalFormatting>
  <conditionalFormatting sqref="Q37:R41">
    <cfRule type="cellIs" dxfId="79" priority="12" operator="between">
      <formula>1</formula>
      <formula>TODAY()+7</formula>
    </cfRule>
    <cfRule type="cellIs" dxfId="78" priority="11" operator="greaterThan">
      <formula>TODAY()+7</formula>
    </cfRule>
    <cfRule type="cellIs" dxfId="77" priority="10" operator="greaterThan">
      <formula>TODAY()+30</formula>
    </cfRule>
  </conditionalFormatting>
  <conditionalFormatting sqref="Q132:T132">
    <cfRule type="expression" dxfId="76" priority="38">
      <formula>$S$84="ok"</formula>
    </cfRule>
  </conditionalFormatting>
  <conditionalFormatting sqref="Q148:T148">
    <cfRule type="expression" dxfId="75" priority="36">
      <formula>$S$84="ok"</formula>
    </cfRule>
  </conditionalFormatting>
  <conditionalFormatting sqref="T22:T24">
    <cfRule type="containsBlanks" dxfId="74" priority="81">
      <formula>LEN(TRIM(T22))=0</formula>
    </cfRule>
  </conditionalFormatting>
  <conditionalFormatting sqref="W70:W79 W86:W95">
    <cfRule type="expression" dxfId="73" priority="71">
      <formula>$E$81&gt;0.5</formula>
    </cfRule>
    <cfRule type="expression" dxfId="72" priority="70">
      <formula>$AA$112=1</formula>
    </cfRule>
  </conditionalFormatting>
  <conditionalFormatting sqref="W80">
    <cfRule type="containsBlanks" dxfId="71" priority="171">
      <formula>LEN(TRIM(W80))=0</formula>
    </cfRule>
  </conditionalFormatting>
  <conditionalFormatting sqref="W96">
    <cfRule type="containsBlanks" dxfId="70" priority="108">
      <formula>LEN(TRIM(W96))=0</formula>
    </cfRule>
  </conditionalFormatting>
  <conditionalFormatting sqref="W102:W111">
    <cfRule type="expression" dxfId="69" priority="164">
      <formula>$E$81&gt;0.5</formula>
    </cfRule>
  </conditionalFormatting>
  <conditionalFormatting sqref="W112">
    <cfRule type="containsBlanks" dxfId="68" priority="104">
      <formula>LEN(TRIM(W112))=0</formula>
    </cfRule>
  </conditionalFormatting>
  <conditionalFormatting sqref="W118:W127">
    <cfRule type="expression" dxfId="67" priority="159">
      <formula>$E$81&gt;0.5</formula>
    </cfRule>
  </conditionalFormatting>
  <conditionalFormatting sqref="W128">
    <cfRule type="containsBlanks" dxfId="66" priority="100">
      <formula>LEN(TRIM(W128))=0</formula>
    </cfRule>
  </conditionalFormatting>
  <conditionalFormatting sqref="W134:W143">
    <cfRule type="expression" dxfId="65" priority="140">
      <formula>$E$81&gt;0.5</formula>
    </cfRule>
  </conditionalFormatting>
  <conditionalFormatting sqref="W144">
    <cfRule type="containsBlanks" dxfId="64" priority="96">
      <formula>LEN(TRIM(W144))=0</formula>
    </cfRule>
  </conditionalFormatting>
  <conditionalFormatting sqref="W81:AA81">
    <cfRule type="containsText" dxfId="62" priority="94" operator="containsText" text="Revisar">
      <formula>NOT(ISERROR(SEARCH("Revisar",W81)))</formula>
    </cfRule>
    <cfRule type="containsText" dxfId="61" priority="111" operator="containsText" text="Revisado OK">
      <formula>NOT(ISERROR(SEARCH("Revisado OK",W81)))</formula>
    </cfRule>
  </conditionalFormatting>
  <conditionalFormatting sqref="W97:AA97">
    <cfRule type="containsText" dxfId="59" priority="93" operator="containsText" text="Revisado OK">
      <formula>NOT(ISERROR(SEARCH("Revisado OK",W97)))</formula>
    </cfRule>
    <cfRule type="containsText" dxfId="58" priority="92" operator="containsText" text="Revisar">
      <formula>NOT(ISERROR(SEARCH("Revisar",W97)))</formula>
    </cfRule>
  </conditionalFormatting>
  <conditionalFormatting sqref="W102:AA111">
    <cfRule type="expression" dxfId="57" priority="72">
      <formula>$AA$112=1</formula>
    </cfRule>
  </conditionalFormatting>
  <conditionalFormatting sqref="W113:AA113">
    <cfRule type="containsText" dxfId="55" priority="90" operator="containsText" text="Revisar">
      <formula>NOT(ISERROR(SEARCH("Revisar",W113)))</formula>
    </cfRule>
    <cfRule type="containsText" dxfId="54" priority="91" operator="containsText" text="Revisado OK">
      <formula>NOT(ISERROR(SEARCH("Revisado OK",W113)))</formula>
    </cfRule>
  </conditionalFormatting>
  <conditionalFormatting sqref="W129:AA129">
    <cfRule type="containsText" dxfId="52" priority="86" operator="containsText" text="Revisar">
      <formula>NOT(ISERROR(SEARCH("Revisar",W129)))</formula>
    </cfRule>
    <cfRule type="containsText" dxfId="51" priority="87" operator="containsText" text="Revisado OK">
      <formula>NOT(ISERROR(SEARCH("Revisado OK",W129)))</formula>
    </cfRule>
  </conditionalFormatting>
  <conditionalFormatting sqref="W145:AA145">
    <cfRule type="containsText" dxfId="49" priority="82" operator="containsText" text="Revisar">
      <formula>NOT(ISERROR(SEARCH("Revisar",W145)))</formula>
    </cfRule>
    <cfRule type="containsText" dxfId="48" priority="83" operator="containsText" text="Revisado OK">
      <formula>NOT(ISERROR(SEARCH("Revisado OK",W145)))</formula>
    </cfRule>
  </conditionalFormatting>
  <conditionalFormatting sqref="X70:Y79">
    <cfRule type="beginsWith" dxfId="47" priority="228" operator="beginsWith" text="$X$68">
      <formula>LEFT(X70,LEN("$X$68"))="$X$68"</formula>
    </cfRule>
  </conditionalFormatting>
  <conditionalFormatting sqref="X86:Y95">
    <cfRule type="beginsWith" dxfId="46" priority="168" operator="beginsWith" text="$X$68">
      <formula>LEFT(X86,LEN("$X$68"))="$X$68"</formula>
    </cfRule>
  </conditionalFormatting>
  <conditionalFormatting sqref="X102:Y111">
    <cfRule type="beginsWith" dxfId="45" priority="163" operator="beginsWith" text="$X$68">
      <formula>LEFT(X102,LEN("$X$68"))="$X$68"</formula>
    </cfRule>
  </conditionalFormatting>
  <conditionalFormatting sqref="X118:Y127">
    <cfRule type="beginsWith" dxfId="44" priority="158" operator="beginsWith" text="$X$68">
      <formula>LEFT(X118,LEN("$X$68"))="$X$68"</formula>
    </cfRule>
  </conditionalFormatting>
  <conditionalFormatting sqref="X134:Y143">
    <cfRule type="beginsWith" dxfId="43" priority="139" operator="beginsWith" text="$X$68">
      <formula>LEFT(X134,LEN("$X$68"))="$X$68"</formula>
    </cfRule>
  </conditionalFormatting>
  <conditionalFormatting sqref="X70:AA79">
    <cfRule type="expression" dxfId="42" priority="74">
      <formula>$AA$80=1</formula>
    </cfRule>
    <cfRule type="cellIs" dxfId="41" priority="220" operator="equal">
      <formula>"Revisar"</formula>
    </cfRule>
  </conditionalFormatting>
  <conditionalFormatting sqref="X86:AA95">
    <cfRule type="expression" dxfId="40" priority="73">
      <formula>$AA$96=1</formula>
    </cfRule>
    <cfRule type="cellIs" dxfId="39" priority="128" operator="equal">
      <formula>"Revisar"</formula>
    </cfRule>
  </conditionalFormatting>
  <conditionalFormatting sqref="X102:AA111">
    <cfRule type="cellIs" dxfId="38" priority="131" operator="equal">
      <formula>"Revisar"</formula>
    </cfRule>
  </conditionalFormatting>
  <conditionalFormatting sqref="X118:AA127">
    <cfRule type="cellIs" dxfId="37" priority="130" operator="equal">
      <formula>"Revisar"</formula>
    </cfRule>
  </conditionalFormatting>
  <conditionalFormatting sqref="X134:AA143">
    <cfRule type="cellIs" dxfId="36" priority="129" operator="equal">
      <formula>"Revisar"</formula>
    </cfRule>
  </conditionalFormatting>
  <dataValidations count="14">
    <dataValidation type="list" allowBlank="1" showInputMessage="1" showErrorMessage="1" sqref="T19 H116 H68 N21 H84 H100 H132" xr:uid="{00000000-0002-0000-0000-000000000000}">
      <formula1>$H$164:$H$166</formula1>
    </dataValidation>
    <dataValidation type="list" allowBlank="1" showInputMessage="1" showErrorMessage="1" sqref="H21:J21" xr:uid="{00000000-0002-0000-0000-000001000000}">
      <formula1>$Q$163:$Q$164</formula1>
    </dataValidation>
    <dataValidation type="list" allowBlank="1" showInputMessage="1" showErrorMessage="1" sqref="D23:G23" xr:uid="{00000000-0002-0000-0000-000002000000}">
      <formula1>$U$163:$U$164</formula1>
    </dataValidation>
    <dataValidation type="list" allowBlank="1" showInputMessage="1" showErrorMessage="1" sqref="D21:G21" xr:uid="{00000000-0002-0000-0000-000003000000}">
      <formula1>$Z$164:$Z$181</formula1>
    </dataValidation>
    <dataValidation type="list" allowBlank="1" showInputMessage="1" showErrorMessage="1" sqref="J159:N159" xr:uid="{00000000-0002-0000-0000-000004000000}">
      <formula1>$K$164:$K$168</formula1>
    </dataValidation>
    <dataValidation type="list" allowBlank="1" showInputMessage="1" showErrorMessage="1" sqref="B160 J160" xr:uid="{00000000-0002-0000-0000-000005000000}">
      <formula1>$M$164:$M$166</formula1>
    </dataValidation>
    <dataValidation type="list" allowBlank="1" showInputMessage="1" showErrorMessage="1" sqref="T24" xr:uid="{00000000-0002-0000-0000-000006000000}">
      <formula1>$H$172:$H$175</formula1>
    </dataValidation>
    <dataValidation type="list" allowBlank="1" showInputMessage="1" showErrorMessage="1" sqref="B159:F159" xr:uid="{00000000-0002-0000-0000-000007000000}">
      <formula1>$K$164:$K$165</formula1>
    </dataValidation>
    <dataValidation type="list" allowBlank="1" showInputMessage="1" showErrorMessage="1" sqref="N24" xr:uid="{00000000-0002-0000-0000-000008000000}">
      <formula1>$H$168:$H$171</formula1>
    </dataValidation>
    <dataValidation type="list" allowBlank="1" showInputMessage="1" showErrorMessage="1" sqref="W81:AA81 W97:AA97 W113:AA113 W129:AA129 W145:AA145" xr:uid="{00000000-0002-0000-0000-000009000000}">
      <formula1>$Q$165:$Q$167</formula1>
    </dataValidation>
    <dataValidation type="list" allowBlank="1" showInputMessage="1" showErrorMessage="1" sqref="D24" xr:uid="{00000000-0002-0000-0000-00000A000000}">
      <formula1>$A$164:$A$166</formula1>
    </dataValidation>
    <dataValidation type="list" allowBlank="1" showInputMessage="1" showErrorMessage="1" sqref="D25 E26" xr:uid="{00000000-0002-0000-0000-00000B000000}">
      <formula1>$H$172:$H$173</formula1>
    </dataValidation>
    <dataValidation type="list" allowBlank="1" showInputMessage="1" showErrorMessage="1" sqref="F24" xr:uid="{00000000-0002-0000-0000-00000C000000}">
      <formula1>$A$176:$A$177</formula1>
    </dataValidation>
    <dataValidation type="list" allowBlank="1" showInputMessage="1" showErrorMessage="1" sqref="U84 U100 U116" xr:uid="{00000000-0002-0000-0000-00000D000000}">
      <formula1>$Q$165:$Q$168</formula1>
    </dataValidation>
  </dataValidations>
  <printOptions horizontalCentered="1" verticalCentered="1"/>
  <pageMargins left="0.9055118110236221" right="0.70866141732283472" top="0.35433070866141736" bottom="0.74803149606299213" header="0.31496062992125984" footer="0.31496062992125984"/>
  <pageSetup scale="48" fitToHeight="2" orientation="landscape" r:id="rId1"/>
  <headerFooter>
    <oddFooter>&amp;R&amp;P de &amp;N</oddFooter>
  </headerFooter>
  <rowBreaks count="1" manualBreakCount="1">
    <brk id="58" max="26" man="1"/>
  </rowBreaks>
  <ignoredErrors>
    <ignoredError sqref="P84 P100 P116" evalError="1"/>
  </ignoredErrors>
  <drawing r:id="rId2"/>
  <legacyDrawing r:id="rId3"/>
  <oleObjects>
    <mc:AlternateContent xmlns:mc="http://schemas.openxmlformats.org/markup-compatibility/2006">
      <mc:Choice Requires="x14">
        <oleObject progId="PBrush" shapeId="1087" r:id="rId4">
          <objectPr defaultSize="0" autoPict="0" r:id="rId5">
            <anchor moveWithCells="1" sizeWithCells="1">
              <from>
                <xdr:col>0</xdr:col>
                <xdr:colOff>219075</xdr:colOff>
                <xdr:row>0</xdr:row>
                <xdr:rowOff>76200</xdr:rowOff>
              </from>
              <to>
                <xdr:col>3</xdr:col>
                <xdr:colOff>647700</xdr:colOff>
                <xdr:row>1</xdr:row>
                <xdr:rowOff>200025</xdr:rowOff>
              </to>
            </anchor>
          </objectPr>
        </oleObject>
      </mc:Choice>
      <mc:Fallback>
        <oleObject progId="PBrush" shapeId="1087" r:id="rId4"/>
      </mc:Fallback>
    </mc:AlternateContent>
  </oleObjects>
  <extLst>
    <ext xmlns:x14="http://schemas.microsoft.com/office/spreadsheetml/2009/9/main" uri="{78C0D931-6437-407d-A8EE-F0AAD7539E65}">
      <x14:conditionalFormattings>
        <x14:conditionalFormatting xmlns:xm="http://schemas.microsoft.com/office/excel/2006/main">
          <x14:cfRule type="containsText" priority="170" operator="containsText" id="{B6DD7261-CC7A-4221-ACE5-009F651DC3DA}">
            <xm:f>NOT(ISERROR(SEARCH($Q$165,W80)))</xm:f>
            <xm:f>$Q$165</xm:f>
            <x14:dxf>
              <fill>
                <patternFill>
                  <fgColor rgb="FF00B050"/>
                  <bgColor rgb="FF00B050"/>
                </patternFill>
              </fill>
            </x14:dxf>
          </x14:cfRule>
          <xm:sqref>W80:AA80</xm:sqref>
        </x14:conditionalFormatting>
        <x14:conditionalFormatting xmlns:xm="http://schemas.microsoft.com/office/excel/2006/main">
          <x14:cfRule type="containsText" priority="76" operator="containsText" id="{B85234F7-7970-4D9C-A336-586EDB2ECC9C}">
            <xm:f>NOT(ISERROR(SEARCH($Q$165,W96)))</xm:f>
            <xm:f>$Q$165</xm:f>
            <x14:dxf>
              <fill>
                <patternFill>
                  <fgColor rgb="FF00B050"/>
                  <bgColor rgb="FF00B050"/>
                </patternFill>
              </fill>
            </x14:dxf>
          </x14:cfRule>
          <xm:sqref>W96:AA96</xm:sqref>
        </x14:conditionalFormatting>
        <x14:conditionalFormatting xmlns:xm="http://schemas.microsoft.com/office/excel/2006/main">
          <x14:cfRule type="containsText" priority="75" operator="containsText" id="{BE131EDE-F5B2-4E9F-B271-7BE4DCAD4E29}">
            <xm:f>NOT(ISERROR(SEARCH($Q$165,W112)))</xm:f>
            <xm:f>$Q$165</xm:f>
            <x14:dxf>
              <fill>
                <patternFill>
                  <fgColor rgb="FF00B050"/>
                  <bgColor rgb="FF00B050"/>
                </patternFill>
              </fill>
            </x14:dxf>
          </x14:cfRule>
          <xm:sqref>W112:AA112</xm:sqref>
        </x14:conditionalFormatting>
        <x14:conditionalFormatting xmlns:xm="http://schemas.microsoft.com/office/excel/2006/main">
          <x14:cfRule type="containsText" priority="99" operator="containsText" id="{748615A2-9F7B-4E01-AAFE-D757CDAAB9DB}">
            <xm:f>NOT(ISERROR(SEARCH($Q$165,W128)))</xm:f>
            <xm:f>$Q$165</xm:f>
            <x14:dxf>
              <fill>
                <patternFill>
                  <fgColor rgb="FF00B050"/>
                  <bgColor rgb="FF00B050"/>
                </patternFill>
              </fill>
            </x14:dxf>
          </x14:cfRule>
          <xm:sqref>W128:AA128</xm:sqref>
        </x14:conditionalFormatting>
        <x14:conditionalFormatting xmlns:xm="http://schemas.microsoft.com/office/excel/2006/main">
          <x14:cfRule type="containsText" priority="95" operator="containsText" id="{35DB683D-D01C-49B5-8402-F085711CE9B5}">
            <xm:f>NOT(ISERROR(SEARCH($Q$165,W144)))</xm:f>
            <xm:f>$Q$165</xm:f>
            <x14:dxf>
              <fill>
                <patternFill>
                  <fgColor rgb="FF00B050"/>
                  <bgColor rgb="FF00B050"/>
                </patternFill>
              </fill>
            </x14:dxf>
          </x14:cfRule>
          <xm:sqref>W144:AA144</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E000000}">
          <x14:formula1>
            <xm:f>Trazabilidad!$T$5:$T$9</xm:f>
          </x14:formula1>
          <xm:sqref>F41:I41</xm:sqref>
        </x14:dataValidation>
        <x14:dataValidation type="list" allowBlank="1" showInputMessage="1" showErrorMessage="1" xr:uid="{00000000-0002-0000-0000-00000F000000}">
          <x14:formula1>
            <xm:f>Trazabilidad!$T$10:$T$11</xm:f>
          </x14:formula1>
          <xm:sqref>F40:I40</xm:sqref>
        </x14:dataValidation>
        <x14:dataValidation type="list" allowBlank="1" showInputMessage="1" showErrorMessage="1" xr:uid="{00000000-0002-0000-0000-000010000000}">
          <x14:formula1>
            <xm:f>Trazabilidad!$T$5:$T$6</xm:f>
          </x14:formula1>
          <xm:sqref>F37:I37</xm:sqref>
        </x14:dataValidation>
        <x14:dataValidation type="list" allowBlank="1" showInputMessage="1" showErrorMessage="1" xr:uid="{00000000-0002-0000-0000-000011000000}">
          <x14:formula1>
            <xm:f>Trazabilidad!$T$13:$T$14</xm:f>
          </x14:formula1>
          <xm:sqref>F38:I38</xm:sqref>
        </x14:dataValidation>
        <x14:dataValidation type="list" allowBlank="1" showInputMessage="1" showErrorMessage="1" xr:uid="{00000000-0002-0000-0000-000012000000}">
          <x14:formula1>
            <xm:f>Trazabilidad!$T$12</xm:f>
          </x14:formula1>
          <xm:sqref>F39:I39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AU145"/>
  <sheetViews>
    <sheetView showGridLines="0" view="pageBreakPreview" topLeftCell="A91" zoomScaleNormal="100" zoomScaleSheetLayoutView="100" workbookViewId="0">
      <selection activeCell="A6" sqref="A6:AA6"/>
    </sheetView>
  </sheetViews>
  <sheetFormatPr baseColWidth="10" defaultRowHeight="15" x14ac:dyDescent="0.25"/>
  <cols>
    <col min="1" max="1" width="5.42578125" style="14" customWidth="1"/>
    <col min="2" max="2" width="5.140625" style="14" customWidth="1"/>
    <col min="3" max="3" width="5.42578125" style="14" customWidth="1"/>
    <col min="4" max="4" width="4.42578125" style="14" customWidth="1"/>
    <col min="5" max="5" width="5.42578125" style="14" customWidth="1"/>
    <col min="6" max="6" width="6.7109375" style="14" customWidth="1"/>
    <col min="7" max="7" width="4.7109375" style="15" customWidth="1"/>
    <col min="8" max="8" width="3.28515625" style="14" customWidth="1"/>
    <col min="9" max="9" width="6.28515625" style="14" customWidth="1"/>
    <col min="10" max="13" width="5" style="14" customWidth="1"/>
    <col min="14" max="14" width="13.140625" style="14" bestFit="1" customWidth="1"/>
    <col min="15" max="15" width="5" style="14" customWidth="1"/>
    <col min="16" max="16" width="5.85546875" style="14" customWidth="1"/>
    <col min="17" max="18" width="5.7109375" style="14" customWidth="1"/>
    <col min="19" max="19" width="5.42578125" style="14" customWidth="1"/>
    <col min="20" max="20" width="10" style="14" customWidth="1"/>
    <col min="21" max="22" width="5" style="14" customWidth="1"/>
    <col min="23" max="23" width="6.7109375" style="14" customWidth="1"/>
    <col min="24" max="24" width="5.5703125" style="14" customWidth="1"/>
    <col min="25" max="25" width="6.85546875" style="14" customWidth="1"/>
    <col min="26" max="26" width="2.7109375" style="14" customWidth="1"/>
    <col min="27" max="27" width="11.5703125" style="14" customWidth="1"/>
    <col min="28" max="28" width="7.7109375" style="14" customWidth="1"/>
    <col min="29" max="29" width="1.5703125" style="14" customWidth="1"/>
    <col min="30" max="30" width="29.5703125" style="14" customWidth="1"/>
    <col min="31" max="31" width="0.140625" style="14" customWidth="1"/>
    <col min="32" max="33" width="0.5703125" style="14" hidden="1" customWidth="1"/>
    <col min="34" max="34" width="16.42578125" style="14" customWidth="1"/>
    <col min="35" max="35" width="0.28515625" style="14" customWidth="1"/>
    <col min="36" max="36" width="9.42578125" style="14" bestFit="1" customWidth="1"/>
    <col min="37" max="37" width="6.5703125" style="14" bestFit="1" customWidth="1"/>
    <col min="38" max="38" width="1.28515625" style="14" customWidth="1"/>
    <col min="39" max="39" width="13.7109375" style="14" customWidth="1"/>
    <col min="40" max="40" width="12.5703125" style="14" customWidth="1"/>
    <col min="41" max="41" width="11" style="14" customWidth="1"/>
    <col min="42" max="42" width="9.7109375" style="14" customWidth="1"/>
    <col min="43" max="43" width="10.85546875" style="14" customWidth="1"/>
    <col min="44" max="73" width="4.7109375" style="14" customWidth="1"/>
    <col min="74" max="259" width="11.42578125" style="14"/>
    <col min="260" max="262" width="4.7109375" style="14" customWidth="1"/>
    <col min="263" max="263" width="5.140625" style="14" customWidth="1"/>
    <col min="264" max="264" width="4.7109375" style="14" customWidth="1"/>
    <col min="265" max="265" width="6.7109375" style="14" customWidth="1"/>
    <col min="266" max="329" width="4.7109375" style="14" customWidth="1"/>
    <col min="330" max="515" width="11.42578125" style="14"/>
    <col min="516" max="518" width="4.7109375" style="14" customWidth="1"/>
    <col min="519" max="519" width="5.140625" style="14" customWidth="1"/>
    <col min="520" max="520" width="4.7109375" style="14" customWidth="1"/>
    <col min="521" max="521" width="6.7109375" style="14" customWidth="1"/>
    <col min="522" max="585" width="4.7109375" style="14" customWidth="1"/>
    <col min="586" max="771" width="11.42578125" style="14"/>
    <col min="772" max="774" width="4.7109375" style="14" customWidth="1"/>
    <col min="775" max="775" width="5.140625" style="14" customWidth="1"/>
    <col min="776" max="776" width="4.7109375" style="14" customWidth="1"/>
    <col min="777" max="777" width="6.7109375" style="14" customWidth="1"/>
    <col min="778" max="841" width="4.7109375" style="14" customWidth="1"/>
    <col min="842" max="1027" width="11.42578125" style="14"/>
    <col min="1028" max="1030" width="4.7109375" style="14" customWidth="1"/>
    <col min="1031" max="1031" width="5.140625" style="14" customWidth="1"/>
    <col min="1032" max="1032" width="4.7109375" style="14" customWidth="1"/>
    <col min="1033" max="1033" width="6.7109375" style="14" customWidth="1"/>
    <col min="1034" max="1097" width="4.7109375" style="14" customWidth="1"/>
    <col min="1098" max="1283" width="11.42578125" style="14"/>
    <col min="1284" max="1286" width="4.7109375" style="14" customWidth="1"/>
    <col min="1287" max="1287" width="5.140625" style="14" customWidth="1"/>
    <col min="1288" max="1288" width="4.7109375" style="14" customWidth="1"/>
    <col min="1289" max="1289" width="6.7109375" style="14" customWidth="1"/>
    <col min="1290" max="1353" width="4.7109375" style="14" customWidth="1"/>
    <col min="1354" max="1539" width="11.42578125" style="14"/>
    <col min="1540" max="1542" width="4.7109375" style="14" customWidth="1"/>
    <col min="1543" max="1543" width="5.140625" style="14" customWidth="1"/>
    <col min="1544" max="1544" width="4.7109375" style="14" customWidth="1"/>
    <col min="1545" max="1545" width="6.7109375" style="14" customWidth="1"/>
    <col min="1546" max="1609" width="4.7109375" style="14" customWidth="1"/>
    <col min="1610" max="1795" width="11.42578125" style="14"/>
    <col min="1796" max="1798" width="4.7109375" style="14" customWidth="1"/>
    <col min="1799" max="1799" width="5.140625" style="14" customWidth="1"/>
    <col min="1800" max="1800" width="4.7109375" style="14" customWidth="1"/>
    <col min="1801" max="1801" width="6.7109375" style="14" customWidth="1"/>
    <col min="1802" max="1865" width="4.7109375" style="14" customWidth="1"/>
    <col min="1866" max="2051" width="11.42578125" style="14"/>
    <col min="2052" max="2054" width="4.7109375" style="14" customWidth="1"/>
    <col min="2055" max="2055" width="5.140625" style="14" customWidth="1"/>
    <col min="2056" max="2056" width="4.7109375" style="14" customWidth="1"/>
    <col min="2057" max="2057" width="6.7109375" style="14" customWidth="1"/>
    <col min="2058" max="2121" width="4.7109375" style="14" customWidth="1"/>
    <col min="2122" max="2307" width="11.42578125" style="14"/>
    <col min="2308" max="2310" width="4.7109375" style="14" customWidth="1"/>
    <col min="2311" max="2311" width="5.140625" style="14" customWidth="1"/>
    <col min="2312" max="2312" width="4.7109375" style="14" customWidth="1"/>
    <col min="2313" max="2313" width="6.7109375" style="14" customWidth="1"/>
    <col min="2314" max="2377" width="4.7109375" style="14" customWidth="1"/>
    <col min="2378" max="2563" width="11.42578125" style="14"/>
    <col min="2564" max="2566" width="4.7109375" style="14" customWidth="1"/>
    <col min="2567" max="2567" width="5.140625" style="14" customWidth="1"/>
    <col min="2568" max="2568" width="4.7109375" style="14" customWidth="1"/>
    <col min="2569" max="2569" width="6.7109375" style="14" customWidth="1"/>
    <col min="2570" max="2633" width="4.7109375" style="14" customWidth="1"/>
    <col min="2634" max="2819" width="11.42578125" style="14"/>
    <col min="2820" max="2822" width="4.7109375" style="14" customWidth="1"/>
    <col min="2823" max="2823" width="5.140625" style="14" customWidth="1"/>
    <col min="2824" max="2824" width="4.7109375" style="14" customWidth="1"/>
    <col min="2825" max="2825" width="6.7109375" style="14" customWidth="1"/>
    <col min="2826" max="2889" width="4.7109375" style="14" customWidth="1"/>
    <col min="2890" max="3075" width="11.42578125" style="14"/>
    <col min="3076" max="3078" width="4.7109375" style="14" customWidth="1"/>
    <col min="3079" max="3079" width="5.140625" style="14" customWidth="1"/>
    <col min="3080" max="3080" width="4.7109375" style="14" customWidth="1"/>
    <col min="3081" max="3081" width="6.7109375" style="14" customWidth="1"/>
    <col min="3082" max="3145" width="4.7109375" style="14" customWidth="1"/>
    <col min="3146" max="3331" width="11.42578125" style="14"/>
    <col min="3332" max="3334" width="4.7109375" style="14" customWidth="1"/>
    <col min="3335" max="3335" width="5.140625" style="14" customWidth="1"/>
    <col min="3336" max="3336" width="4.7109375" style="14" customWidth="1"/>
    <col min="3337" max="3337" width="6.7109375" style="14" customWidth="1"/>
    <col min="3338" max="3401" width="4.7109375" style="14" customWidth="1"/>
    <col min="3402" max="3587" width="11.42578125" style="14"/>
    <col min="3588" max="3590" width="4.7109375" style="14" customWidth="1"/>
    <col min="3591" max="3591" width="5.140625" style="14" customWidth="1"/>
    <col min="3592" max="3592" width="4.7109375" style="14" customWidth="1"/>
    <col min="3593" max="3593" width="6.7109375" style="14" customWidth="1"/>
    <col min="3594" max="3657" width="4.7109375" style="14" customWidth="1"/>
    <col min="3658" max="3843" width="11.42578125" style="14"/>
    <col min="3844" max="3846" width="4.7109375" style="14" customWidth="1"/>
    <col min="3847" max="3847" width="5.140625" style="14" customWidth="1"/>
    <col min="3848" max="3848" width="4.7109375" style="14" customWidth="1"/>
    <col min="3849" max="3849" width="6.7109375" style="14" customWidth="1"/>
    <col min="3850" max="3913" width="4.7109375" style="14" customWidth="1"/>
    <col min="3914" max="4099" width="11.42578125" style="14"/>
    <col min="4100" max="4102" width="4.7109375" style="14" customWidth="1"/>
    <col min="4103" max="4103" width="5.140625" style="14" customWidth="1"/>
    <col min="4104" max="4104" width="4.7109375" style="14" customWidth="1"/>
    <col min="4105" max="4105" width="6.7109375" style="14" customWidth="1"/>
    <col min="4106" max="4169" width="4.7109375" style="14" customWidth="1"/>
    <col min="4170" max="4355" width="11.42578125" style="14"/>
    <col min="4356" max="4358" width="4.7109375" style="14" customWidth="1"/>
    <col min="4359" max="4359" width="5.140625" style="14" customWidth="1"/>
    <col min="4360" max="4360" width="4.7109375" style="14" customWidth="1"/>
    <col min="4361" max="4361" width="6.7109375" style="14" customWidth="1"/>
    <col min="4362" max="4425" width="4.7109375" style="14" customWidth="1"/>
    <col min="4426" max="4611" width="11.42578125" style="14"/>
    <col min="4612" max="4614" width="4.7109375" style="14" customWidth="1"/>
    <col min="4615" max="4615" width="5.140625" style="14" customWidth="1"/>
    <col min="4616" max="4616" width="4.7109375" style="14" customWidth="1"/>
    <col min="4617" max="4617" width="6.7109375" style="14" customWidth="1"/>
    <col min="4618" max="4681" width="4.7109375" style="14" customWidth="1"/>
    <col min="4682" max="4867" width="11.42578125" style="14"/>
    <col min="4868" max="4870" width="4.7109375" style="14" customWidth="1"/>
    <col min="4871" max="4871" width="5.140625" style="14" customWidth="1"/>
    <col min="4872" max="4872" width="4.7109375" style="14" customWidth="1"/>
    <col min="4873" max="4873" width="6.7109375" style="14" customWidth="1"/>
    <col min="4874" max="4937" width="4.7109375" style="14" customWidth="1"/>
    <col min="4938" max="5123" width="11.42578125" style="14"/>
    <col min="5124" max="5126" width="4.7109375" style="14" customWidth="1"/>
    <col min="5127" max="5127" width="5.140625" style="14" customWidth="1"/>
    <col min="5128" max="5128" width="4.7109375" style="14" customWidth="1"/>
    <col min="5129" max="5129" width="6.7109375" style="14" customWidth="1"/>
    <col min="5130" max="5193" width="4.7109375" style="14" customWidth="1"/>
    <col min="5194" max="5379" width="11.42578125" style="14"/>
    <col min="5380" max="5382" width="4.7109375" style="14" customWidth="1"/>
    <col min="5383" max="5383" width="5.140625" style="14" customWidth="1"/>
    <col min="5384" max="5384" width="4.7109375" style="14" customWidth="1"/>
    <col min="5385" max="5385" width="6.7109375" style="14" customWidth="1"/>
    <col min="5386" max="5449" width="4.7109375" style="14" customWidth="1"/>
    <col min="5450" max="5635" width="11.42578125" style="14"/>
    <col min="5636" max="5638" width="4.7109375" style="14" customWidth="1"/>
    <col min="5639" max="5639" width="5.140625" style="14" customWidth="1"/>
    <col min="5640" max="5640" width="4.7109375" style="14" customWidth="1"/>
    <col min="5641" max="5641" width="6.7109375" style="14" customWidth="1"/>
    <col min="5642" max="5705" width="4.7109375" style="14" customWidth="1"/>
    <col min="5706" max="5891" width="11.42578125" style="14"/>
    <col min="5892" max="5894" width="4.7109375" style="14" customWidth="1"/>
    <col min="5895" max="5895" width="5.140625" style="14" customWidth="1"/>
    <col min="5896" max="5896" width="4.7109375" style="14" customWidth="1"/>
    <col min="5897" max="5897" width="6.7109375" style="14" customWidth="1"/>
    <col min="5898" max="5961" width="4.7109375" style="14" customWidth="1"/>
    <col min="5962" max="6147" width="11.42578125" style="14"/>
    <col min="6148" max="6150" width="4.7109375" style="14" customWidth="1"/>
    <col min="6151" max="6151" width="5.140625" style="14" customWidth="1"/>
    <col min="6152" max="6152" width="4.7109375" style="14" customWidth="1"/>
    <col min="6153" max="6153" width="6.7109375" style="14" customWidth="1"/>
    <col min="6154" max="6217" width="4.7109375" style="14" customWidth="1"/>
    <col min="6218" max="6403" width="11.42578125" style="14"/>
    <col min="6404" max="6406" width="4.7109375" style="14" customWidth="1"/>
    <col min="6407" max="6407" width="5.140625" style="14" customWidth="1"/>
    <col min="6408" max="6408" width="4.7109375" style="14" customWidth="1"/>
    <col min="6409" max="6409" width="6.7109375" style="14" customWidth="1"/>
    <col min="6410" max="6473" width="4.7109375" style="14" customWidth="1"/>
    <col min="6474" max="6659" width="11.42578125" style="14"/>
    <col min="6660" max="6662" width="4.7109375" style="14" customWidth="1"/>
    <col min="6663" max="6663" width="5.140625" style="14" customWidth="1"/>
    <col min="6664" max="6664" width="4.7109375" style="14" customWidth="1"/>
    <col min="6665" max="6665" width="6.7109375" style="14" customWidth="1"/>
    <col min="6666" max="6729" width="4.7109375" style="14" customWidth="1"/>
    <col min="6730" max="6915" width="11.42578125" style="14"/>
    <col min="6916" max="6918" width="4.7109375" style="14" customWidth="1"/>
    <col min="6919" max="6919" width="5.140625" style="14" customWidth="1"/>
    <col min="6920" max="6920" width="4.7109375" style="14" customWidth="1"/>
    <col min="6921" max="6921" width="6.7109375" style="14" customWidth="1"/>
    <col min="6922" max="6985" width="4.7109375" style="14" customWidth="1"/>
    <col min="6986" max="7171" width="11.42578125" style="14"/>
    <col min="7172" max="7174" width="4.7109375" style="14" customWidth="1"/>
    <col min="7175" max="7175" width="5.140625" style="14" customWidth="1"/>
    <col min="7176" max="7176" width="4.7109375" style="14" customWidth="1"/>
    <col min="7177" max="7177" width="6.7109375" style="14" customWidth="1"/>
    <col min="7178" max="7241" width="4.7109375" style="14" customWidth="1"/>
    <col min="7242" max="7427" width="11.42578125" style="14"/>
    <col min="7428" max="7430" width="4.7109375" style="14" customWidth="1"/>
    <col min="7431" max="7431" width="5.140625" style="14" customWidth="1"/>
    <col min="7432" max="7432" width="4.7109375" style="14" customWidth="1"/>
    <col min="7433" max="7433" width="6.7109375" style="14" customWidth="1"/>
    <col min="7434" max="7497" width="4.7109375" style="14" customWidth="1"/>
    <col min="7498" max="7683" width="11.42578125" style="14"/>
    <col min="7684" max="7686" width="4.7109375" style="14" customWidth="1"/>
    <col min="7687" max="7687" width="5.140625" style="14" customWidth="1"/>
    <col min="7688" max="7688" width="4.7109375" style="14" customWidth="1"/>
    <col min="7689" max="7689" width="6.7109375" style="14" customWidth="1"/>
    <col min="7690" max="7753" width="4.7109375" style="14" customWidth="1"/>
    <col min="7754" max="7939" width="11.42578125" style="14"/>
    <col min="7940" max="7942" width="4.7109375" style="14" customWidth="1"/>
    <col min="7943" max="7943" width="5.140625" style="14" customWidth="1"/>
    <col min="7944" max="7944" width="4.7109375" style="14" customWidth="1"/>
    <col min="7945" max="7945" width="6.7109375" style="14" customWidth="1"/>
    <col min="7946" max="8009" width="4.7109375" style="14" customWidth="1"/>
    <col min="8010" max="8195" width="11.42578125" style="14"/>
    <col min="8196" max="8198" width="4.7109375" style="14" customWidth="1"/>
    <col min="8199" max="8199" width="5.140625" style="14" customWidth="1"/>
    <col min="8200" max="8200" width="4.7109375" style="14" customWidth="1"/>
    <col min="8201" max="8201" width="6.7109375" style="14" customWidth="1"/>
    <col min="8202" max="8265" width="4.7109375" style="14" customWidth="1"/>
    <col min="8266" max="8451" width="11.42578125" style="14"/>
    <col min="8452" max="8454" width="4.7109375" style="14" customWidth="1"/>
    <col min="8455" max="8455" width="5.140625" style="14" customWidth="1"/>
    <col min="8456" max="8456" width="4.7109375" style="14" customWidth="1"/>
    <col min="8457" max="8457" width="6.7109375" style="14" customWidth="1"/>
    <col min="8458" max="8521" width="4.7109375" style="14" customWidth="1"/>
    <col min="8522" max="8707" width="11.42578125" style="14"/>
    <col min="8708" max="8710" width="4.7109375" style="14" customWidth="1"/>
    <col min="8711" max="8711" width="5.140625" style="14" customWidth="1"/>
    <col min="8712" max="8712" width="4.7109375" style="14" customWidth="1"/>
    <col min="8713" max="8713" width="6.7109375" style="14" customWidth="1"/>
    <col min="8714" max="8777" width="4.7109375" style="14" customWidth="1"/>
    <col min="8778" max="8963" width="11.42578125" style="14"/>
    <col min="8964" max="8966" width="4.7109375" style="14" customWidth="1"/>
    <col min="8967" max="8967" width="5.140625" style="14" customWidth="1"/>
    <col min="8968" max="8968" width="4.7109375" style="14" customWidth="1"/>
    <col min="8969" max="8969" width="6.7109375" style="14" customWidth="1"/>
    <col min="8970" max="9033" width="4.7109375" style="14" customWidth="1"/>
    <col min="9034" max="9219" width="11.42578125" style="14"/>
    <col min="9220" max="9222" width="4.7109375" style="14" customWidth="1"/>
    <col min="9223" max="9223" width="5.140625" style="14" customWidth="1"/>
    <col min="9224" max="9224" width="4.7109375" style="14" customWidth="1"/>
    <col min="9225" max="9225" width="6.7109375" style="14" customWidth="1"/>
    <col min="9226" max="9289" width="4.7109375" style="14" customWidth="1"/>
    <col min="9290" max="9475" width="11.42578125" style="14"/>
    <col min="9476" max="9478" width="4.7109375" style="14" customWidth="1"/>
    <col min="9479" max="9479" width="5.140625" style="14" customWidth="1"/>
    <col min="9480" max="9480" width="4.7109375" style="14" customWidth="1"/>
    <col min="9481" max="9481" width="6.7109375" style="14" customWidth="1"/>
    <col min="9482" max="9545" width="4.7109375" style="14" customWidth="1"/>
    <col min="9546" max="9731" width="11.42578125" style="14"/>
    <col min="9732" max="9734" width="4.7109375" style="14" customWidth="1"/>
    <col min="9735" max="9735" width="5.140625" style="14" customWidth="1"/>
    <col min="9736" max="9736" width="4.7109375" style="14" customWidth="1"/>
    <col min="9737" max="9737" width="6.7109375" style="14" customWidth="1"/>
    <col min="9738" max="9801" width="4.7109375" style="14" customWidth="1"/>
    <col min="9802" max="9987" width="11.42578125" style="14"/>
    <col min="9988" max="9990" width="4.7109375" style="14" customWidth="1"/>
    <col min="9991" max="9991" width="5.140625" style="14" customWidth="1"/>
    <col min="9992" max="9992" width="4.7109375" style="14" customWidth="1"/>
    <col min="9993" max="9993" width="6.7109375" style="14" customWidth="1"/>
    <col min="9994" max="10057" width="4.7109375" style="14" customWidth="1"/>
    <col min="10058" max="10243" width="11.42578125" style="14"/>
    <col min="10244" max="10246" width="4.7109375" style="14" customWidth="1"/>
    <col min="10247" max="10247" width="5.140625" style="14" customWidth="1"/>
    <col min="10248" max="10248" width="4.7109375" style="14" customWidth="1"/>
    <col min="10249" max="10249" width="6.7109375" style="14" customWidth="1"/>
    <col min="10250" max="10313" width="4.7109375" style="14" customWidth="1"/>
    <col min="10314" max="10499" width="11.42578125" style="14"/>
    <col min="10500" max="10502" width="4.7109375" style="14" customWidth="1"/>
    <col min="10503" max="10503" width="5.140625" style="14" customWidth="1"/>
    <col min="10504" max="10504" width="4.7109375" style="14" customWidth="1"/>
    <col min="10505" max="10505" width="6.7109375" style="14" customWidth="1"/>
    <col min="10506" max="10569" width="4.7109375" style="14" customWidth="1"/>
    <col min="10570" max="10755" width="11.42578125" style="14"/>
    <col min="10756" max="10758" width="4.7109375" style="14" customWidth="1"/>
    <col min="10759" max="10759" width="5.140625" style="14" customWidth="1"/>
    <col min="10760" max="10760" width="4.7109375" style="14" customWidth="1"/>
    <col min="10761" max="10761" width="6.7109375" style="14" customWidth="1"/>
    <col min="10762" max="10825" width="4.7109375" style="14" customWidth="1"/>
    <col min="10826" max="11011" width="11.42578125" style="14"/>
    <col min="11012" max="11014" width="4.7109375" style="14" customWidth="1"/>
    <col min="11015" max="11015" width="5.140625" style="14" customWidth="1"/>
    <col min="11016" max="11016" width="4.7109375" style="14" customWidth="1"/>
    <col min="11017" max="11017" width="6.7109375" style="14" customWidth="1"/>
    <col min="11018" max="11081" width="4.7109375" style="14" customWidth="1"/>
    <col min="11082" max="11267" width="11.42578125" style="14"/>
    <col min="11268" max="11270" width="4.7109375" style="14" customWidth="1"/>
    <col min="11271" max="11271" width="5.140625" style="14" customWidth="1"/>
    <col min="11272" max="11272" width="4.7109375" style="14" customWidth="1"/>
    <col min="11273" max="11273" width="6.7109375" style="14" customWidth="1"/>
    <col min="11274" max="11337" width="4.7109375" style="14" customWidth="1"/>
    <col min="11338" max="11523" width="11.42578125" style="14"/>
    <col min="11524" max="11526" width="4.7109375" style="14" customWidth="1"/>
    <col min="11527" max="11527" width="5.140625" style="14" customWidth="1"/>
    <col min="11528" max="11528" width="4.7109375" style="14" customWidth="1"/>
    <col min="11529" max="11529" width="6.7109375" style="14" customWidth="1"/>
    <col min="11530" max="11593" width="4.7109375" style="14" customWidth="1"/>
    <col min="11594" max="11779" width="11.42578125" style="14"/>
    <col min="11780" max="11782" width="4.7109375" style="14" customWidth="1"/>
    <col min="11783" max="11783" width="5.140625" style="14" customWidth="1"/>
    <col min="11784" max="11784" width="4.7109375" style="14" customWidth="1"/>
    <col min="11785" max="11785" width="6.7109375" style="14" customWidth="1"/>
    <col min="11786" max="11849" width="4.7109375" style="14" customWidth="1"/>
    <col min="11850" max="12035" width="11.42578125" style="14"/>
    <col min="12036" max="12038" width="4.7109375" style="14" customWidth="1"/>
    <col min="12039" max="12039" width="5.140625" style="14" customWidth="1"/>
    <col min="12040" max="12040" width="4.7109375" style="14" customWidth="1"/>
    <col min="12041" max="12041" width="6.7109375" style="14" customWidth="1"/>
    <col min="12042" max="12105" width="4.7109375" style="14" customWidth="1"/>
    <col min="12106" max="12291" width="11.42578125" style="14"/>
    <col min="12292" max="12294" width="4.7109375" style="14" customWidth="1"/>
    <col min="12295" max="12295" width="5.140625" style="14" customWidth="1"/>
    <col min="12296" max="12296" width="4.7109375" style="14" customWidth="1"/>
    <col min="12297" max="12297" width="6.7109375" style="14" customWidth="1"/>
    <col min="12298" max="12361" width="4.7109375" style="14" customWidth="1"/>
    <col min="12362" max="12547" width="11.42578125" style="14"/>
    <col min="12548" max="12550" width="4.7109375" style="14" customWidth="1"/>
    <col min="12551" max="12551" width="5.140625" style="14" customWidth="1"/>
    <col min="12552" max="12552" width="4.7109375" style="14" customWidth="1"/>
    <col min="12553" max="12553" width="6.7109375" style="14" customWidth="1"/>
    <col min="12554" max="12617" width="4.7109375" style="14" customWidth="1"/>
    <col min="12618" max="12803" width="11.42578125" style="14"/>
    <col min="12804" max="12806" width="4.7109375" style="14" customWidth="1"/>
    <col min="12807" max="12807" width="5.140625" style="14" customWidth="1"/>
    <col min="12808" max="12808" width="4.7109375" style="14" customWidth="1"/>
    <col min="12809" max="12809" width="6.7109375" style="14" customWidth="1"/>
    <col min="12810" max="12873" width="4.7109375" style="14" customWidth="1"/>
    <col min="12874" max="13059" width="11.42578125" style="14"/>
    <col min="13060" max="13062" width="4.7109375" style="14" customWidth="1"/>
    <col min="13063" max="13063" width="5.140625" style="14" customWidth="1"/>
    <col min="13064" max="13064" width="4.7109375" style="14" customWidth="1"/>
    <col min="13065" max="13065" width="6.7109375" style="14" customWidth="1"/>
    <col min="13066" max="13129" width="4.7109375" style="14" customWidth="1"/>
    <col min="13130" max="13315" width="11.42578125" style="14"/>
    <col min="13316" max="13318" width="4.7109375" style="14" customWidth="1"/>
    <col min="13319" max="13319" width="5.140625" style="14" customWidth="1"/>
    <col min="13320" max="13320" width="4.7109375" style="14" customWidth="1"/>
    <col min="13321" max="13321" width="6.7109375" style="14" customWidth="1"/>
    <col min="13322" max="13385" width="4.7109375" style="14" customWidth="1"/>
    <col min="13386" max="13571" width="11.42578125" style="14"/>
    <col min="13572" max="13574" width="4.7109375" style="14" customWidth="1"/>
    <col min="13575" max="13575" width="5.140625" style="14" customWidth="1"/>
    <col min="13576" max="13576" width="4.7109375" style="14" customWidth="1"/>
    <col min="13577" max="13577" width="6.7109375" style="14" customWidth="1"/>
    <col min="13578" max="13641" width="4.7109375" style="14" customWidth="1"/>
    <col min="13642" max="13827" width="11.42578125" style="14"/>
    <col min="13828" max="13830" width="4.7109375" style="14" customWidth="1"/>
    <col min="13831" max="13831" width="5.140625" style="14" customWidth="1"/>
    <col min="13832" max="13832" width="4.7109375" style="14" customWidth="1"/>
    <col min="13833" max="13833" width="6.7109375" style="14" customWidth="1"/>
    <col min="13834" max="13897" width="4.7109375" style="14" customWidth="1"/>
    <col min="13898" max="14083" width="11.42578125" style="14"/>
    <col min="14084" max="14086" width="4.7109375" style="14" customWidth="1"/>
    <col min="14087" max="14087" width="5.140625" style="14" customWidth="1"/>
    <col min="14088" max="14088" width="4.7109375" style="14" customWidth="1"/>
    <col min="14089" max="14089" width="6.7109375" style="14" customWidth="1"/>
    <col min="14090" max="14153" width="4.7109375" style="14" customWidth="1"/>
    <col min="14154" max="14339" width="11.42578125" style="14"/>
    <col min="14340" max="14342" width="4.7109375" style="14" customWidth="1"/>
    <col min="14343" max="14343" width="5.140625" style="14" customWidth="1"/>
    <col min="14344" max="14344" width="4.7109375" style="14" customWidth="1"/>
    <col min="14345" max="14345" width="6.7109375" style="14" customWidth="1"/>
    <col min="14346" max="14409" width="4.7109375" style="14" customWidth="1"/>
    <col min="14410" max="14595" width="11.42578125" style="14"/>
    <col min="14596" max="14598" width="4.7109375" style="14" customWidth="1"/>
    <col min="14599" max="14599" width="5.140625" style="14" customWidth="1"/>
    <col min="14600" max="14600" width="4.7109375" style="14" customWidth="1"/>
    <col min="14601" max="14601" width="6.7109375" style="14" customWidth="1"/>
    <col min="14602" max="14665" width="4.7109375" style="14" customWidth="1"/>
    <col min="14666" max="14851" width="11.42578125" style="14"/>
    <col min="14852" max="14854" width="4.7109375" style="14" customWidth="1"/>
    <col min="14855" max="14855" width="5.140625" style="14" customWidth="1"/>
    <col min="14856" max="14856" width="4.7109375" style="14" customWidth="1"/>
    <col min="14857" max="14857" width="6.7109375" style="14" customWidth="1"/>
    <col min="14858" max="14921" width="4.7109375" style="14" customWidth="1"/>
    <col min="14922" max="15107" width="11.42578125" style="14"/>
    <col min="15108" max="15110" width="4.7109375" style="14" customWidth="1"/>
    <col min="15111" max="15111" width="5.140625" style="14" customWidth="1"/>
    <col min="15112" max="15112" width="4.7109375" style="14" customWidth="1"/>
    <col min="15113" max="15113" width="6.7109375" style="14" customWidth="1"/>
    <col min="15114" max="15177" width="4.7109375" style="14" customWidth="1"/>
    <col min="15178" max="15363" width="11.42578125" style="14"/>
    <col min="15364" max="15366" width="4.7109375" style="14" customWidth="1"/>
    <col min="15367" max="15367" width="5.140625" style="14" customWidth="1"/>
    <col min="15368" max="15368" width="4.7109375" style="14" customWidth="1"/>
    <col min="15369" max="15369" width="6.7109375" style="14" customWidth="1"/>
    <col min="15370" max="15433" width="4.7109375" style="14" customWidth="1"/>
    <col min="15434" max="15619" width="11.42578125" style="14"/>
    <col min="15620" max="15622" width="4.7109375" style="14" customWidth="1"/>
    <col min="15623" max="15623" width="5.140625" style="14" customWidth="1"/>
    <col min="15624" max="15624" width="4.7109375" style="14" customWidth="1"/>
    <col min="15625" max="15625" width="6.7109375" style="14" customWidth="1"/>
    <col min="15626" max="15689" width="4.7109375" style="14" customWidth="1"/>
    <col min="15690" max="15875" width="11.42578125" style="14"/>
    <col min="15876" max="15878" width="4.7109375" style="14" customWidth="1"/>
    <col min="15879" max="15879" width="5.140625" style="14" customWidth="1"/>
    <col min="15880" max="15880" width="4.7109375" style="14" customWidth="1"/>
    <col min="15881" max="15881" width="6.7109375" style="14" customWidth="1"/>
    <col min="15882" max="15945" width="4.7109375" style="14" customWidth="1"/>
    <col min="15946" max="16131" width="11.42578125" style="14"/>
    <col min="16132" max="16134" width="4.7109375" style="14" customWidth="1"/>
    <col min="16135" max="16135" width="5.140625" style="14" customWidth="1"/>
    <col min="16136" max="16136" width="4.7109375" style="14" customWidth="1"/>
    <col min="16137" max="16137" width="6.7109375" style="14" customWidth="1"/>
    <col min="16138" max="16201" width="4.7109375" style="14" customWidth="1"/>
    <col min="16202" max="16384" width="11.42578125" style="14"/>
  </cols>
  <sheetData>
    <row r="1" spans="1:35" ht="37.5" customHeight="1" x14ac:dyDescent="0.25">
      <c r="A1" s="1138" t="s">
        <v>780</v>
      </c>
      <c r="B1" s="1138"/>
      <c r="C1" s="1138"/>
      <c r="D1" s="1138"/>
      <c r="E1" s="1138"/>
      <c r="F1" s="1138"/>
      <c r="G1" s="1138"/>
      <c r="H1" s="1138"/>
      <c r="I1" s="1138"/>
      <c r="J1" s="1138"/>
      <c r="K1" s="1138"/>
      <c r="L1" s="1138"/>
      <c r="M1" s="1138"/>
      <c r="N1" s="1138"/>
      <c r="O1" s="1138"/>
      <c r="P1" s="1138"/>
      <c r="Q1" s="1138"/>
      <c r="R1" s="1138"/>
      <c r="S1" s="1138"/>
      <c r="T1" s="1138"/>
      <c r="U1" s="1138"/>
      <c r="V1" s="1138"/>
      <c r="W1" s="1138"/>
      <c r="X1" s="1138"/>
      <c r="Y1" s="1138"/>
      <c r="Z1" s="1138"/>
      <c r="AA1" s="1520"/>
    </row>
    <row r="2" spans="1:35" ht="15.6" customHeight="1" x14ac:dyDescent="0.25">
      <c r="A2" s="1140" t="s">
        <v>781</v>
      </c>
      <c r="B2" s="1140"/>
      <c r="C2" s="1140"/>
      <c r="D2" s="1140"/>
      <c r="E2" s="1140"/>
      <c r="F2" s="1140"/>
      <c r="G2" s="1140"/>
      <c r="H2" s="1140"/>
      <c r="I2" s="1140"/>
      <c r="J2" s="1140"/>
      <c r="K2" s="1140"/>
      <c r="L2" s="1140"/>
      <c r="M2" s="1140"/>
      <c r="N2" s="1140"/>
      <c r="O2" s="1140"/>
      <c r="P2" s="1140"/>
      <c r="Q2" s="1140"/>
      <c r="R2" s="1140"/>
      <c r="S2" s="1140"/>
      <c r="T2" s="1140"/>
      <c r="U2" s="1140"/>
      <c r="V2" s="1140"/>
      <c r="W2" s="1140"/>
      <c r="X2" s="1140"/>
      <c r="Y2" s="1140"/>
      <c r="Z2" s="1140"/>
      <c r="AA2" s="1521"/>
    </row>
    <row r="3" spans="1:35" ht="15.6" customHeight="1" x14ac:dyDescent="0.25">
      <c r="A3" s="1522"/>
      <c r="B3" s="1522"/>
      <c r="C3" s="1522"/>
      <c r="D3" s="1522"/>
      <c r="E3" s="1522"/>
      <c r="F3" s="1522"/>
      <c r="G3" s="1522"/>
      <c r="H3" s="1522"/>
      <c r="I3" s="1522"/>
      <c r="J3" s="1522"/>
      <c r="K3" s="1522"/>
      <c r="L3" s="1522"/>
      <c r="M3" s="1522"/>
      <c r="N3" s="1522"/>
      <c r="O3" s="1522"/>
      <c r="P3" s="1522"/>
      <c r="Q3" s="1522"/>
      <c r="R3" s="1522"/>
      <c r="S3" s="1522"/>
      <c r="T3" s="1522"/>
      <c r="U3" s="1522"/>
      <c r="V3" s="1522"/>
      <c r="W3" s="1522"/>
      <c r="X3" s="1522"/>
      <c r="Y3" s="1522"/>
      <c r="Z3" s="1522"/>
      <c r="AA3" s="1523"/>
    </row>
    <row r="4" spans="1:35" ht="14.45" customHeight="1" x14ac:dyDescent="0.25">
      <c r="A4" s="1141" t="s">
        <v>782</v>
      </c>
      <c r="B4" s="1141"/>
      <c r="C4" s="1141"/>
      <c r="D4" s="1141"/>
      <c r="E4" s="1141"/>
      <c r="F4" s="1141"/>
      <c r="G4" s="1141"/>
      <c r="H4" s="1141"/>
      <c r="I4" s="1141"/>
      <c r="J4" s="1141"/>
      <c r="K4" s="1141"/>
      <c r="L4" s="1141"/>
      <c r="M4" s="1141"/>
      <c r="N4" s="1141"/>
      <c r="O4" s="1141"/>
      <c r="P4" s="1141"/>
      <c r="Q4" s="1141"/>
      <c r="R4" s="1141"/>
      <c r="S4" s="1141"/>
      <c r="T4" s="1141"/>
      <c r="U4" s="1141"/>
      <c r="V4" s="1141"/>
      <c r="W4" s="1141"/>
      <c r="X4" s="1141"/>
      <c r="Y4" s="1141"/>
      <c r="Z4" s="1141"/>
      <c r="AA4" s="1524"/>
    </row>
    <row r="5" spans="1:35" ht="17.25" customHeight="1" x14ac:dyDescent="0.3">
      <c r="A5" s="1510" t="s">
        <v>37</v>
      </c>
      <c r="B5" s="1510"/>
      <c r="C5" s="1510"/>
      <c r="D5" s="1510"/>
      <c r="E5" s="1510"/>
      <c r="F5" s="1510"/>
      <c r="G5" s="1510"/>
      <c r="H5" s="1510"/>
      <c r="I5" s="1510"/>
      <c r="J5" s="1510"/>
      <c r="K5" s="1510"/>
      <c r="L5" s="1510"/>
      <c r="M5" s="1510"/>
      <c r="N5" s="1510"/>
      <c r="O5" s="1510"/>
      <c r="P5" s="1510"/>
      <c r="Q5" s="1510"/>
      <c r="R5" s="1510"/>
      <c r="S5" s="1510"/>
      <c r="T5" s="1510"/>
      <c r="U5" s="1510"/>
      <c r="V5" s="1510"/>
      <c r="W5" s="1510"/>
      <c r="X5" s="1510"/>
      <c r="Y5" s="1510"/>
      <c r="Z5" s="1510"/>
      <c r="AA5" s="1510"/>
      <c r="AD5" s="465" t="s">
        <v>569</v>
      </c>
    </row>
    <row r="6" spans="1:35" ht="14.1" customHeight="1" x14ac:dyDescent="0.25">
      <c r="A6" s="1511" t="s">
        <v>551</v>
      </c>
      <c r="B6" s="1511"/>
      <c r="C6" s="1511"/>
      <c r="D6" s="1511"/>
      <c r="E6" s="1511"/>
      <c r="F6" s="1511"/>
      <c r="G6" s="1511"/>
      <c r="H6" s="1511"/>
      <c r="I6" s="1511"/>
      <c r="J6" s="1511"/>
      <c r="K6" s="1511"/>
      <c r="L6" s="1511"/>
      <c r="M6" s="1511"/>
      <c r="N6" s="1511"/>
      <c r="O6" s="1511"/>
      <c r="P6" s="1511"/>
      <c r="Q6" s="1511"/>
      <c r="R6" s="1511"/>
      <c r="S6" s="1511"/>
      <c r="T6" s="1511"/>
      <c r="U6" s="1511"/>
      <c r="V6" s="1511"/>
      <c r="W6" s="1511"/>
      <c r="X6" s="1511"/>
      <c r="Y6" s="1511"/>
      <c r="Z6" s="1511"/>
      <c r="AA6" s="1511"/>
      <c r="AD6" s="465" t="s">
        <v>570</v>
      </c>
    </row>
    <row r="7" spans="1:35" ht="17.25" customHeight="1" x14ac:dyDescent="0.25">
      <c r="A7" s="355"/>
      <c r="B7" s="355"/>
      <c r="C7" s="355"/>
      <c r="D7" s="355"/>
      <c r="E7" s="355"/>
      <c r="F7" s="355"/>
      <c r="G7" s="356"/>
      <c r="H7" s="355"/>
      <c r="I7" s="355"/>
      <c r="J7" s="355"/>
      <c r="K7" s="355"/>
      <c r="L7" s="355"/>
      <c r="M7" s="355"/>
      <c r="N7" s="355"/>
      <c r="O7" s="355"/>
      <c r="P7" s="355"/>
      <c r="Q7" s="355"/>
      <c r="R7" s="355"/>
      <c r="S7" s="355"/>
      <c r="T7" s="355"/>
      <c r="U7" s="355"/>
      <c r="V7" s="355"/>
      <c r="W7" s="355"/>
      <c r="X7" s="355"/>
      <c r="Y7" s="355"/>
      <c r="Z7" s="355"/>
      <c r="AA7" s="355"/>
    </row>
    <row r="8" spans="1:35" ht="20.25" customHeight="1" x14ac:dyDescent="0.3">
      <c r="A8" s="357"/>
      <c r="B8" s="355"/>
      <c r="C8" s="355"/>
      <c r="D8" s="355"/>
      <c r="E8" s="355"/>
      <c r="F8" s="355"/>
      <c r="G8" s="356"/>
      <c r="H8" s="355"/>
      <c r="I8" s="355"/>
      <c r="J8" s="355"/>
      <c r="K8" s="355"/>
      <c r="L8" s="355"/>
      <c r="M8" s="358"/>
      <c r="N8" s="357"/>
      <c r="O8" s="357"/>
      <c r="P8" s="355"/>
      <c r="R8" s="357"/>
      <c r="U8" s="1424" t="s">
        <v>38</v>
      </c>
      <c r="V8" s="1424"/>
      <c r="W8" s="1424"/>
      <c r="X8" s="1512" t="str">
        <f>IF(ISBLANK('DATOS GENERALES'!F7),"",'DATOS GENERALES'!F7)</f>
        <v>TVO005-26A</v>
      </c>
      <c r="Y8" s="1512"/>
      <c r="Z8" s="1512"/>
      <c r="AA8" s="1512"/>
    </row>
    <row r="9" spans="1:35" ht="14.25" customHeight="1" x14ac:dyDescent="0.25">
      <c r="A9" s="1424" t="s">
        <v>30</v>
      </c>
      <c r="B9" s="1424"/>
      <c r="C9" s="1537" t="s">
        <v>54</v>
      </c>
      <c r="D9" s="1537"/>
      <c r="E9" s="1537"/>
      <c r="F9" s="1537"/>
      <c r="G9" s="498"/>
      <c r="H9" s="498"/>
      <c r="I9" s="498"/>
      <c r="J9" s="498"/>
      <c r="K9" s="498"/>
      <c r="L9" s="498"/>
      <c r="M9" s="355"/>
      <c r="N9" s="359"/>
      <c r="O9" s="359"/>
      <c r="P9" s="355"/>
      <c r="R9" s="497"/>
      <c r="U9" s="1515" t="s">
        <v>370</v>
      </c>
      <c r="V9" s="1515"/>
      <c r="W9" s="1515"/>
      <c r="X9" s="355"/>
      <c r="Y9" s="355"/>
      <c r="Z9" s="355"/>
      <c r="AA9" s="355"/>
    </row>
    <row r="10" spans="1:35" x14ac:dyDescent="0.25">
      <c r="A10" s="493" t="s">
        <v>466</v>
      </c>
      <c r="B10" s="494"/>
      <c r="C10" s="494"/>
      <c r="D10" s="494"/>
      <c r="E10" s="494"/>
      <c r="F10" s="494"/>
      <c r="G10" s="495"/>
      <c r="H10" s="533"/>
      <c r="I10" s="533"/>
      <c r="J10" s="494"/>
      <c r="K10" s="494"/>
      <c r="L10" s="494"/>
      <c r="M10" s="496"/>
      <c r="N10" s="376"/>
      <c r="O10" s="376"/>
      <c r="P10" s="376"/>
      <c r="Q10" s="376"/>
      <c r="R10" s="376"/>
      <c r="S10" s="376"/>
      <c r="T10" s="376"/>
      <c r="U10" s="376"/>
      <c r="V10" s="376"/>
      <c r="W10" s="376"/>
      <c r="X10" s="376"/>
      <c r="Y10" s="376"/>
      <c r="Z10" s="376"/>
      <c r="AA10" s="376"/>
    </row>
    <row r="11" spans="1:35" ht="21" customHeight="1" x14ac:dyDescent="0.25">
      <c r="A11" s="492" t="s">
        <v>464</v>
      </c>
      <c r="B11" s="502"/>
      <c r="C11" s="502"/>
      <c r="D11" s="502"/>
      <c r="E11" s="502"/>
      <c r="F11" s="502"/>
      <c r="G11" s="503"/>
      <c r="H11" s="502"/>
      <c r="I11" s="502"/>
      <c r="J11" s="502"/>
      <c r="K11" s="502"/>
      <c r="L11" s="502"/>
      <c r="M11" s="502"/>
      <c r="N11" s="502"/>
      <c r="O11" s="502"/>
      <c r="P11" s="502"/>
      <c r="Q11" s="502"/>
      <c r="R11" s="504"/>
      <c r="S11" s="504"/>
      <c r="T11" s="504"/>
      <c r="U11" s="504"/>
      <c r="V11" s="504"/>
      <c r="W11" s="504"/>
      <c r="X11" s="504"/>
      <c r="Y11" s="504"/>
      <c r="Z11" s="504"/>
      <c r="AA11" s="505"/>
    </row>
    <row r="12" spans="1:35" ht="18" customHeight="1" x14ac:dyDescent="0.25">
      <c r="A12" s="1502" t="s">
        <v>39</v>
      </c>
      <c r="B12" s="1502"/>
      <c r="C12" s="1502"/>
      <c r="D12" s="1502"/>
      <c r="E12" s="1507" t="str">
        <f>IF(ISBLANK('DATOS GENERALES'!C14),"",CONCATENATE("",'DATOS GENERALES'!C14,"     ",'DATOS GENERALES'!A15," ",'DATOS GENERALES'!C15,"     ",'DATOS GENERALES'!I15,": ",'DATOS GENERALES'!K15))</f>
        <v>Tecservice S.A.S.     Contacto: Hector Fabio Carabali Herrera     Teléfono: 318 712 6566 - 602 654 0608</v>
      </c>
      <c r="F12" s="1507"/>
      <c r="G12" s="1507"/>
      <c r="H12" s="1507"/>
      <c r="I12" s="1507"/>
      <c r="J12" s="1507"/>
      <c r="K12" s="1507"/>
      <c r="L12" s="1507"/>
      <c r="M12" s="1507"/>
      <c r="N12" s="1507"/>
      <c r="O12" s="1507"/>
      <c r="P12" s="1507"/>
      <c r="Q12" s="1507"/>
      <c r="R12" s="1507"/>
      <c r="S12" s="1507"/>
      <c r="T12" s="1507"/>
      <c r="U12" s="1507"/>
      <c r="V12" s="1507"/>
      <c r="W12" s="1507"/>
      <c r="X12" s="1507"/>
      <c r="Y12" s="1507"/>
      <c r="Z12" s="1507"/>
      <c r="AA12" s="504"/>
    </row>
    <row r="13" spans="1:35" ht="15.75" x14ac:dyDescent="0.25">
      <c r="A13" s="1503" t="s">
        <v>402</v>
      </c>
      <c r="B13" s="1503"/>
      <c r="C13" s="1503"/>
      <c r="D13" s="1503"/>
      <c r="E13" s="1514" t="str">
        <f>IF(ISBLANK('DATOS GENERALES'!K14),"",CONCATENATE('DATOS GENERALES'!K14," - ",'DATOS GENERALES'!R14," - ","Colombia"))</f>
        <v>Av 4AN No. 45-56 - Cali - Colombia</v>
      </c>
      <c r="F13" s="1514"/>
      <c r="G13" s="1514"/>
      <c r="H13" s="1514"/>
      <c r="I13" s="1514"/>
      <c r="J13" s="1514"/>
      <c r="K13" s="1514"/>
      <c r="L13" s="1514"/>
      <c r="M13" s="1514"/>
      <c r="N13" s="1514"/>
      <c r="O13" s="1514"/>
      <c r="P13" s="1514"/>
      <c r="Q13" s="1514"/>
      <c r="R13" s="1514"/>
      <c r="S13" s="1514"/>
      <c r="T13" s="1514"/>
      <c r="U13" s="1514"/>
      <c r="V13" s="1514"/>
      <c r="W13" s="1514"/>
      <c r="X13" s="1514"/>
      <c r="Y13" s="1514"/>
      <c r="Z13" s="1514"/>
      <c r="AA13" s="507"/>
    </row>
    <row r="14" spans="1:35" ht="24.75" customHeight="1" x14ac:dyDescent="0.25">
      <c r="A14" s="492" t="s">
        <v>465</v>
      </c>
      <c r="B14" s="504"/>
      <c r="C14" s="504"/>
      <c r="D14" s="504"/>
      <c r="E14" s="504"/>
      <c r="F14" s="505"/>
      <c r="G14" s="505"/>
      <c r="H14" s="505"/>
      <c r="I14" s="505"/>
      <c r="J14" s="505"/>
      <c r="K14" s="505"/>
      <c r="L14" s="505"/>
      <c r="M14" s="502"/>
      <c r="N14" s="502"/>
      <c r="O14" s="502"/>
      <c r="P14" s="502"/>
      <c r="Q14" s="502"/>
      <c r="R14" s="504"/>
      <c r="S14" s="504"/>
      <c r="T14" s="505"/>
      <c r="U14" s="505"/>
      <c r="V14" s="505"/>
      <c r="W14" s="505"/>
      <c r="X14" s="505"/>
      <c r="Y14" s="505"/>
      <c r="Z14" s="504"/>
      <c r="AA14" s="504"/>
    </row>
    <row r="15" spans="1:35" ht="29.25" customHeight="1" x14ac:dyDescent="0.25">
      <c r="A15" s="1424" t="s">
        <v>399</v>
      </c>
      <c r="B15" s="1424"/>
      <c r="C15" s="1424"/>
      <c r="D15" s="1424"/>
      <c r="E15" s="504" t="str">
        <f>IF(ISBLANK('DATOS GENERALES'!C17),"",'DATOS GENERALES'!C17)</f>
        <v>Micropipeta</v>
      </c>
      <c r="F15" s="502"/>
      <c r="G15" s="503"/>
      <c r="H15" s="502"/>
      <c r="I15" s="502"/>
      <c r="J15" s="502"/>
      <c r="K15" s="502"/>
      <c r="L15" s="502"/>
      <c r="M15" s="502"/>
      <c r="N15" s="502"/>
      <c r="O15" s="502"/>
      <c r="P15" s="502"/>
      <c r="Q15" s="502"/>
      <c r="R15" s="508"/>
      <c r="S15" s="508"/>
      <c r="T15" s="504"/>
      <c r="U15" s="504"/>
      <c r="V15" s="504"/>
      <c r="W15" s="504"/>
      <c r="X15" s="504"/>
      <c r="Y15" s="504"/>
      <c r="Z15" s="504"/>
      <c r="AA15" s="505"/>
    </row>
    <row r="16" spans="1:35" ht="19.5" customHeight="1" x14ac:dyDescent="0.25">
      <c r="A16" s="1424" t="s">
        <v>394</v>
      </c>
      <c r="B16" s="1424"/>
      <c r="C16" s="1424"/>
      <c r="D16" s="1424"/>
      <c r="E16" s="504" t="str">
        <f>IF(ISBLANK('DATOS GENERALES'!J17),"",'DATOS GENERALES'!J17)</f>
        <v>BRAND</v>
      </c>
      <c r="F16" s="505"/>
      <c r="G16" s="505"/>
      <c r="H16" s="505"/>
      <c r="I16" s="505"/>
      <c r="J16" s="505"/>
      <c r="K16" s="505"/>
      <c r="L16" s="505"/>
      <c r="M16" s="492" t="s">
        <v>395</v>
      </c>
      <c r="N16" s="492"/>
      <c r="O16" s="492"/>
      <c r="P16" s="492"/>
      <c r="R16" s="1528" t="str">
        <f>IF(ISBLANK('DATOS GENERALES'!J18),"",'DATOS GENERALES'!J18)</f>
        <v>TEC-LAB-V-03</v>
      </c>
      <c r="S16" s="1528"/>
      <c r="T16" s="1528"/>
      <c r="U16" s="1528"/>
      <c r="V16" s="1528"/>
      <c r="W16" s="1528"/>
      <c r="X16" s="1528"/>
      <c r="Y16" s="505"/>
      <c r="Z16" s="505"/>
      <c r="AA16" s="505"/>
    </row>
    <row r="17" spans="1:27" ht="23.25" customHeight="1" x14ac:dyDescent="0.25">
      <c r="A17" s="1424" t="s">
        <v>398</v>
      </c>
      <c r="B17" s="1424"/>
      <c r="C17" s="1424"/>
      <c r="D17" s="1424"/>
      <c r="E17" s="504" t="str">
        <f>IF(ISBLANK('DATOS GENERALES'!P17),"",'DATOS GENERALES'!P17)</f>
        <v>Transferpette</v>
      </c>
      <c r="F17" s="510"/>
      <c r="G17" s="510"/>
      <c r="H17" s="510"/>
      <c r="I17" s="510"/>
      <c r="J17" s="510"/>
      <c r="K17" s="510"/>
      <c r="L17" s="510"/>
      <c r="M17" s="511" t="s">
        <v>41</v>
      </c>
      <c r="N17" s="511"/>
      <c r="O17" s="511"/>
      <c r="P17" s="511"/>
      <c r="R17" s="1529">
        <f>IF(ISBLANK('DATOS GENERALES'!F9),"",'DATOS GENERALES'!F9)</f>
        <v>46042</v>
      </c>
      <c r="S17" s="1529"/>
      <c r="T17" s="1529"/>
      <c r="U17" s="1529"/>
      <c r="V17" s="1529"/>
      <c r="W17" s="1529"/>
      <c r="X17" s="1529"/>
      <c r="Y17" s="508"/>
      <c r="Z17" s="508"/>
      <c r="AA17" s="509"/>
    </row>
    <row r="18" spans="1:27" ht="20.25" customHeight="1" x14ac:dyDescent="0.25">
      <c r="A18" s="492" t="s">
        <v>396</v>
      </c>
      <c r="B18" s="492"/>
      <c r="C18" s="492"/>
      <c r="D18" s="492"/>
      <c r="E18" s="504" t="str">
        <f>IF(ISBLANK('DATOS GENERALES'!C18),"",'DATOS GENERALES'!C18)</f>
        <v>08Y7018</v>
      </c>
      <c r="F18" s="505"/>
      <c r="G18" s="505"/>
      <c r="H18" s="504"/>
      <c r="I18" s="504"/>
      <c r="J18" s="504"/>
      <c r="K18" s="504"/>
      <c r="L18" s="504"/>
      <c r="M18" s="1502" t="s">
        <v>4</v>
      </c>
      <c r="N18" s="1502"/>
      <c r="O18" s="1502"/>
      <c r="P18" s="1502"/>
      <c r="R18" s="1529">
        <f>IF(ISBLANK('DATOS GENERALES'!F11),"",'DATOS GENERALES'!F11)</f>
        <v>46049</v>
      </c>
      <c r="S18" s="1529"/>
      <c r="T18" s="1529"/>
      <c r="U18" s="1529"/>
      <c r="V18" s="1529"/>
      <c r="W18" s="1529"/>
      <c r="X18" s="505"/>
      <c r="Y18" s="505"/>
      <c r="Z18" s="505"/>
      <c r="AA18" s="505"/>
    </row>
    <row r="19" spans="1:27" ht="24" customHeight="1" x14ac:dyDescent="0.25">
      <c r="A19" s="492" t="s">
        <v>397</v>
      </c>
      <c r="B19" s="492"/>
      <c r="C19" s="492"/>
      <c r="D19" s="492"/>
      <c r="E19" s="1527" t="str">
        <f>IF(ISBLANK('DATOS GENERALES'!P18),"",'DATOS GENERALES'!P18)</f>
        <v>N.I.</v>
      </c>
      <c r="F19" s="1527"/>
      <c r="G19" s="1527"/>
      <c r="H19" s="1527"/>
      <c r="I19" s="1527"/>
      <c r="J19" s="1527"/>
      <c r="K19" s="1527"/>
      <c r="L19" s="1527"/>
      <c r="M19" s="1527"/>
      <c r="N19" s="1527"/>
      <c r="O19" s="1527"/>
      <c r="P19" s="1527"/>
      <c r="Q19" s="1527"/>
      <c r="R19" s="1527"/>
      <c r="S19" s="1527"/>
      <c r="T19" s="1527"/>
      <c r="U19" s="1527"/>
      <c r="V19" s="1527"/>
      <c r="W19" s="1527"/>
      <c r="X19" s="1527"/>
      <c r="Y19" s="1527"/>
      <c r="Z19" s="504"/>
      <c r="AA19" s="505"/>
    </row>
    <row r="20" spans="1:27" ht="5.25" customHeight="1" x14ac:dyDescent="0.25">
      <c r="A20" s="513"/>
      <c r="B20" s="513"/>
      <c r="C20" s="513"/>
      <c r="D20" s="513"/>
      <c r="E20" s="504"/>
      <c r="F20" s="504"/>
      <c r="G20" s="505"/>
      <c r="H20" s="504"/>
      <c r="I20" s="504"/>
      <c r="J20" s="504"/>
      <c r="K20" s="504"/>
      <c r="L20" s="504"/>
      <c r="M20" s="502"/>
      <c r="N20" s="502"/>
      <c r="O20" s="502"/>
      <c r="P20" s="502"/>
      <c r="Q20" s="502"/>
      <c r="R20" s="513"/>
      <c r="S20" s="505"/>
      <c r="T20" s="505"/>
      <c r="U20" s="505"/>
      <c r="V20" s="505"/>
      <c r="W20" s="505"/>
      <c r="X20" s="505"/>
      <c r="Y20" s="505"/>
      <c r="Z20" s="505"/>
      <c r="AA20" s="505"/>
    </row>
    <row r="21" spans="1:27" ht="5.25" customHeight="1" x14ac:dyDescent="0.25">
      <c r="A21" s="502"/>
      <c r="B21" s="492"/>
      <c r="C21" s="492"/>
      <c r="D21" s="492"/>
      <c r="E21" s="492"/>
      <c r="F21" s="492"/>
      <c r="G21" s="492"/>
      <c r="H21" s="492"/>
      <c r="I21" s="492"/>
      <c r="J21" s="502"/>
      <c r="K21" s="502"/>
      <c r="L21" s="504"/>
      <c r="M21" s="502"/>
      <c r="N21" s="502"/>
      <c r="O21" s="502"/>
      <c r="P21" s="502"/>
      <c r="Q21" s="502"/>
      <c r="R21" s="512"/>
      <c r="S21" s="512"/>
      <c r="T21" s="512"/>
      <c r="U21" s="512"/>
      <c r="V21" s="512"/>
      <c r="W21" s="512"/>
      <c r="X21" s="512"/>
      <c r="Y21" s="512"/>
      <c r="Z21" s="512"/>
      <c r="AA21" s="514"/>
    </row>
    <row r="22" spans="1:27" ht="0.75" customHeight="1" x14ac:dyDescent="0.25">
      <c r="A22" s="1540"/>
      <c r="B22" s="1540"/>
      <c r="C22" s="1540"/>
      <c r="D22" s="1540"/>
      <c r="E22" s="1540"/>
      <c r="F22" s="1540"/>
      <c r="G22" s="1540"/>
      <c r="H22" s="1540"/>
      <c r="I22" s="1540"/>
      <c r="J22" s="1540"/>
      <c r="K22" s="1540"/>
      <c r="L22" s="1540"/>
      <c r="M22" s="1540"/>
      <c r="N22" s="1540"/>
      <c r="O22" s="1540"/>
      <c r="P22" s="1540"/>
      <c r="Q22" s="1540"/>
      <c r="R22" s="1540"/>
      <c r="S22" s="1540"/>
      <c r="T22" s="1540"/>
      <c r="U22" s="1540"/>
      <c r="V22" s="1540"/>
      <c r="W22" s="1540"/>
      <c r="X22" s="1540"/>
      <c r="Y22" s="1540"/>
      <c r="Z22" s="1540"/>
      <c r="AA22" s="1540"/>
    </row>
    <row r="23" spans="1:27" ht="19.5" customHeight="1" x14ac:dyDescent="0.25">
      <c r="A23" s="1496" t="s">
        <v>300</v>
      </c>
      <c r="B23" s="1496"/>
      <c r="C23" s="1496"/>
      <c r="D23" s="1496"/>
      <c r="E23" s="1496"/>
      <c r="F23" s="1496"/>
      <c r="G23" s="1496"/>
      <c r="H23" s="1496"/>
      <c r="I23" s="1496"/>
      <c r="J23" s="1496"/>
      <c r="K23" s="1496"/>
      <c r="L23" s="1496"/>
      <c r="M23" s="1496"/>
      <c r="N23" s="1496"/>
      <c r="O23" s="1496"/>
      <c r="P23" s="1496"/>
      <c r="Q23" s="1496"/>
      <c r="R23" s="1496"/>
      <c r="S23" s="1496"/>
      <c r="T23" s="1496"/>
      <c r="U23" s="1496"/>
      <c r="V23" s="1496"/>
      <c r="W23" s="1496"/>
      <c r="X23" s="1496"/>
      <c r="Y23" s="1496"/>
      <c r="Z23" s="1496"/>
      <c r="AA23" s="515"/>
    </row>
    <row r="24" spans="1:27" ht="21" customHeight="1" x14ac:dyDescent="0.25">
      <c r="A24" s="1424" t="str">
        <f>'DATOS GENERALES'!H21</f>
        <v>Intervalo de medición</v>
      </c>
      <c r="B24" s="1424"/>
      <c r="C24" s="1424"/>
      <c r="D24" s="1424"/>
      <c r="E24" s="502"/>
      <c r="F24" s="505" t="str">
        <f>IF('DATOS GENERALES'!H21='DATOS GENERALES'!Q163,CONCATENATE('DATOS GENERALES'!K21," ",'DATOS GENERALES'!N21," ",'DATOS GENERALES'!L21," ",'DATOS GENERALES'!M21," ",'DATOS GENERALES'!N21),IF('DATOS GENERALES'!H21='DATOS GENERALES'!Q164,CONCATENATE('DATOS GENERALES'!K21," ",'DATOS GENERALES'!N21),"OJO"))</f>
        <v>100 µL Hasta 1000 µL</v>
      </c>
      <c r="G24" s="505"/>
      <c r="H24" s="505"/>
      <c r="I24" s="505"/>
      <c r="J24" s="1506"/>
      <c r="K24" s="1506"/>
      <c r="L24" s="1506"/>
      <c r="M24" s="1496" t="str">
        <f>IF(A24="Valor nominal","Punto  de calibracion:","Intervalo de Calibración")</f>
        <v>Intervalo de Calibración</v>
      </c>
      <c r="N24" s="1496"/>
      <c r="O24" s="1496"/>
      <c r="P24" s="1496"/>
      <c r="Q24" s="1496"/>
      <c r="R24" s="1496"/>
      <c r="S24" s="1496"/>
      <c r="T24" s="1506" t="str">
        <f>IF(ISBLANK('DATOS GENERALES'!F68),"",IF('DATOS GENERALES'!H21="Intervalo de medición",CONCATENATE('DATOS GENERALES'!F68,"  ",'DATOS GENERALES'!H68,"  Hasta ","  ",'DATOS GENERALES'!M21,"  ",'DATOS GENERALES'!H68),IF(,'DATOS GENERALES'!H21="Valor nominal",CONCATENATE('DATOS GENERALES'!F68,"  ",'DATOS GENERALES'!H68))))</f>
        <v>100  µL  Hasta   1000  µL</v>
      </c>
      <c r="U24" s="1506"/>
      <c r="V24" s="1506"/>
      <c r="W24" s="1506"/>
      <c r="X24" s="1506"/>
      <c r="Y24" s="1506"/>
      <c r="Z24" s="1506"/>
      <c r="AA24" s="505"/>
    </row>
    <row r="25" spans="1:27" s="16" customFormat="1" ht="18.75" customHeight="1" x14ac:dyDescent="0.25">
      <c r="A25" s="1424" t="s">
        <v>371</v>
      </c>
      <c r="B25" s="1424"/>
      <c r="C25" s="1424"/>
      <c r="D25" s="1424"/>
      <c r="E25" s="502"/>
      <c r="F25" s="516" t="str">
        <f>IF(ISBLANK('DATOS GENERALES'!P19),"N.A",IF(OR('DATOS GENERALES'!P19=1,'DATOS GENERALES'!P19=2,'DATOS GENERALES'!P19=3,'DATOS GENERALES'!P19=4,'DATOS GENERALES'!P19=5),FIXED('DATOS GENERALES'!P19,0),FIXED('DATOS GENERALES'!P19,'DATOS GENERALES'!U19-2)))</f>
        <v>1</v>
      </c>
      <c r="G25" s="517" t="str">
        <f>IF(ISBLANK('DATOS GENERALES'!P19),"",'DATOS GENERALES'!T19)</f>
        <v>µL</v>
      </c>
      <c r="H25" s="518"/>
      <c r="I25" s="518"/>
      <c r="J25" s="505"/>
      <c r="K25" s="518"/>
      <c r="L25" s="518"/>
      <c r="M25" s="1496" t="s">
        <v>756</v>
      </c>
      <c r="N25" s="1496"/>
      <c r="O25" s="1496"/>
      <c r="P25" s="1496"/>
      <c r="Q25" s="1496"/>
      <c r="R25" s="1496"/>
      <c r="S25" s="1496"/>
      <c r="T25" s="983" t="str">
        <f>IF(ISBLANK('DATOS GENERALES'!Q22),"",CONCATENATE('DATOS GENERALES'!Q22," ",'DATOS GENERALES'!N21))</f>
        <v>8 µL</v>
      </c>
      <c r="U25" s="984" t="s">
        <v>700</v>
      </c>
      <c r="V25" s="983" t="str">
        <f>IF(ISBLANK('DATOS GENERALES'!T22),"",CONCATENATE('DATOS GENERALES'!T22," ","%"))</f>
        <v>0,8 %</v>
      </c>
      <c r="W25" s="518"/>
      <c r="X25" s="518"/>
      <c r="Y25" s="518"/>
      <c r="Z25" s="518"/>
      <c r="AA25" s="519"/>
    </row>
    <row r="26" spans="1:27" s="16" customFormat="1" ht="18" customHeight="1" x14ac:dyDescent="0.25">
      <c r="A26" s="1424" t="s">
        <v>59</v>
      </c>
      <c r="B26" s="1424"/>
      <c r="C26" s="1424"/>
      <c r="D26" s="1424"/>
      <c r="E26" s="1424"/>
      <c r="F26" s="1504">
        <f>IF(ISBLANK('DATOS GENERALES'!F22),"N.I.",'DATOS GENERALES'!F22)</f>
        <v>2.4000000000000001E-4</v>
      </c>
      <c r="G26" s="1504"/>
      <c r="H26" s="1504" t="s">
        <v>467</v>
      </c>
      <c r="I26" s="1504"/>
      <c r="J26" s="1504"/>
      <c r="K26" s="520"/>
      <c r="L26" s="520"/>
      <c r="M26" s="1496" t="s">
        <v>681</v>
      </c>
      <c r="N26" s="1496"/>
      <c r="O26" s="1496"/>
      <c r="P26" s="1496"/>
      <c r="Q26" s="1496"/>
      <c r="R26" s="1496"/>
      <c r="S26" s="1496"/>
      <c r="T26" s="983" t="str">
        <f>IF(ISBLANK('DATOS GENERALES'!Q23),"",CONCATENATE('DATOS GENERALES'!Q23," ",'DATOS GENERALES'!N21))</f>
        <v>3 µL</v>
      </c>
      <c r="U26" s="984" t="s">
        <v>700</v>
      </c>
      <c r="V26" s="983" t="str">
        <f>IF(ISBLANK('DATOS GENERALES'!T23),"",CONCATENATE('DATOS GENERALES'!T23," ","%"))</f>
        <v>0,3 %</v>
      </c>
      <c r="W26" s="518"/>
      <c r="X26" s="518"/>
      <c r="Y26" s="518"/>
      <c r="Z26" s="518"/>
      <c r="AA26" s="518"/>
    </row>
    <row r="27" spans="1:27" s="16" customFormat="1" ht="18" customHeight="1" x14ac:dyDescent="0.25">
      <c r="A27" s="1424" t="s">
        <v>323</v>
      </c>
      <c r="B27" s="1424"/>
      <c r="C27" s="1424"/>
      <c r="D27" s="1424"/>
      <c r="E27" s="1424"/>
      <c r="F27" s="1497" t="str">
        <f>IF('DATOS GENERALES'!D23="","",'DATOS GENERALES'!D23)</f>
        <v>Expulsar (Ex)</v>
      </c>
      <c r="G27" s="1497"/>
      <c r="H27" s="1497"/>
      <c r="I27" s="1497"/>
      <c r="J27" s="1497"/>
      <c r="K27" s="1497"/>
      <c r="L27" s="1497"/>
      <c r="M27" s="1496" t="s">
        <v>58</v>
      </c>
      <c r="N27" s="1496"/>
      <c r="O27" s="1496"/>
      <c r="P27" s="1496"/>
      <c r="Q27" s="1496"/>
      <c r="R27" s="1496"/>
      <c r="S27" s="1496"/>
      <c r="T27" s="1505" t="str">
        <f>IF('DATOS GENERALES'!M22="","",CONCATENATE('DATOS GENERALES'!M22,"  ",'DATOS GENERALES'!N22))</f>
        <v>20  °C</v>
      </c>
      <c r="U27" s="1505"/>
      <c r="V27" s="1505"/>
      <c r="W27" s="1505"/>
      <c r="X27" s="1505"/>
      <c r="Y27" s="1505"/>
      <c r="Z27" s="1505"/>
      <c r="AA27" s="518"/>
    </row>
    <row r="28" spans="1:27" s="16" customFormat="1" ht="18" customHeight="1" x14ac:dyDescent="0.25">
      <c r="A28" s="1424" t="s">
        <v>327</v>
      </c>
      <c r="B28" s="1424"/>
      <c r="C28" s="1424"/>
      <c r="D28" s="1424"/>
      <c r="E28" s="1424"/>
      <c r="F28" s="1497" t="str">
        <f>IF('DATOS GENERALES'!D21="","",'DATOS GENERALES'!D21)</f>
        <v xml:space="preserve">Plástico (polipropileno) </v>
      </c>
      <c r="G28" s="1497"/>
      <c r="H28" s="1497"/>
      <c r="I28" s="1497"/>
      <c r="J28" s="1497"/>
      <c r="K28" s="1497"/>
      <c r="L28" s="1497"/>
      <c r="M28" s="1496" t="s">
        <v>328</v>
      </c>
      <c r="N28" s="1496"/>
      <c r="O28" s="1496"/>
      <c r="P28" s="1496"/>
      <c r="Q28" s="1496"/>
      <c r="R28" s="1496"/>
      <c r="S28" s="1496"/>
      <c r="T28" s="1505" t="str">
        <f>IF('DATOS GENERALES'!K23="","",'DATOS GENERALES'!K23)</f>
        <v>Agua Des-ionizada grado 3</v>
      </c>
      <c r="U28" s="1505"/>
      <c r="V28" s="1505"/>
      <c r="W28" s="1505"/>
      <c r="X28" s="1505"/>
      <c r="Y28" s="1505"/>
      <c r="Z28" s="1505"/>
      <c r="AA28" s="518"/>
    </row>
    <row r="29" spans="1:27" ht="9.75" customHeight="1" x14ac:dyDescent="0.25">
      <c r="A29" s="521"/>
      <c r="B29" s="521"/>
      <c r="C29" s="521"/>
      <c r="D29" s="521"/>
      <c r="E29" s="521"/>
      <c r="F29" s="521"/>
      <c r="G29" s="507"/>
      <c r="H29" s="521"/>
      <c r="I29" s="521"/>
      <c r="J29" s="521"/>
      <c r="K29" s="521"/>
      <c r="L29" s="521"/>
      <c r="M29" s="521"/>
      <c r="N29" s="521"/>
      <c r="O29" s="521"/>
      <c r="P29" s="521"/>
      <c r="Q29" s="521"/>
      <c r="R29" s="521"/>
      <c r="S29" s="521"/>
      <c r="T29" s="521"/>
      <c r="U29" s="521"/>
      <c r="V29" s="521"/>
      <c r="W29" s="521"/>
      <c r="X29" s="521"/>
      <c r="Y29" s="521"/>
      <c r="Z29" s="521"/>
      <c r="AA29" s="521"/>
    </row>
    <row r="30" spans="1:27" ht="3.75" customHeight="1" x14ac:dyDescent="0.25">
      <c r="A30" s="356"/>
      <c r="B30" s="356"/>
      <c r="C30" s="356"/>
      <c r="D30" s="356"/>
      <c r="E30" s="356"/>
      <c r="F30" s="356"/>
      <c r="G30" s="356"/>
      <c r="H30" s="359"/>
      <c r="I30" s="359"/>
      <c r="J30" s="359"/>
      <c r="K30" s="359"/>
      <c r="L30" s="359"/>
      <c r="M30" s="355"/>
      <c r="N30" s="355"/>
      <c r="O30" s="355"/>
      <c r="P30" s="355"/>
      <c r="Q30" s="355"/>
      <c r="R30" s="355"/>
      <c r="S30" s="355"/>
      <c r="T30" s="355"/>
      <c r="U30" s="355"/>
      <c r="V30" s="355"/>
      <c r="W30" s="355"/>
      <c r="X30" s="355"/>
      <c r="Y30" s="355"/>
      <c r="Z30" s="355"/>
      <c r="AA30" s="355"/>
    </row>
    <row r="31" spans="1:27" ht="15" customHeight="1" x14ac:dyDescent="0.25">
      <c r="A31" s="1535" t="s">
        <v>437</v>
      </c>
      <c r="B31" s="1535"/>
      <c r="C31" s="1535"/>
      <c r="D31" s="1535"/>
      <c r="E31" s="1535"/>
      <c r="F31" s="1535"/>
      <c r="G31" s="1535"/>
      <c r="H31" s="1535"/>
      <c r="I31" s="1535"/>
      <c r="J31" s="1535"/>
      <c r="K31" s="1535"/>
      <c r="L31" s="1535"/>
      <c r="M31" s="1535"/>
      <c r="N31" s="1535"/>
      <c r="O31" s="1535"/>
      <c r="P31" s="1535"/>
      <c r="Q31" s="1535"/>
      <c r="R31" s="1535"/>
      <c r="S31" s="1535"/>
      <c r="T31" s="1535"/>
      <c r="U31" s="1535"/>
      <c r="V31" s="1535"/>
      <c r="W31" s="1535"/>
      <c r="X31" s="1535"/>
      <c r="Y31" s="1535"/>
      <c r="Z31" s="1535"/>
      <c r="AA31" s="1535"/>
    </row>
    <row r="32" spans="1:27" x14ac:dyDescent="0.25">
      <c r="A32" s="1535"/>
      <c r="B32" s="1535"/>
      <c r="C32" s="1535"/>
      <c r="D32" s="1535"/>
      <c r="E32" s="1535"/>
      <c r="F32" s="1535"/>
      <c r="G32" s="1535"/>
      <c r="H32" s="1535"/>
      <c r="I32" s="1535"/>
      <c r="J32" s="1535"/>
      <c r="K32" s="1535"/>
      <c r="L32" s="1535"/>
      <c r="M32" s="1535"/>
      <c r="N32" s="1535"/>
      <c r="O32" s="1535"/>
      <c r="P32" s="1535"/>
      <c r="Q32" s="1535"/>
      <c r="R32" s="1535"/>
      <c r="S32" s="1535"/>
      <c r="T32" s="1535"/>
      <c r="U32" s="1535"/>
      <c r="V32" s="1535"/>
      <c r="W32" s="1535"/>
      <c r="X32" s="1535"/>
      <c r="Y32" s="1535"/>
      <c r="Z32" s="1535"/>
      <c r="AA32" s="1535"/>
    </row>
    <row r="33" spans="1:27" ht="5.25" customHeight="1" x14ac:dyDescent="0.25">
      <c r="A33" s="522"/>
      <c r="B33" s="522"/>
      <c r="C33" s="522"/>
      <c r="D33" s="522"/>
      <c r="E33" s="522"/>
      <c r="F33" s="522"/>
      <c r="G33" s="522"/>
      <c r="H33" s="522"/>
      <c r="I33" s="522"/>
      <c r="J33" s="522"/>
      <c r="K33" s="522"/>
      <c r="L33" s="522"/>
      <c r="M33" s="522"/>
      <c r="N33" s="522"/>
      <c r="O33" s="522"/>
      <c r="P33" s="522"/>
      <c r="Q33" s="522"/>
      <c r="R33" s="522"/>
      <c r="S33" s="522"/>
      <c r="T33" s="522"/>
      <c r="U33" s="522"/>
      <c r="V33" s="522"/>
      <c r="W33" s="522"/>
      <c r="X33" s="522"/>
      <c r="Y33" s="522"/>
      <c r="Z33" s="522"/>
      <c r="AA33" s="522"/>
    </row>
    <row r="34" spans="1:27" ht="15" customHeight="1" x14ac:dyDescent="0.25">
      <c r="A34" s="1532" t="s">
        <v>403</v>
      </c>
      <c r="B34" s="1532"/>
      <c r="C34" s="1532"/>
      <c r="D34" s="1532"/>
      <c r="E34" s="1532"/>
      <c r="F34" s="1532"/>
      <c r="G34" s="1532"/>
      <c r="H34" s="1532"/>
      <c r="I34" s="1532"/>
      <c r="J34" s="1532"/>
      <c r="K34" s="1532"/>
      <c r="L34" s="1532"/>
      <c r="M34" s="1532"/>
      <c r="N34" s="1532"/>
      <c r="O34" s="1532"/>
      <c r="P34" s="1532"/>
      <c r="Q34" s="1532"/>
      <c r="R34" s="1532"/>
      <c r="S34" s="1532"/>
      <c r="T34" s="1532"/>
      <c r="U34" s="1532"/>
      <c r="V34" s="1532"/>
      <c r="W34" s="1532"/>
      <c r="X34" s="1532"/>
      <c r="Y34" s="1532"/>
      <c r="Z34" s="1532"/>
      <c r="AA34" s="1532"/>
    </row>
    <row r="35" spans="1:27" ht="15" customHeight="1" x14ac:dyDescent="0.25">
      <c r="A35" s="1532"/>
      <c r="B35" s="1532"/>
      <c r="C35" s="1532"/>
      <c r="D35" s="1532"/>
      <c r="E35" s="1532"/>
      <c r="F35" s="1532"/>
      <c r="G35" s="1532"/>
      <c r="H35" s="1532"/>
      <c r="I35" s="1532"/>
      <c r="J35" s="1532"/>
      <c r="K35" s="1532"/>
      <c r="L35" s="1532"/>
      <c r="M35" s="1532"/>
      <c r="N35" s="1532"/>
      <c r="O35" s="1532"/>
      <c r="P35" s="1532"/>
      <c r="Q35" s="1532"/>
      <c r="R35" s="1532"/>
      <c r="S35" s="1532"/>
      <c r="T35" s="1532"/>
      <c r="U35" s="1532"/>
      <c r="V35" s="1532"/>
      <c r="W35" s="1532"/>
      <c r="X35" s="1532"/>
      <c r="Y35" s="1532"/>
      <c r="Z35" s="1532"/>
      <c r="AA35" s="1532"/>
    </row>
    <row r="36" spans="1:27" s="17" customFormat="1" ht="7.5" customHeight="1" x14ac:dyDescent="0.2">
      <c r="A36" s="1518"/>
      <c r="B36" s="1518"/>
      <c r="C36" s="1518"/>
      <c r="D36" s="1518"/>
      <c r="E36" s="1518"/>
      <c r="F36" s="1518"/>
      <c r="G36" s="1518"/>
      <c r="H36" s="1518"/>
      <c r="I36" s="1518"/>
      <c r="J36" s="1518"/>
      <c r="K36" s="1518"/>
      <c r="L36" s="1518"/>
      <c r="M36" s="1518"/>
      <c r="N36" s="1518"/>
      <c r="O36" s="1518"/>
      <c r="P36" s="1518"/>
      <c r="Q36" s="1518"/>
      <c r="R36" s="1518"/>
      <c r="S36" s="1518"/>
      <c r="T36" s="1518"/>
      <c r="U36" s="1518"/>
      <c r="V36" s="1518"/>
      <c r="W36" s="1518"/>
      <c r="X36" s="1518"/>
      <c r="Y36" s="1518"/>
      <c r="Z36" s="1518"/>
      <c r="AA36" s="523"/>
    </row>
    <row r="37" spans="1:27" ht="6" customHeight="1" x14ac:dyDescent="0.25">
      <c r="A37" s="524"/>
      <c r="B37" s="524"/>
      <c r="C37" s="524"/>
      <c r="D37" s="524"/>
      <c r="E37" s="524"/>
      <c r="F37" s="524"/>
      <c r="G37" s="524"/>
      <c r="H37" s="524"/>
      <c r="I37" s="524"/>
      <c r="J37" s="524"/>
      <c r="K37" s="524"/>
      <c r="L37" s="524"/>
      <c r="M37" s="524"/>
      <c r="N37" s="524"/>
      <c r="O37" s="524"/>
      <c r="P37" s="524"/>
      <c r="Q37" s="524"/>
      <c r="R37" s="524"/>
      <c r="S37" s="524"/>
      <c r="T37" s="524"/>
      <c r="U37" s="524"/>
      <c r="V37" s="524"/>
      <c r="W37" s="524"/>
      <c r="X37" s="524"/>
      <c r="Y37" s="524"/>
      <c r="Z37" s="524"/>
      <c r="AA37" s="524"/>
    </row>
    <row r="38" spans="1:27" ht="12.75" customHeight="1" x14ac:dyDescent="0.25">
      <c r="A38" s="1424" t="s">
        <v>45</v>
      </c>
      <c r="B38" s="1424"/>
      <c r="C38" s="1424"/>
      <c r="D38" s="1424"/>
      <c r="E38" s="1424"/>
      <c r="F38" s="1424"/>
      <c r="G38" s="1424"/>
      <c r="H38" s="492"/>
      <c r="I38" s="492"/>
      <c r="J38" s="504"/>
      <c r="K38" s="504"/>
      <c r="L38" s="504"/>
      <c r="M38" s="504"/>
      <c r="N38" s="504"/>
      <c r="O38" s="504"/>
      <c r="P38" s="504"/>
      <c r="Q38" s="504"/>
      <c r="R38" s="504"/>
      <c r="S38" s="504"/>
      <c r="T38" s="504"/>
      <c r="U38" s="504"/>
      <c r="V38" s="504"/>
      <c r="W38" s="504"/>
      <c r="X38" s="504"/>
      <c r="Y38" s="504"/>
      <c r="Z38" s="504"/>
      <c r="AA38" s="504"/>
    </row>
    <row r="39" spans="1:27" ht="7.5" customHeight="1" x14ac:dyDescent="0.25">
      <c r="A39" s="1507" t="s">
        <v>342</v>
      </c>
      <c r="B39" s="1507"/>
      <c r="C39" s="1507"/>
      <c r="D39" s="1507"/>
      <c r="E39" s="1507"/>
      <c r="F39" s="1507"/>
      <c r="G39" s="1507"/>
      <c r="H39" s="1507"/>
      <c r="I39" s="1507"/>
      <c r="J39" s="1507"/>
      <c r="K39" s="1507"/>
      <c r="L39" s="1507"/>
      <c r="M39" s="1507"/>
      <c r="N39" s="1507"/>
      <c r="O39" s="1507"/>
      <c r="P39" s="1507"/>
      <c r="Q39" s="1507"/>
      <c r="R39" s="1507"/>
      <c r="S39" s="1507"/>
      <c r="T39" s="1507"/>
      <c r="U39" s="1507"/>
      <c r="V39" s="1507"/>
      <c r="W39" s="1507"/>
      <c r="X39" s="1507"/>
      <c r="Y39" s="1507"/>
      <c r="Z39" s="1507"/>
      <c r="AA39" s="1507"/>
    </row>
    <row r="40" spans="1:27" ht="9" customHeight="1" x14ac:dyDescent="0.25">
      <c r="A40" s="1507"/>
      <c r="B40" s="1507"/>
      <c r="C40" s="1507"/>
      <c r="D40" s="1507"/>
      <c r="E40" s="1507"/>
      <c r="F40" s="1507"/>
      <c r="G40" s="1507"/>
      <c r="H40" s="1507"/>
      <c r="I40" s="1507"/>
      <c r="J40" s="1507"/>
      <c r="K40" s="1507"/>
      <c r="L40" s="1507"/>
      <c r="M40" s="1507"/>
      <c r="N40" s="1507"/>
      <c r="O40" s="1507"/>
      <c r="P40" s="1507"/>
      <c r="Q40" s="1507"/>
      <c r="R40" s="1507"/>
      <c r="S40" s="1507"/>
      <c r="T40" s="1507"/>
      <c r="U40" s="1507"/>
      <c r="V40" s="1507"/>
      <c r="W40" s="1507"/>
      <c r="X40" s="1507"/>
      <c r="Y40" s="1507"/>
      <c r="Z40" s="1507"/>
      <c r="AA40" s="1507"/>
    </row>
    <row r="41" spans="1:27" ht="10.5" customHeight="1" x14ac:dyDescent="0.25">
      <c r="A41" s="1507"/>
      <c r="B41" s="1507"/>
      <c r="C41" s="1507"/>
      <c r="D41" s="1507"/>
      <c r="E41" s="1507"/>
      <c r="F41" s="1507"/>
      <c r="G41" s="1507"/>
      <c r="H41" s="1507"/>
      <c r="I41" s="1507"/>
      <c r="J41" s="1507"/>
      <c r="K41" s="1507"/>
      <c r="L41" s="1507"/>
      <c r="M41" s="1507"/>
      <c r="N41" s="1507"/>
      <c r="O41" s="1507"/>
      <c r="P41" s="1507"/>
      <c r="Q41" s="1507"/>
      <c r="R41" s="1507"/>
      <c r="S41" s="1507"/>
      <c r="T41" s="1507"/>
      <c r="U41" s="1507"/>
      <c r="V41" s="1507"/>
      <c r="W41" s="1507"/>
      <c r="X41" s="1507"/>
      <c r="Y41" s="1507"/>
      <c r="Z41" s="1507"/>
      <c r="AA41" s="1507"/>
    </row>
    <row r="42" spans="1:27" ht="4.5" customHeight="1" x14ac:dyDescent="0.25">
      <c r="A42" s="504"/>
      <c r="B42" s="504"/>
      <c r="C42" s="504"/>
      <c r="D42" s="504"/>
      <c r="E42" s="504"/>
      <c r="F42" s="504"/>
      <c r="G42" s="504"/>
      <c r="H42" s="504"/>
      <c r="I42" s="504"/>
      <c r="J42" s="504"/>
      <c r="K42" s="504"/>
      <c r="L42" s="504"/>
      <c r="M42" s="504"/>
      <c r="N42" s="504"/>
      <c r="O42" s="504"/>
      <c r="P42" s="504"/>
      <c r="Q42" s="504"/>
      <c r="R42" s="504"/>
      <c r="S42" s="504"/>
      <c r="T42" s="504"/>
      <c r="U42" s="504"/>
      <c r="V42" s="504"/>
      <c r="W42" s="504"/>
      <c r="X42" s="504"/>
      <c r="Y42" s="504"/>
      <c r="Z42" s="504"/>
      <c r="AA42" s="504"/>
    </row>
    <row r="43" spans="1:27" ht="12" customHeight="1" x14ac:dyDescent="0.25">
      <c r="A43" s="1424" t="s">
        <v>46</v>
      </c>
      <c r="B43" s="1424"/>
      <c r="C43" s="1424"/>
      <c r="D43" s="1424"/>
      <c r="E43" s="1424"/>
      <c r="F43" s="1424"/>
      <c r="G43" s="1424"/>
      <c r="H43" s="1424"/>
      <c r="I43" s="1424"/>
      <c r="J43" s="525"/>
      <c r="K43" s="525"/>
      <c r="L43" s="525"/>
      <c r="M43" s="525"/>
      <c r="N43" s="525"/>
      <c r="O43" s="525"/>
      <c r="P43" s="525"/>
      <c r="Q43" s="525"/>
      <c r="R43" s="525"/>
      <c r="S43" s="525"/>
      <c r="T43" s="525"/>
      <c r="U43" s="525"/>
      <c r="V43" s="525"/>
      <c r="W43" s="525"/>
      <c r="X43" s="525"/>
      <c r="Y43" s="525"/>
      <c r="Z43" s="525"/>
      <c r="AA43" s="525"/>
    </row>
    <row r="44" spans="1:27" ht="4.5" customHeight="1" x14ac:dyDescent="0.25">
      <c r="A44" s="1507" t="s">
        <v>372</v>
      </c>
      <c r="B44" s="1507"/>
      <c r="C44" s="1507"/>
      <c r="D44" s="1507"/>
      <c r="E44" s="1507"/>
      <c r="F44" s="1507"/>
      <c r="G44" s="1507"/>
      <c r="H44" s="1507"/>
      <c r="I44" s="1507"/>
      <c r="J44" s="1507"/>
      <c r="K44" s="1507"/>
      <c r="L44" s="1507"/>
      <c r="M44" s="1507"/>
      <c r="N44" s="1507"/>
      <c r="O44" s="1507"/>
      <c r="P44" s="1507"/>
      <c r="Q44" s="1507"/>
      <c r="R44" s="1507"/>
      <c r="S44" s="1507"/>
      <c r="T44" s="1507"/>
      <c r="U44" s="1507"/>
      <c r="V44" s="1507"/>
      <c r="W44" s="1507"/>
      <c r="X44" s="1507"/>
      <c r="Y44" s="1507"/>
      <c r="Z44" s="1507"/>
      <c r="AA44" s="1507"/>
    </row>
    <row r="45" spans="1:27" ht="8.25" customHeight="1" x14ac:dyDescent="0.25">
      <c r="A45" s="1507"/>
      <c r="B45" s="1507"/>
      <c r="C45" s="1507"/>
      <c r="D45" s="1507"/>
      <c r="E45" s="1507"/>
      <c r="F45" s="1507"/>
      <c r="G45" s="1507"/>
      <c r="H45" s="1507"/>
      <c r="I45" s="1507"/>
      <c r="J45" s="1507"/>
      <c r="K45" s="1507"/>
      <c r="L45" s="1507"/>
      <c r="M45" s="1507"/>
      <c r="N45" s="1507"/>
      <c r="O45" s="1507"/>
      <c r="P45" s="1507"/>
      <c r="Q45" s="1507"/>
      <c r="R45" s="1507"/>
      <c r="S45" s="1507"/>
      <c r="T45" s="1507"/>
      <c r="U45" s="1507"/>
      <c r="V45" s="1507"/>
      <c r="W45" s="1507"/>
      <c r="X45" s="1507"/>
      <c r="Y45" s="1507"/>
      <c r="Z45" s="1507"/>
      <c r="AA45" s="1507"/>
    </row>
    <row r="46" spans="1:27" ht="12" customHeight="1" x14ac:dyDescent="0.25">
      <c r="A46" s="1507"/>
      <c r="B46" s="1507"/>
      <c r="C46" s="1507"/>
      <c r="D46" s="1507"/>
      <c r="E46" s="1507"/>
      <c r="F46" s="1507"/>
      <c r="G46" s="1507"/>
      <c r="H46" s="1507"/>
      <c r="I46" s="1507"/>
      <c r="J46" s="1507"/>
      <c r="K46" s="1507"/>
      <c r="L46" s="1507"/>
      <c r="M46" s="1507"/>
      <c r="N46" s="1507"/>
      <c r="O46" s="1507"/>
      <c r="P46" s="1507"/>
      <c r="Q46" s="1507"/>
      <c r="R46" s="1507"/>
      <c r="S46" s="1507"/>
      <c r="T46" s="1507"/>
      <c r="U46" s="1507"/>
      <c r="V46" s="1507"/>
      <c r="W46" s="1507"/>
      <c r="X46" s="1507"/>
      <c r="Y46" s="1507"/>
      <c r="Z46" s="1507"/>
      <c r="AA46" s="1507"/>
    </row>
    <row r="47" spans="1:27" ht="12" customHeight="1" x14ac:dyDescent="0.25">
      <c r="A47" s="1440" t="s">
        <v>246</v>
      </c>
      <c r="B47" s="1440"/>
      <c r="C47" s="1440"/>
      <c r="D47" s="1440"/>
      <c r="E47" s="1440"/>
      <c r="F47" s="1440"/>
      <c r="G47" s="509"/>
      <c r="H47" s="509"/>
      <c r="I47" s="506"/>
      <c r="J47" s="506"/>
      <c r="K47" s="506"/>
      <c r="L47" s="506"/>
      <c r="M47" s="506"/>
      <c r="N47" s="506"/>
      <c r="O47" s="506"/>
      <c r="P47" s="506"/>
      <c r="Q47" s="506"/>
      <c r="R47" s="506"/>
      <c r="S47" s="506"/>
      <c r="T47" s="506"/>
      <c r="U47" s="506"/>
      <c r="V47" s="506"/>
      <c r="W47" s="506"/>
      <c r="X47" s="506"/>
      <c r="Y47" s="506"/>
      <c r="Z47" s="506"/>
      <c r="AA47" s="506"/>
    </row>
    <row r="48" spans="1:27" ht="12" customHeight="1" x14ac:dyDescent="0.25">
      <c r="A48" s="526" t="s">
        <v>247</v>
      </c>
      <c r="B48" s="526"/>
      <c r="C48" s="526"/>
      <c r="D48" s="526"/>
      <c r="E48" s="526"/>
      <c r="F48" s="526"/>
      <c r="G48" s="526"/>
      <c r="H48" s="526"/>
      <c r="I48" s="527" t="str">
        <f>'DATOS GENERALES'!E19</f>
        <v xml:space="preserve">Tecservice S.A.S. Laboratorio de Volumen </v>
      </c>
      <c r="J48" s="527"/>
      <c r="K48" s="527"/>
      <c r="L48" s="527"/>
      <c r="M48" s="527"/>
      <c r="N48" s="527"/>
      <c r="O48" s="527"/>
      <c r="P48" s="527"/>
      <c r="Q48" s="527"/>
      <c r="R48" s="527"/>
      <c r="S48" s="527"/>
      <c r="T48" s="527"/>
      <c r="U48" s="527"/>
      <c r="V48" s="527"/>
      <c r="W48" s="527"/>
      <c r="X48" s="527"/>
      <c r="Y48" s="527"/>
      <c r="Z48" s="527"/>
      <c r="AA48" s="528"/>
    </row>
    <row r="49" spans="1:34" ht="4.5" customHeight="1" x14ac:dyDescent="0.25">
      <c r="A49" s="1519"/>
      <c r="B49" s="1519"/>
      <c r="C49" s="1519"/>
      <c r="D49" s="1519"/>
      <c r="E49" s="1519"/>
      <c r="F49" s="1519"/>
      <c r="G49" s="529"/>
      <c r="H49" s="529"/>
      <c r="I49" s="529"/>
      <c r="J49" s="529"/>
      <c r="K49" s="529"/>
      <c r="L49" s="529"/>
      <c r="M49" s="529"/>
      <c r="N49" s="529"/>
      <c r="O49" s="529"/>
      <c r="P49" s="529"/>
      <c r="Q49" s="529"/>
      <c r="R49" s="529"/>
      <c r="S49" s="529"/>
      <c r="T49" s="529"/>
      <c r="U49" s="529"/>
      <c r="V49" s="529"/>
      <c r="W49" s="529"/>
      <c r="X49" s="529"/>
      <c r="Y49" s="529"/>
      <c r="Z49" s="529"/>
      <c r="AA49" s="529"/>
    </row>
    <row r="50" spans="1:34" ht="6" customHeight="1" x14ac:dyDescent="0.25">
      <c r="A50" s="504"/>
      <c r="B50" s="504"/>
      <c r="C50" s="504"/>
      <c r="D50" s="504"/>
      <c r="E50" s="504"/>
      <c r="F50" s="504"/>
      <c r="G50" s="504"/>
      <c r="H50" s="504"/>
      <c r="I50" s="504"/>
      <c r="J50" s="504"/>
      <c r="K50" s="504"/>
      <c r="L50" s="504"/>
      <c r="M50" s="504"/>
      <c r="N50" s="504"/>
      <c r="O50" s="504"/>
      <c r="P50" s="504"/>
      <c r="Q50" s="504"/>
      <c r="R50" s="504"/>
      <c r="S50" s="504"/>
      <c r="T50" s="504"/>
      <c r="U50" s="504"/>
      <c r="V50" s="504"/>
      <c r="W50" s="504"/>
      <c r="X50" s="504"/>
      <c r="Y50" s="504"/>
      <c r="Z50" s="504"/>
      <c r="AA50" s="504"/>
    </row>
    <row r="51" spans="1:34" ht="12" customHeight="1" x14ac:dyDescent="0.25">
      <c r="A51" s="492" t="s">
        <v>757</v>
      </c>
      <c r="B51" s="492"/>
      <c r="C51" s="492"/>
      <c r="D51" s="492"/>
      <c r="E51" s="492"/>
      <c r="F51" s="492"/>
      <c r="G51" s="492"/>
      <c r="H51" s="492"/>
      <c r="I51" s="504"/>
      <c r="J51" s="504"/>
      <c r="K51" s="504"/>
      <c r="L51" s="504"/>
      <c r="M51" s="504"/>
      <c r="N51" s="504"/>
      <c r="O51" s="504"/>
      <c r="P51" s="504"/>
      <c r="Q51" s="504"/>
      <c r="R51" s="504"/>
      <c r="S51" s="504"/>
      <c r="T51" s="504"/>
      <c r="U51" s="504"/>
      <c r="V51" s="504"/>
      <c r="W51" s="504"/>
      <c r="X51" s="504"/>
      <c r="Y51" s="504"/>
      <c r="Z51" s="504"/>
      <c r="AA51" s="504"/>
    </row>
    <row r="52" spans="1:34" ht="32.25" customHeight="1" x14ac:dyDescent="0.25">
      <c r="A52" s="1507" t="s">
        <v>429</v>
      </c>
      <c r="B52" s="1507"/>
      <c r="C52" s="1507"/>
      <c r="D52" s="1507"/>
      <c r="E52" s="1507"/>
      <c r="F52" s="1507"/>
      <c r="G52" s="1507"/>
      <c r="H52" s="1507"/>
      <c r="I52" s="1507"/>
      <c r="J52" s="1507"/>
      <c r="K52" s="1507"/>
      <c r="L52" s="1507"/>
      <c r="M52" s="1507"/>
      <c r="N52" s="1507"/>
      <c r="O52" s="1507"/>
      <c r="P52" s="1507"/>
      <c r="Q52" s="1507"/>
      <c r="R52" s="1507"/>
      <c r="S52" s="1507"/>
      <c r="T52" s="1507"/>
      <c r="U52" s="1507"/>
      <c r="V52" s="1507"/>
      <c r="W52" s="1507"/>
      <c r="X52" s="1507"/>
      <c r="Y52" s="1507"/>
      <c r="Z52" s="1507"/>
      <c r="AA52" s="1507"/>
    </row>
    <row r="53" spans="1:34" ht="6" customHeight="1" x14ac:dyDescent="0.25">
      <c r="A53" s="1538"/>
      <c r="B53" s="1538"/>
      <c r="C53" s="1538"/>
      <c r="D53" s="1538"/>
      <c r="E53" s="1538"/>
      <c r="F53" s="1538"/>
      <c r="G53" s="1538"/>
      <c r="H53" s="1538"/>
      <c r="I53" s="1538"/>
      <c r="J53" s="1538"/>
      <c r="K53" s="1538"/>
      <c r="L53" s="1538"/>
      <c r="M53" s="1538"/>
      <c r="N53" s="1538"/>
      <c r="O53" s="1538"/>
      <c r="P53" s="1538"/>
      <c r="Q53" s="1538"/>
      <c r="R53" s="1538"/>
      <c r="S53" s="1538"/>
      <c r="T53" s="1538"/>
      <c r="U53" s="1538"/>
      <c r="V53" s="1538"/>
      <c r="W53" s="1538"/>
      <c r="X53" s="1538"/>
      <c r="Y53" s="1538"/>
      <c r="Z53" s="1538"/>
      <c r="AA53" s="474"/>
    </row>
    <row r="54" spans="1:34" ht="26.25" customHeight="1" x14ac:dyDescent="0.25">
      <c r="A54" s="1517" t="s">
        <v>2</v>
      </c>
      <c r="B54" s="1517"/>
      <c r="C54" s="1517"/>
      <c r="D54" s="1517"/>
      <c r="E54" s="1517" t="s">
        <v>0</v>
      </c>
      <c r="F54" s="1517"/>
      <c r="G54" s="1517"/>
      <c r="H54" s="1517"/>
      <c r="I54" s="1517"/>
      <c r="J54" s="1517"/>
      <c r="K54" s="1517" t="s">
        <v>250</v>
      </c>
      <c r="L54" s="1517"/>
      <c r="M54" s="1517"/>
      <c r="N54" s="1517"/>
      <c r="O54" s="1517" t="s">
        <v>50</v>
      </c>
      <c r="P54" s="1517"/>
      <c r="Q54" s="1517"/>
      <c r="R54" s="1517"/>
      <c r="S54" s="1517"/>
      <c r="T54" s="1517"/>
      <c r="U54" s="1517"/>
      <c r="V54" s="1517" t="s">
        <v>701</v>
      </c>
      <c r="W54" s="1517"/>
      <c r="X54" s="1517"/>
      <c r="Y54" s="1517"/>
      <c r="Z54" s="1517"/>
      <c r="AA54" s="487"/>
      <c r="AC54" s="458"/>
      <c r="AD54" s="458"/>
      <c r="AE54" s="458"/>
      <c r="AF54" s="458"/>
      <c r="AG54" s="458"/>
      <c r="AH54" s="451" t="s">
        <v>436</v>
      </c>
    </row>
    <row r="55" spans="1:34" s="18" customFormat="1" ht="13.5" customHeight="1" x14ac:dyDescent="0.2">
      <c r="A55" s="1477" t="str">
        <f>IF(ISBLANK('DATOS GENERALES'!F37),"",'DATOS GENERALES'!F37)</f>
        <v>TEC-LAB-BA-07</v>
      </c>
      <c r="B55" s="1477"/>
      <c r="C55" s="1477"/>
      <c r="D55" s="1477"/>
      <c r="E55" s="1478" t="str">
        <f>VLOOKUP(A55,Trazabilidad!$T$5:$Z$14,2,FALSE)</f>
        <v xml:space="preserve">Balanza semimicro </v>
      </c>
      <c r="F55" s="1478"/>
      <c r="G55" s="1478"/>
      <c r="H55" s="1478"/>
      <c r="I55" s="1478"/>
      <c r="J55" s="1478"/>
      <c r="K55" s="1477" t="str">
        <f>VLOOKUP(A55,Trazabilidad!$T$5:$Z$14,3,FALSE)</f>
        <v>Ohaus</v>
      </c>
      <c r="L55" s="1477"/>
      <c r="M55" s="1477"/>
      <c r="N55" s="1477"/>
      <c r="O55" s="1477" t="str">
        <f>IF(A55="","",'Chequeo Balanza '!J5)</f>
        <v>TM463-25A</v>
      </c>
      <c r="P55" s="1477"/>
      <c r="Q55" s="1477"/>
      <c r="R55" s="1477"/>
      <c r="S55" s="1477"/>
      <c r="T55" s="1477"/>
      <c r="U55" s="1477"/>
      <c r="V55" s="1479">
        <f>VLOOKUP(A55,Trazabilidad!$T$5:$Z$14,6,FALSE)</f>
        <v>46197</v>
      </c>
      <c r="W55" s="1479"/>
      <c r="X55" s="1479"/>
      <c r="Y55" s="1479"/>
      <c r="Z55" s="1479"/>
      <c r="AA55" s="488"/>
      <c r="AC55" s="459"/>
      <c r="AD55" s="459"/>
      <c r="AE55" s="459"/>
      <c r="AF55" s="459"/>
      <c r="AG55" s="460"/>
      <c r="AH55" s="463">
        <v>45142</v>
      </c>
    </row>
    <row r="56" spans="1:34" s="18" customFormat="1" ht="13.5" customHeight="1" x14ac:dyDescent="0.2">
      <c r="A56" s="1477" t="str">
        <f>IF(ISBLANK('DATOS GENERALES'!F38),"",'DATOS GENERALES'!F38)</f>
        <v>TEC-LAB-PTHRI-03</v>
      </c>
      <c r="B56" s="1477"/>
      <c r="C56" s="1477"/>
      <c r="D56" s="1477"/>
      <c r="E56" s="1478" t="str">
        <f>VLOOKUP(A56,Trazabilidad!$T$5:$Z$14,2,FALSE)</f>
        <v>Termo higrómetro barómetro digital</v>
      </c>
      <c r="F56" s="1478"/>
      <c r="G56" s="1478"/>
      <c r="H56" s="1478"/>
      <c r="I56" s="1478"/>
      <c r="J56" s="1478"/>
      <c r="K56" s="1477" t="str">
        <f>VLOOKUP(A56,Trazabilidad!$T$5:$Z$14,3,FALSE)</f>
        <v>Control Company</v>
      </c>
      <c r="L56" s="1477"/>
      <c r="M56" s="1477"/>
      <c r="N56" s="1477"/>
      <c r="O56" s="1477" t="str">
        <f>VLOOKUP(A56,Trazabilidad!$T$5:$Z$14,4,FALSE)</f>
        <v>TLM-P-4418</v>
      </c>
      <c r="P56" s="1477"/>
      <c r="Q56" s="1477"/>
      <c r="R56" s="1477"/>
      <c r="S56" s="1477"/>
      <c r="T56" s="1477"/>
      <c r="U56" s="1477"/>
      <c r="V56" s="1479">
        <f>VLOOKUP(A56,Trazabilidad!$T$5:$Z$14,6,FALSE)</f>
        <v>46074</v>
      </c>
      <c r="W56" s="1479"/>
      <c r="X56" s="1479"/>
      <c r="Y56" s="1479"/>
      <c r="Z56" s="1479"/>
      <c r="AA56" s="488"/>
      <c r="AC56" s="459"/>
      <c r="AD56" s="459"/>
      <c r="AE56" s="459"/>
      <c r="AF56" s="459"/>
      <c r="AG56" s="460"/>
      <c r="AH56" s="463"/>
    </row>
    <row r="57" spans="1:34" s="18" customFormat="1" ht="13.5" customHeight="1" x14ac:dyDescent="0.2">
      <c r="A57" s="1477" t="str">
        <f>IF(ISBLANK('DATOS GENERALES'!F39),"",'DATOS GENERALES'!F39)</f>
        <v>TEC-LAB-TH-01</v>
      </c>
      <c r="B57" s="1477"/>
      <c r="C57" s="1477"/>
      <c r="D57" s="1477"/>
      <c r="E57" s="1478" t="str">
        <f>VLOOKUP(A57,Trazabilidad!$T$5:$Z$14,2,FALSE)</f>
        <v>Termo higrómetro digital</v>
      </c>
      <c r="F57" s="1478"/>
      <c r="G57" s="1478"/>
      <c r="H57" s="1478"/>
      <c r="I57" s="1478"/>
      <c r="J57" s="1478"/>
      <c r="K57" s="1477" t="str">
        <f>VLOOKUP(A57,Trazabilidad!$T$5:$Z$14,3,FALSE)</f>
        <v>Full Gauge</v>
      </c>
      <c r="L57" s="1477"/>
      <c r="M57" s="1477"/>
      <c r="N57" s="1477"/>
      <c r="O57" s="1477" t="str">
        <f>VLOOKUP(A57,Trazabilidad!$T$5:$Z$14,4,FALSE)</f>
        <v>TLM-TH-1859C</v>
      </c>
      <c r="P57" s="1477"/>
      <c r="Q57" s="1477"/>
      <c r="R57" s="1477"/>
      <c r="S57" s="1477"/>
      <c r="T57" s="1477"/>
      <c r="U57" s="1477"/>
      <c r="V57" s="1479">
        <f>VLOOKUP(A57,Trazabilidad!$T$5:$Z$14,6,FALSE)</f>
        <v>46068</v>
      </c>
      <c r="W57" s="1479"/>
      <c r="X57" s="1479"/>
      <c r="Y57" s="1479"/>
      <c r="Z57" s="1479"/>
      <c r="AA57" s="488"/>
      <c r="AC57" s="459"/>
      <c r="AD57" s="459"/>
      <c r="AE57" s="459"/>
      <c r="AF57" s="459"/>
      <c r="AG57" s="460"/>
      <c r="AH57" s="463"/>
    </row>
    <row r="58" spans="1:34" s="18" customFormat="1" ht="13.5" customHeight="1" x14ac:dyDescent="0.25">
      <c r="A58" s="1477" t="str">
        <f>IF(ISBLANK('DATOS GENERALES'!F40),"",'DATOS GENERALES'!F40)</f>
        <v>TEC-LAB-TEM-33</v>
      </c>
      <c r="B58" s="1477"/>
      <c r="C58" s="1477"/>
      <c r="D58" s="1477"/>
      <c r="E58" s="1478" t="str">
        <f>VLOOKUP(A58,Trazabilidad!$T$5:$Z$14,2,FALSE)</f>
        <v>Termómetro digital</v>
      </c>
      <c r="F58" s="1478"/>
      <c r="G58" s="1478"/>
      <c r="H58" s="1478"/>
      <c r="I58" s="1478"/>
      <c r="J58" s="1478"/>
      <c r="K58" s="1477" t="str">
        <f>VLOOKUP(A58,Trazabilidad!$T$5:$Z$14,3,FALSE)</f>
        <v>Control company</v>
      </c>
      <c r="L58" s="1477"/>
      <c r="M58" s="1477"/>
      <c r="N58" s="1477"/>
      <c r="O58" s="1477" t="str">
        <f>VLOOKUP(A58,Trazabilidad!$T$5:$Z$14,4,FALSE)</f>
        <v>TLM-T-3124</v>
      </c>
      <c r="P58" s="1477"/>
      <c r="Q58" s="1477"/>
      <c r="R58" s="1477"/>
      <c r="S58" s="1477"/>
      <c r="T58" s="1477"/>
      <c r="U58" s="1477"/>
      <c r="V58" s="1479">
        <f>VLOOKUP(A58,Trazabilidad!$T$5:$Z$14,6,FALSE)</f>
        <v>46060</v>
      </c>
      <c r="W58" s="1479"/>
      <c r="X58" s="1479"/>
      <c r="Y58" s="1479"/>
      <c r="Z58" s="1479"/>
      <c r="AA58" s="488"/>
      <c r="AC58" s="458"/>
      <c r="AD58" s="458"/>
      <c r="AE58" s="458"/>
      <c r="AF58" s="468"/>
      <c r="AG58" s="460"/>
      <c r="AH58" s="463">
        <v>44972</v>
      </c>
    </row>
    <row r="59" spans="1:34" s="18" customFormat="1" ht="9" customHeight="1" x14ac:dyDescent="0.2">
      <c r="A59" s="1483"/>
      <c r="B59" s="1483"/>
      <c r="C59" s="1483"/>
      <c r="D59" s="1483"/>
      <c r="E59" s="1492"/>
      <c r="F59" s="1492"/>
      <c r="G59" s="1492"/>
      <c r="H59" s="1492"/>
      <c r="I59" s="1492"/>
      <c r="J59" s="1493"/>
      <c r="K59" s="1484"/>
      <c r="L59" s="1485"/>
      <c r="M59" s="1485"/>
      <c r="N59" s="1486"/>
      <c r="O59" s="1484"/>
      <c r="P59" s="1485"/>
      <c r="Q59" s="1485"/>
      <c r="R59" s="1485"/>
      <c r="S59" s="1485"/>
      <c r="T59" s="1486"/>
      <c r="U59" s="562"/>
      <c r="V59" s="1480"/>
      <c r="W59" s="1481"/>
      <c r="X59" s="1481"/>
      <c r="Y59" s="1481"/>
      <c r="Z59" s="1482"/>
      <c r="AA59" s="488"/>
      <c r="AC59" s="459"/>
      <c r="AD59" s="459"/>
      <c r="AE59" s="459"/>
      <c r="AF59" s="469"/>
      <c r="AG59" s="460"/>
      <c r="AH59" s="463">
        <v>44948</v>
      </c>
    </row>
    <row r="60" spans="1:34" ht="4.5" customHeight="1" x14ac:dyDescent="0.25">
      <c r="A60" s="364"/>
      <c r="B60" s="364"/>
      <c r="C60" s="364"/>
      <c r="D60" s="364"/>
      <c r="E60" s="364"/>
      <c r="F60" s="364"/>
      <c r="G60" s="364"/>
      <c r="H60" s="364"/>
      <c r="I60" s="364"/>
      <c r="J60" s="364"/>
      <c r="K60" s="364"/>
      <c r="L60" s="364"/>
      <c r="M60" s="364"/>
      <c r="N60" s="364"/>
      <c r="O60" s="364"/>
      <c r="P60" s="364"/>
      <c r="Q60" s="364"/>
      <c r="R60" s="364"/>
      <c r="S60" s="364"/>
      <c r="T60" s="364"/>
      <c r="U60" s="364"/>
      <c r="V60" s="364"/>
      <c r="W60" s="364"/>
      <c r="X60" s="364"/>
      <c r="Y60" s="364"/>
      <c r="Z60" s="364"/>
      <c r="AA60" s="364"/>
      <c r="AC60" s="459"/>
      <c r="AD60" s="459"/>
      <c r="AE60" s="459"/>
      <c r="AF60" s="469"/>
      <c r="AG60" s="460"/>
      <c r="AH60" s="463">
        <v>44944</v>
      </c>
    </row>
    <row r="61" spans="1:34" ht="3.75" customHeight="1" x14ac:dyDescent="0.25">
      <c r="A61" s="364"/>
      <c r="B61" s="364"/>
      <c r="C61" s="364"/>
      <c r="D61" s="364"/>
      <c r="E61" s="364"/>
      <c r="F61" s="364"/>
      <c r="G61" s="364"/>
      <c r="H61" s="364"/>
      <c r="I61" s="364"/>
      <c r="J61" s="364"/>
      <c r="K61" s="364"/>
      <c r="L61" s="364"/>
      <c r="M61" s="364"/>
      <c r="N61" s="364"/>
      <c r="O61" s="364"/>
      <c r="P61" s="364"/>
      <c r="Q61" s="364"/>
      <c r="R61" s="364"/>
      <c r="S61" s="364"/>
      <c r="T61" s="364"/>
      <c r="U61" s="364"/>
      <c r="V61" s="364"/>
      <c r="W61" s="364"/>
      <c r="X61" s="364"/>
      <c r="Y61" s="364"/>
      <c r="Z61" s="364"/>
      <c r="AA61" s="364"/>
      <c r="AC61" s="459"/>
      <c r="AD61" s="459"/>
      <c r="AE61" s="459"/>
      <c r="AF61" s="469"/>
      <c r="AG61" s="460"/>
      <c r="AH61" s="463">
        <v>44945</v>
      </c>
    </row>
    <row r="62" spans="1:34" ht="12.75" customHeight="1" x14ac:dyDescent="0.25">
      <c r="A62" s="364"/>
      <c r="B62" s="364"/>
      <c r="C62" s="364"/>
      <c r="D62" s="364"/>
      <c r="E62" s="364"/>
      <c r="F62" s="364"/>
      <c r="G62" s="364"/>
      <c r="H62" s="364"/>
      <c r="I62" s="364"/>
      <c r="J62" s="364"/>
      <c r="K62" s="364"/>
      <c r="L62" s="364"/>
      <c r="M62" s="364"/>
      <c r="N62" s="364"/>
      <c r="O62" s="364"/>
      <c r="P62" s="364"/>
      <c r="Q62" s="364"/>
      <c r="R62" s="364"/>
      <c r="S62" s="364"/>
      <c r="T62" s="447" t="s">
        <v>389</v>
      </c>
      <c r="U62" s="364"/>
      <c r="V62" s="364"/>
      <c r="W62" s="364"/>
      <c r="X62" s="364"/>
      <c r="Y62" s="364"/>
      <c r="Z62" s="364"/>
      <c r="AA62" s="364"/>
      <c r="AC62" s="459"/>
      <c r="AD62" s="459"/>
      <c r="AE62" s="459"/>
      <c r="AF62" s="459"/>
      <c r="AG62" s="460"/>
      <c r="AH62" s="463">
        <v>45059</v>
      </c>
    </row>
    <row r="63" spans="1:34" ht="6" customHeight="1" x14ac:dyDescent="0.25">
      <c r="A63" s="364"/>
      <c r="B63" s="364"/>
      <c r="C63" s="364"/>
      <c r="D63" s="364"/>
      <c r="E63" s="364"/>
      <c r="F63" s="364"/>
      <c r="G63" s="364"/>
      <c r="H63" s="364"/>
      <c r="I63" s="364"/>
      <c r="J63" s="364"/>
      <c r="K63" s="364"/>
      <c r="L63" s="364"/>
      <c r="M63" s="364"/>
      <c r="N63" s="364"/>
      <c r="O63" s="364"/>
      <c r="P63" s="364"/>
      <c r="Q63" s="364"/>
      <c r="R63" s="364"/>
      <c r="S63" s="364"/>
      <c r="T63" s="364"/>
      <c r="U63" s="364"/>
      <c r="V63" s="364"/>
      <c r="W63" s="364"/>
      <c r="X63" s="364"/>
      <c r="Y63" s="364"/>
      <c r="Z63" s="364"/>
      <c r="AA63" s="364"/>
      <c r="AC63" s="458"/>
      <c r="AD63" s="458"/>
      <c r="AE63" s="458"/>
      <c r="AF63" s="458"/>
      <c r="AG63" s="461"/>
      <c r="AH63" s="464">
        <v>45239</v>
      </c>
    </row>
    <row r="64" spans="1:34" ht="14.1" customHeight="1" x14ac:dyDescent="0.25">
      <c r="A64" s="357" t="s">
        <v>42</v>
      </c>
      <c r="B64" s="365"/>
      <c r="C64" s="365"/>
      <c r="D64" s="365"/>
      <c r="E64" s="365"/>
      <c r="F64" s="365"/>
      <c r="G64" s="365"/>
      <c r="H64" s="365"/>
      <c r="I64" s="365"/>
      <c r="J64" s="365"/>
      <c r="K64" s="365"/>
      <c r="L64" s="365"/>
      <c r="M64" s="365"/>
      <c r="N64" s="365"/>
      <c r="O64" s="365"/>
      <c r="P64" s="365"/>
      <c r="Q64" s="365"/>
      <c r="R64" s="365"/>
      <c r="S64" s="365"/>
      <c r="T64" s="365"/>
      <c r="U64" s="365"/>
      <c r="V64" s="365"/>
      <c r="W64" s="365"/>
      <c r="X64" s="365"/>
      <c r="Y64" s="365"/>
      <c r="Z64" s="365"/>
      <c r="AA64" s="365"/>
      <c r="AH64" s="465"/>
    </row>
    <row r="65" spans="1:34" ht="15.75" customHeight="1" x14ac:dyDescent="0.25">
      <c r="A65" s="1487" t="s">
        <v>43</v>
      </c>
      <c r="B65" s="1487"/>
      <c r="C65" s="1487"/>
      <c r="D65" s="1487"/>
      <c r="E65" s="1487"/>
      <c r="F65" s="1487"/>
      <c r="G65" s="1487"/>
      <c r="H65" s="1487"/>
      <c r="I65" s="1487"/>
      <c r="J65" s="1487"/>
      <c r="K65" s="1487"/>
      <c r="L65" s="1487"/>
      <c r="M65" s="1487"/>
      <c r="N65" s="1487"/>
      <c r="O65" s="1487"/>
      <c r="P65" s="1487"/>
      <c r="Q65" s="1487"/>
      <c r="R65" s="1487"/>
      <c r="S65" s="1487"/>
      <c r="T65" s="1487"/>
      <c r="U65" s="1487"/>
      <c r="V65" s="1487"/>
      <c r="W65" s="1487"/>
      <c r="X65" s="1487"/>
      <c r="Y65" s="1487"/>
      <c r="Z65" s="1487"/>
      <c r="AA65" s="364"/>
    </row>
    <row r="66" spans="1:34" ht="7.5" customHeight="1" x14ac:dyDescent="0.25">
      <c r="A66" s="364"/>
      <c r="B66" s="364"/>
      <c r="C66" s="364"/>
      <c r="D66" s="364"/>
      <c r="E66" s="364"/>
      <c r="F66" s="364"/>
      <c r="G66" s="364"/>
      <c r="H66" s="364"/>
      <c r="I66" s="364"/>
      <c r="J66" s="364"/>
      <c r="K66" s="364"/>
      <c r="L66" s="364"/>
      <c r="M66" s="364"/>
      <c r="N66" s="364"/>
      <c r="O66" s="364"/>
      <c r="P66" s="364"/>
      <c r="Q66" s="364"/>
      <c r="R66" s="364"/>
      <c r="S66" s="364"/>
      <c r="T66" s="364"/>
      <c r="U66" s="364"/>
      <c r="V66" s="364"/>
      <c r="W66" s="364"/>
      <c r="X66" s="364"/>
      <c r="Y66" s="364"/>
      <c r="Z66" s="364"/>
      <c r="AA66" s="364"/>
    </row>
    <row r="67" spans="1:34" ht="15.75" customHeight="1" x14ac:dyDescent="0.25">
      <c r="A67" s="364"/>
      <c r="B67" s="364"/>
      <c r="C67" s="364"/>
      <c r="D67" s="364"/>
      <c r="E67" s="364"/>
      <c r="F67" s="364"/>
      <c r="G67" s="364"/>
      <c r="H67" s="364"/>
      <c r="I67" s="364"/>
      <c r="J67" s="364"/>
      <c r="K67" s="364"/>
      <c r="L67" s="364"/>
      <c r="M67" s="364"/>
      <c r="N67" s="1494" t="str">
        <f>IF(OR('DATOS GENERALES'!F11&gt;'DATOS GENERALES'!Q37,'DATOS GENERALES'!F11&gt;'DATOS GENERALES'!Q38,'DATOS GENERALES'!F11&gt;'DATOS GENERALES'!Q39,'DATOS GENERALES'!F11&gt;'DATOS GENERALES'!Q40,'DATOS GENERALES'!F11&gt;'DATOS GENERALES'!Q41)," Ojo No se Puede Emitir Certificado. Verificar Vigencia De EQ PATRON","")</f>
        <v/>
      </c>
      <c r="O67" s="1494"/>
      <c r="P67" s="1494"/>
      <c r="Q67" s="1494"/>
      <c r="R67" s="1494"/>
      <c r="S67" s="1494"/>
      <c r="T67" s="1494"/>
      <c r="U67" s="1494"/>
      <c r="V67" s="1494"/>
      <c r="W67" s="1494"/>
      <c r="X67" s="1494"/>
      <c r="Y67" s="1494"/>
      <c r="Z67" s="1494"/>
      <c r="AA67" s="364"/>
    </row>
    <row r="68" spans="1:34" ht="40.5" customHeight="1" x14ac:dyDescent="0.25">
      <c r="A68" s="1498"/>
      <c r="B68" s="1498"/>
      <c r="C68" s="1498"/>
      <c r="D68" s="1498"/>
      <c r="E68" s="1498"/>
      <c r="F68" s="1498"/>
      <c r="G68" s="1498"/>
      <c r="H68" s="1498"/>
      <c r="I68" s="1498"/>
      <c r="J68" s="1498"/>
      <c r="K68" s="1498"/>
      <c r="L68" s="1498"/>
      <c r="M68" s="1498"/>
      <c r="N68" s="1498"/>
      <c r="O68" s="1498"/>
      <c r="P68" s="1498"/>
      <c r="Q68" s="1498"/>
      <c r="R68" s="1498"/>
      <c r="S68" s="1498"/>
      <c r="T68" s="1498"/>
      <c r="U68" s="1498"/>
      <c r="V68" s="1498"/>
      <c r="W68" s="1498"/>
      <c r="X68" s="1498"/>
      <c r="Y68" s="1498"/>
      <c r="Z68" s="1498"/>
      <c r="AA68" s="364"/>
      <c r="AD68" s="14" t="str">
        <f>IF(N70&lt;'DATOS GENERALES'!E11,"OJO REVISAR FECHA","")</f>
        <v/>
      </c>
      <c r="AH68" s="14" t="str" cm="1">
        <f t="array" ref="AH68">IF(AND('DATOS GENERALES'!W81:AA81="",'DATOS GENERALES'!W97:AA97="",'DATOS GENERALES'!W113:AA113="",OR('DATOS GENERALES'!W80:Z80='DATOS GENERALES'!$Q$166,'DATOS GENERALES'!W96:Z96='DATOS GENERALES'!$Q$166,'DATOS GENERALES'!W112:Z112='DATOS GENERALES'!Q166)),"No Se Puede Emitir Certificado. ¡ SE DEBE REVISAR LOS DATOS ! ","")</f>
        <v/>
      </c>
    </row>
    <row r="69" spans="1:34" x14ac:dyDescent="0.25">
      <c r="A69" s="1516" t="s">
        <v>392</v>
      </c>
      <c r="B69" s="1516"/>
      <c r="C69" s="1516"/>
      <c r="D69" s="1516"/>
      <c r="E69" s="364"/>
      <c r="F69" s="364"/>
      <c r="G69" s="364"/>
      <c r="H69" s="364"/>
      <c r="I69" s="364"/>
      <c r="J69" s="364"/>
      <c r="K69" s="364"/>
      <c r="L69" s="364"/>
      <c r="M69" s="364"/>
      <c r="N69" s="971" t="str">
        <f>IF(N70&lt;'DATOS GENERALES'!F11,"OJO REVISAR FECHA","")</f>
        <v/>
      </c>
      <c r="O69" s="971"/>
      <c r="P69" s="971"/>
      <c r="Q69" s="971"/>
      <c r="R69" s="971"/>
      <c r="S69" s="971"/>
      <c r="T69" s="364"/>
      <c r="U69" s="364"/>
      <c r="V69" s="364"/>
      <c r="W69" s="364"/>
      <c r="X69" s="364"/>
      <c r="Y69" s="364"/>
      <c r="Z69" s="364"/>
      <c r="AA69" s="364"/>
    </row>
    <row r="70" spans="1:34" ht="18.75" customHeight="1" x14ac:dyDescent="0.25">
      <c r="A70" s="366" t="str">
        <f>'DATOS GENERALES'!B159</f>
        <v>Diego Vera</v>
      </c>
      <c r="B70" s="366"/>
      <c r="C70" s="366"/>
      <c r="D70" s="366"/>
      <c r="E70" s="366"/>
      <c r="F70" s="364"/>
      <c r="G70" s="355"/>
      <c r="H70" s="367"/>
      <c r="I70" s="1491"/>
      <c r="J70" s="1491"/>
      <c r="K70" s="1491"/>
      <c r="L70" s="1491"/>
      <c r="M70" s="364"/>
      <c r="N70" s="972">
        <v>46049</v>
      </c>
      <c r="O70" s="364"/>
      <c r="P70" s="1490" t="str">
        <f ca="1">IF(OR(N70&lt;'DATOS GENERALES'!F11,N70&gt;TODAY()+30),"OJO REVISAR FECHA DE EMISION","")</f>
        <v/>
      </c>
      <c r="Q70" s="1490"/>
      <c r="R70" s="1490"/>
      <c r="S70" s="1490"/>
      <c r="T70" s="1490"/>
      <c r="U70" s="364"/>
      <c r="V70" s="364"/>
      <c r="W70" s="364"/>
      <c r="X70" s="364"/>
      <c r="Y70" s="364"/>
      <c r="Z70" s="364"/>
      <c r="AA70" s="364"/>
    </row>
    <row r="71" spans="1:34" ht="14.1" customHeight="1" x14ac:dyDescent="0.25">
      <c r="A71" s="368" t="str">
        <f>'DATOS GENERALES'!B160</f>
        <v>Director Técnico</v>
      </c>
      <c r="B71" s="361"/>
      <c r="C71" s="361"/>
      <c r="D71" s="361"/>
      <c r="E71" s="361"/>
      <c r="F71" s="361"/>
      <c r="G71" s="361"/>
      <c r="H71" s="361"/>
      <c r="I71" s="368"/>
      <c r="J71" s="361"/>
      <c r="K71" s="361"/>
      <c r="L71" s="361"/>
      <c r="M71" s="364"/>
      <c r="N71" s="500" t="s">
        <v>739</v>
      </c>
      <c r="O71" s="500"/>
      <c r="P71" s="500"/>
      <c r="Q71" s="500"/>
      <c r="R71" s="500"/>
      <c r="S71" s="500"/>
      <c r="T71" s="364"/>
      <c r="U71" s="364"/>
      <c r="V71" s="364"/>
      <c r="W71" s="364"/>
      <c r="X71" s="364"/>
      <c r="Y71" s="364"/>
      <c r="Z71" s="364"/>
      <c r="AA71" s="364"/>
    </row>
    <row r="72" spans="1:34" ht="14.1" customHeight="1" x14ac:dyDescent="0.25">
      <c r="A72" s="500" t="s">
        <v>31</v>
      </c>
      <c r="B72" s="504"/>
      <c r="C72" s="504"/>
      <c r="D72" s="504"/>
      <c r="E72" s="504"/>
      <c r="F72" s="504"/>
      <c r="G72" s="504"/>
      <c r="H72" s="504"/>
      <c r="I72" s="504"/>
      <c r="J72" s="504"/>
      <c r="K72" s="504"/>
      <c r="L72" s="504"/>
      <c r="M72" s="504"/>
      <c r="N72" s="371" t="s">
        <v>44</v>
      </c>
      <c r="O72" s="355"/>
      <c r="P72" s="355"/>
      <c r="R72" s="355"/>
      <c r="S72" s="355"/>
      <c r="T72" s="357"/>
      <c r="U72" s="357"/>
      <c r="V72" s="355"/>
      <c r="W72" s="355"/>
      <c r="X72" s="355"/>
      <c r="Y72" s="355"/>
      <c r="Z72" s="355"/>
      <c r="AA72" s="355"/>
    </row>
    <row r="73" spans="1:34" ht="16.5" customHeight="1" x14ac:dyDescent="0.25">
      <c r="A73" s="370" t="s">
        <v>33</v>
      </c>
      <c r="B73" s="355"/>
      <c r="C73" s="355"/>
      <c r="D73" s="355"/>
      <c r="E73" s="355"/>
      <c r="F73" s="355"/>
      <c r="G73" s="355"/>
      <c r="H73" s="355"/>
      <c r="I73" s="355"/>
      <c r="J73" s="355"/>
      <c r="K73" s="355"/>
      <c r="L73" s="355"/>
      <c r="M73" s="355"/>
      <c r="N73" s="985" t="s">
        <v>702</v>
      </c>
      <c r="O73" s="366" t="str">
        <f>'DATOS GENERALES'!J159</f>
        <v>Liseth Dayana Ríos</v>
      </c>
      <c r="T73" s="359"/>
      <c r="U73" s="359"/>
      <c r="V73" s="355"/>
      <c r="Y73" s="504" t="s">
        <v>72</v>
      </c>
      <c r="Z73" s="504"/>
      <c r="AA73" s="501"/>
    </row>
    <row r="74" spans="1:34" ht="16.5" customHeight="1" x14ac:dyDescent="0.25">
      <c r="A74" s="1488"/>
      <c r="B74" s="1488"/>
      <c r="C74" s="1488"/>
      <c r="D74" s="355"/>
      <c r="E74" s="355"/>
      <c r="F74" s="355"/>
      <c r="G74" s="1488"/>
      <c r="H74" s="1488"/>
      <c r="I74" s="1488"/>
      <c r="J74" s="355"/>
      <c r="K74" s="355"/>
      <c r="L74" s="355"/>
      <c r="M74" s="1489"/>
      <c r="N74" s="1489"/>
      <c r="O74" s="1489"/>
      <c r="P74" s="1489"/>
      <c r="Q74" s="1489"/>
      <c r="R74" s="372"/>
      <c r="S74" s="355"/>
      <c r="T74" s="355"/>
      <c r="U74" s="355"/>
      <c r="V74" s="355"/>
      <c r="Y74" s="504" t="str">
        <f>MID(A1,LEN(A1)-11,12)</f>
        <v>LC-FR-60 V13</v>
      </c>
      <c r="Z74" s="504"/>
      <c r="AA74" s="501"/>
    </row>
    <row r="75" spans="1:34" ht="16.5" customHeight="1" x14ac:dyDescent="0.25">
      <c r="A75" s="601"/>
      <c r="B75" s="601"/>
      <c r="C75" s="601"/>
      <c r="D75" s="355"/>
      <c r="E75" s="355"/>
      <c r="F75" s="355"/>
      <c r="G75" s="601"/>
      <c r="H75" s="601"/>
      <c r="I75" s="601"/>
      <c r="J75" s="355"/>
      <c r="K75" s="355"/>
      <c r="L75" s="355"/>
      <c r="M75" s="372"/>
      <c r="N75" s="372"/>
      <c r="O75" s="372"/>
      <c r="P75" s="372"/>
      <c r="Q75" s="372"/>
      <c r="R75" s="372"/>
      <c r="S75" s="355"/>
      <c r="T75" s="355"/>
      <c r="U75" s="355"/>
      <c r="V75" s="355"/>
      <c r="Y75" s="504"/>
      <c r="Z75" s="504"/>
      <c r="AA75" s="501"/>
    </row>
    <row r="76" spans="1:34" ht="14.1" customHeight="1" x14ac:dyDescent="0.25">
      <c r="A76" s="1508" t="s">
        <v>37</v>
      </c>
      <c r="B76" s="1508"/>
      <c r="C76" s="1508"/>
      <c r="D76" s="1508"/>
      <c r="E76" s="1508"/>
      <c r="F76" s="1508"/>
      <c r="G76" s="1508"/>
      <c r="H76" s="1508"/>
      <c r="I76" s="1508"/>
      <c r="J76" s="1508"/>
      <c r="K76" s="1508"/>
      <c r="L76" s="1508"/>
      <c r="M76" s="1508"/>
      <c r="N76" s="1508"/>
      <c r="O76" s="1508"/>
      <c r="P76" s="1508"/>
      <c r="Q76" s="1508"/>
      <c r="R76" s="1508"/>
      <c r="S76" s="1508"/>
      <c r="T76" s="1508"/>
      <c r="U76" s="1508"/>
      <c r="V76" s="1508"/>
      <c r="W76" s="1508"/>
      <c r="X76" s="1508"/>
      <c r="Y76" s="1508"/>
      <c r="Z76" s="1508"/>
      <c r="AA76" s="1508"/>
    </row>
    <row r="77" spans="1:34" ht="14.1" customHeight="1" x14ac:dyDescent="0.25">
      <c r="A77" s="1509" t="s">
        <v>369</v>
      </c>
      <c r="B77" s="1509"/>
      <c r="C77" s="1509"/>
      <c r="D77" s="1509"/>
      <c r="E77" s="1509"/>
      <c r="F77" s="1509"/>
      <c r="G77" s="1509"/>
      <c r="H77" s="1509"/>
      <c r="I77" s="1509"/>
      <c r="J77" s="1509"/>
      <c r="K77" s="1509"/>
      <c r="L77" s="1509"/>
      <c r="M77" s="1509"/>
      <c r="N77" s="1509"/>
      <c r="O77" s="1509"/>
      <c r="P77" s="1509"/>
      <c r="Q77" s="1509"/>
      <c r="R77" s="1509"/>
      <c r="S77" s="1509"/>
      <c r="T77" s="1509"/>
      <c r="U77" s="1509"/>
      <c r="V77" s="1509"/>
      <c r="W77" s="1509"/>
      <c r="X77" s="1509"/>
      <c r="Y77" s="1509"/>
      <c r="Z77" s="1509"/>
      <c r="AA77" s="1509"/>
    </row>
    <row r="78" spans="1:34" ht="14.1" customHeight="1" x14ac:dyDescent="0.25">
      <c r="A78" s="373"/>
      <c r="B78" s="373"/>
      <c r="C78" s="373"/>
      <c r="D78" s="373"/>
      <c r="E78" s="373"/>
      <c r="F78" s="373"/>
      <c r="G78" s="374"/>
      <c r="H78" s="373"/>
      <c r="I78" s="373"/>
      <c r="J78" s="373"/>
      <c r="K78" s="373"/>
      <c r="L78" s="373"/>
      <c r="M78" s="373"/>
      <c r="N78" s="373"/>
      <c r="O78" s="373"/>
      <c r="P78" s="373"/>
      <c r="Q78" s="373"/>
      <c r="R78" s="373"/>
      <c r="S78" s="373"/>
      <c r="T78" s="373"/>
      <c r="U78" s="373"/>
      <c r="V78" s="373"/>
      <c r="W78" s="373"/>
      <c r="X78" s="373"/>
      <c r="Y78" s="373"/>
      <c r="Z78" s="373"/>
      <c r="AA78" s="373"/>
    </row>
    <row r="79" spans="1:34" ht="8.25" customHeight="1" x14ac:dyDescent="0.25">
      <c r="A79" s="375"/>
      <c r="B79" s="375"/>
      <c r="C79" s="375"/>
      <c r="D79" s="375"/>
      <c r="E79" s="375"/>
      <c r="F79" s="375"/>
      <c r="G79" s="375"/>
      <c r="H79" s="375"/>
      <c r="I79" s="375"/>
      <c r="J79" s="375"/>
      <c r="K79" s="375"/>
      <c r="L79" s="375"/>
      <c r="M79" s="372"/>
      <c r="N79" s="372"/>
      <c r="O79" s="372"/>
      <c r="P79" s="372"/>
      <c r="Q79" s="372"/>
      <c r="R79" s="372"/>
      <c r="S79" s="375"/>
      <c r="T79" s="375"/>
      <c r="U79" s="375"/>
      <c r="V79" s="375"/>
      <c r="W79" s="375"/>
      <c r="X79" s="375"/>
      <c r="Y79" s="375"/>
      <c r="Z79" s="355"/>
      <c r="AA79" s="355"/>
    </row>
    <row r="80" spans="1:34" ht="14.1" customHeight="1" x14ac:dyDescent="0.25">
      <c r="A80" s="355"/>
      <c r="B80" s="355"/>
      <c r="C80" s="355"/>
      <c r="D80" s="355"/>
      <c r="E80" s="355"/>
      <c r="F80" s="355"/>
      <c r="G80" s="356"/>
      <c r="H80" s="355"/>
      <c r="I80" s="355"/>
      <c r="J80" s="355"/>
      <c r="K80" s="355"/>
      <c r="L80" s="355"/>
      <c r="M80" s="355"/>
      <c r="N80" s="355"/>
      <c r="O80" s="355"/>
      <c r="P80" s="355"/>
      <c r="R80" s="357"/>
      <c r="S80" s="357"/>
      <c r="T80" s="357"/>
      <c r="U80" s="1533" t="s">
        <v>38</v>
      </c>
      <c r="V80" s="1533"/>
      <c r="W80" s="1533"/>
      <c r="X80" s="1533"/>
      <c r="Y80" s="1513" t="str">
        <f>IF(ISBLANK(X8),"",X8)</f>
        <v>TVO005-26A</v>
      </c>
      <c r="Z80" s="1513"/>
      <c r="AA80" s="1513"/>
    </row>
    <row r="81" spans="1:43" ht="14.1" customHeight="1" x14ac:dyDescent="0.25">
      <c r="A81" s="355"/>
      <c r="B81" s="357"/>
      <c r="C81" s="357"/>
      <c r="D81" s="357"/>
      <c r="E81" s="357"/>
      <c r="F81" s="357"/>
      <c r="G81" s="369"/>
      <c r="H81" s="357"/>
      <c r="I81" s="357"/>
      <c r="J81" s="355"/>
      <c r="K81" s="355"/>
      <c r="L81" s="355"/>
      <c r="M81" s="355"/>
      <c r="N81" s="355"/>
      <c r="O81" s="355"/>
      <c r="P81" s="355"/>
      <c r="R81" s="368"/>
      <c r="S81" s="368"/>
      <c r="T81" s="368"/>
      <c r="U81" s="1534" t="s">
        <v>370</v>
      </c>
      <c r="V81" s="1534"/>
      <c r="W81" s="1534"/>
      <c r="X81" s="1534"/>
      <c r="Y81" s="355"/>
      <c r="Z81" s="355"/>
      <c r="AA81" s="355"/>
    </row>
    <row r="82" spans="1:43" ht="14.1" customHeight="1" x14ac:dyDescent="0.25">
      <c r="A82" s="357"/>
      <c r="B82" s="357"/>
      <c r="C82" s="357"/>
      <c r="D82" s="357"/>
      <c r="E82" s="357"/>
      <c r="F82" s="357"/>
      <c r="G82" s="357"/>
      <c r="H82" s="357"/>
      <c r="I82" s="357"/>
      <c r="J82" s="357"/>
      <c r="K82" s="357"/>
      <c r="L82" s="355"/>
      <c r="M82" s="355"/>
      <c r="N82" s="355"/>
      <c r="O82" s="355"/>
      <c r="P82" s="360"/>
      <c r="Q82" s="360"/>
      <c r="R82" s="360"/>
      <c r="S82" s="360"/>
      <c r="T82" s="360"/>
      <c r="U82" s="360"/>
      <c r="V82" s="360"/>
      <c r="W82" s="355"/>
      <c r="X82" s="355"/>
      <c r="Y82" s="355"/>
      <c r="Z82" s="355"/>
      <c r="AA82" s="355"/>
    </row>
    <row r="83" spans="1:43" ht="18.75" customHeight="1" x14ac:dyDescent="0.25">
      <c r="A83" s="1424" t="s">
        <v>47</v>
      </c>
      <c r="B83" s="1424"/>
      <c r="C83" s="1424"/>
      <c r="D83" s="1424"/>
      <c r="E83" s="1424"/>
      <c r="F83" s="1424"/>
      <c r="G83" s="1424"/>
      <c r="H83" s="1424"/>
      <c r="I83" s="1424"/>
      <c r="J83" s="1424"/>
      <c r="K83" s="1424"/>
      <c r="L83" s="1424"/>
      <c r="M83" s="1424"/>
      <c r="N83" s="1424"/>
      <c r="O83" s="355"/>
      <c r="P83" s="355"/>
      <c r="Q83" s="357"/>
      <c r="R83" s="357"/>
      <c r="S83" s="355"/>
      <c r="T83" s="355"/>
      <c r="U83" s="355"/>
      <c r="V83" s="355"/>
      <c r="W83" s="355"/>
      <c r="X83" s="355"/>
      <c r="Y83" s="355"/>
      <c r="Z83" s="355"/>
      <c r="AA83" s="355"/>
    </row>
    <row r="84" spans="1:43" ht="15" customHeight="1" x14ac:dyDescent="0.25">
      <c r="A84" s="500"/>
      <c r="B84" s="500"/>
      <c r="C84" s="500"/>
      <c r="D84" s="500"/>
      <c r="E84" s="500"/>
      <c r="F84" s="500"/>
      <c r="G84" s="500"/>
      <c r="H84" s="500"/>
      <c r="I84" s="500"/>
      <c r="J84" s="500"/>
      <c r="K84" s="500"/>
      <c r="L84" s="500"/>
      <c r="M84" s="500"/>
      <c r="N84" s="500"/>
      <c r="O84" s="355"/>
      <c r="P84" s="355"/>
      <c r="Q84" s="357"/>
      <c r="R84" s="357"/>
      <c r="S84" s="355"/>
      <c r="T84" s="355"/>
      <c r="U84" s="355"/>
      <c r="V84" s="355"/>
      <c r="W84" s="355"/>
      <c r="X84" s="355"/>
      <c r="Y84" s="355"/>
      <c r="Z84" s="355"/>
      <c r="AA84" s="355"/>
    </row>
    <row r="85" spans="1:43" ht="14.1" customHeight="1" x14ac:dyDescent="0.25">
      <c r="A85" s="1425" t="s">
        <v>48</v>
      </c>
      <c r="B85" s="1425"/>
      <c r="C85" s="1425"/>
      <c r="D85" s="1425"/>
      <c r="E85" s="1425"/>
      <c r="F85" s="1499" t="s">
        <v>377</v>
      </c>
      <c r="G85" s="1499"/>
      <c r="H85" s="494"/>
      <c r="I85" s="559">
        <f>'DATOS GENERALES'!M45</f>
        <v>20.786416832831947</v>
      </c>
      <c r="J85" s="521" t="s">
        <v>23</v>
      </c>
      <c r="K85" s="494"/>
      <c r="L85" s="521" t="s">
        <v>378</v>
      </c>
      <c r="M85" s="494"/>
      <c r="N85" s="559">
        <f>'DATOS GENERALES'!M46</f>
        <v>20.983065402808375</v>
      </c>
      <c r="O85" s="521" t="s">
        <v>23</v>
      </c>
      <c r="Q85" s="357"/>
      <c r="R85" s="357"/>
      <c r="S85" s="357"/>
      <c r="T85" s="357"/>
      <c r="U85" s="357"/>
      <c r="V85" s="357"/>
      <c r="W85" s="357"/>
      <c r="X85" s="357"/>
      <c r="Y85" s="357"/>
      <c r="Z85" s="357"/>
      <c r="AA85" s="357"/>
      <c r="AD85" s="14" t="str">
        <f>AD94</f>
        <v/>
      </c>
    </row>
    <row r="86" spans="1:43" ht="17.25" customHeight="1" x14ac:dyDescent="0.25">
      <c r="A86" s="1426" t="s">
        <v>249</v>
      </c>
      <c r="B86" s="1426"/>
      <c r="C86" s="1426"/>
      <c r="D86" s="1426"/>
      <c r="E86" s="1426"/>
      <c r="F86" s="1541" t="s">
        <v>377</v>
      </c>
      <c r="G86" s="1541"/>
      <c r="H86" s="558"/>
      <c r="I86" s="560">
        <f>'DATOS GENERALES'!P45</f>
        <v>54.29141783194715</v>
      </c>
      <c r="J86" s="530" t="s">
        <v>8</v>
      </c>
      <c r="K86" s="558"/>
      <c r="L86" s="530" t="s">
        <v>378</v>
      </c>
      <c r="M86" s="558"/>
      <c r="N86" s="560">
        <f>'DATOS GENERALES'!P46</f>
        <v>55.90079436867709</v>
      </c>
      <c r="O86" s="530" t="str">
        <f>J86</f>
        <v>% hr</v>
      </c>
      <c r="Q86" s="377"/>
      <c r="R86" s="377"/>
      <c r="S86" s="378"/>
      <c r="T86" s="379"/>
      <c r="U86" s="379"/>
      <c r="V86" s="380"/>
      <c r="W86" s="380"/>
      <c r="X86" s="380"/>
      <c r="Y86" s="381"/>
      <c r="Z86" s="381"/>
      <c r="AA86" s="381"/>
    </row>
    <row r="87" spans="1:43" ht="17.25" customHeight="1" x14ac:dyDescent="0.25">
      <c r="A87" s="1426" t="s">
        <v>89</v>
      </c>
      <c r="B87" s="1426"/>
      <c r="C87" s="1426"/>
      <c r="D87" s="1426"/>
      <c r="E87" s="1426"/>
      <c r="F87" s="1541" t="s">
        <v>377</v>
      </c>
      <c r="G87" s="1541"/>
      <c r="H87" s="558"/>
      <c r="I87" s="561">
        <f>'DATOS GENERALES'!S45</f>
        <v>910.34412607728154</v>
      </c>
      <c r="J87" s="530" t="s">
        <v>61</v>
      </c>
      <c r="K87" s="558"/>
      <c r="L87" s="530" t="s">
        <v>378</v>
      </c>
      <c r="M87" s="558"/>
      <c r="N87" s="561">
        <f>'DATOS GENERALES'!S46</f>
        <v>911.34039976853819</v>
      </c>
      <c r="O87" s="530" t="str">
        <f>J87</f>
        <v>hPa</v>
      </c>
      <c r="Q87" s="380"/>
      <c r="R87" s="1423" t="str">
        <f>IF(AND('medicion conductividad del agua'!C10="", 'DATOS GENERALES'!C70&gt;0),"OJO FALTA VERIFICAR CONDUTIVIDAD Y PH DEL AGUA","")</f>
        <v/>
      </c>
      <c r="S87" s="1423"/>
      <c r="T87" s="1423"/>
      <c r="U87" s="1423"/>
      <c r="V87" s="1423"/>
      <c r="W87" s="1423"/>
      <c r="X87" s="1423"/>
      <c r="Y87" s="1423"/>
      <c r="Z87" s="381"/>
      <c r="AA87" s="381"/>
    </row>
    <row r="88" spans="1:43" ht="11.25" customHeight="1" x14ac:dyDescent="0.25">
      <c r="A88" s="379"/>
      <c r="B88" s="379"/>
      <c r="C88" s="379"/>
      <c r="D88" s="379"/>
      <c r="E88" s="379"/>
      <c r="F88" s="355"/>
      <c r="G88" s="382"/>
      <c r="H88" s="382"/>
      <c r="I88" s="380"/>
      <c r="J88" s="383"/>
      <c r="K88" s="383"/>
      <c r="L88" s="384"/>
      <c r="M88" s="384"/>
      <c r="N88" s="380"/>
      <c r="O88" s="380"/>
      <c r="P88" s="380"/>
      <c r="Q88" s="380"/>
      <c r="R88" s="380"/>
      <c r="S88" s="381"/>
      <c r="T88" s="379"/>
      <c r="U88" s="379"/>
      <c r="V88" s="379"/>
      <c r="W88" s="379"/>
      <c r="X88" s="379"/>
      <c r="Y88" s="381"/>
      <c r="Z88" s="381"/>
      <c r="AA88" s="381"/>
    </row>
    <row r="89" spans="1:43" ht="21" customHeight="1" x14ac:dyDescent="0.25">
      <c r="A89" s="357" t="s">
        <v>64</v>
      </c>
      <c r="B89" s="355"/>
      <c r="C89" s="355"/>
      <c r="D89" s="355"/>
      <c r="E89" s="355"/>
      <c r="F89" s="355"/>
      <c r="G89" s="356"/>
      <c r="H89" s="355"/>
      <c r="I89" s="355"/>
      <c r="J89" s="355"/>
      <c r="K89" s="355"/>
      <c r="L89" s="384"/>
      <c r="M89" s="385"/>
      <c r="N89" s="385"/>
      <c r="O89" s="386"/>
      <c r="P89" s="386"/>
      <c r="Q89" s="386"/>
      <c r="R89" s="386"/>
      <c r="S89" s="386"/>
      <c r="T89" s="386"/>
      <c r="U89" s="386"/>
      <c r="V89" s="386"/>
      <c r="W89" s="386"/>
      <c r="X89" s="386"/>
      <c r="Y89" s="386"/>
      <c r="Z89" s="355"/>
      <c r="AA89" s="355"/>
    </row>
    <row r="90" spans="1:43" ht="14.1" customHeight="1" x14ac:dyDescent="0.25">
      <c r="A90" s="357"/>
      <c r="B90" s="357"/>
      <c r="C90" s="357"/>
      <c r="D90" s="357"/>
      <c r="E90" s="357"/>
      <c r="F90" s="357"/>
      <c r="G90" s="357"/>
      <c r="H90" s="357"/>
      <c r="I90" s="357"/>
      <c r="J90" s="355"/>
      <c r="K90" s="355"/>
      <c r="L90" s="355"/>
      <c r="M90" s="355"/>
      <c r="N90" s="355"/>
      <c r="O90" s="355"/>
      <c r="P90" s="355"/>
      <c r="Q90" s="355"/>
      <c r="R90" s="355"/>
      <c r="S90" s="355"/>
      <c r="T90" s="355"/>
      <c r="U90" s="355"/>
      <c r="V90" s="355"/>
      <c r="W90" s="355"/>
      <c r="X90" s="355"/>
      <c r="Y90" s="355"/>
      <c r="Z90" s="355"/>
      <c r="AA90" s="355"/>
    </row>
    <row r="91" spans="1:43" ht="63.75" customHeight="1" x14ac:dyDescent="0.25">
      <c r="A91" s="1422" t="str">
        <f>CONCATENATE("Punto Ajustado"," [",'DATOS GENERALES'!H68,"]")</f>
        <v>Punto Ajustado [µL]</v>
      </c>
      <c r="B91" s="1422"/>
      <c r="C91" s="1433" t="s">
        <v>388</v>
      </c>
      <c r="D91" s="1433"/>
      <c r="E91" s="1433"/>
      <c r="F91" s="1433" t="s">
        <v>252</v>
      </c>
      <c r="G91" s="1433"/>
      <c r="H91" s="1433"/>
      <c r="I91" s="1433" t="s">
        <v>316</v>
      </c>
      <c r="J91" s="1433"/>
      <c r="K91" s="1433" t="s">
        <v>338</v>
      </c>
      <c r="L91" s="1433"/>
      <c r="M91" s="1433" t="s">
        <v>387</v>
      </c>
      <c r="N91" s="1433"/>
      <c r="O91" s="1433" t="str">
        <f>CONCATENATE("Promedio Volumen calculado"," [",'DATOS GENERALES'!N21,"]",)</f>
        <v>Promedio Volumen calculado [µL]</v>
      </c>
      <c r="P91" s="1433"/>
      <c r="Q91" s="1433" t="str">
        <f>CONCATENATE("Promedio error  del instrumento"," [",'DATOS GENERALES'!N21,"]",)</f>
        <v>Promedio error  del instrumento [µL]</v>
      </c>
      <c r="R91" s="1433"/>
      <c r="S91" s="1422" t="s">
        <v>379</v>
      </c>
      <c r="T91" s="1422"/>
      <c r="U91" s="1433" t="s">
        <v>380</v>
      </c>
      <c r="V91" s="1433"/>
      <c r="W91" s="1433" t="str">
        <f>CONCATENATE("Incertidumbre Exp."," [",'DATOS GENERALES'!N21,"]",)</f>
        <v>Incertidumbre Exp. [µL]</v>
      </c>
      <c r="X91" s="1433"/>
      <c r="Y91" s="1422" t="s">
        <v>70</v>
      </c>
      <c r="Z91" s="1422"/>
      <c r="AA91" s="1068" t="s">
        <v>463</v>
      </c>
      <c r="AH91" s="629" t="s">
        <v>385</v>
      </c>
      <c r="AM91" s="630" t="s">
        <v>426</v>
      </c>
      <c r="AN91" s="631" t="str">
        <f>IF(AND(AN92="ok",AN93="ok",AN94="ok"),"Ok","Revisar CMC")</f>
        <v>Ok</v>
      </c>
      <c r="AO91" s="632" t="s">
        <v>568</v>
      </c>
      <c r="AP91" s="632" t="s">
        <v>567</v>
      </c>
    </row>
    <row r="92" spans="1:43" ht="17.25" customHeight="1" x14ac:dyDescent="0.25">
      <c r="A92" s="1432" t="str">
        <f>IF(ISBLANK('DATOS GENERALES'!F68),"",CONCATENATE('DATOS GENERALES'!F68))</f>
        <v>100</v>
      </c>
      <c r="B92" s="1432"/>
      <c r="C92" s="1436">
        <f>IF(ISBLANK('DATOS GENERALES'!A80),"",'DATOS GENERALES'!A80)</f>
        <v>25.680455000000002</v>
      </c>
      <c r="D92" s="1436"/>
      <c r="E92" s="1436"/>
      <c r="F92" s="1500">
        <f>IF(ISBLANK('DATOS GENERALES'!C80),"",'DATOS GENERALES'!C80)</f>
        <v>25.783267000000002</v>
      </c>
      <c r="G92" s="1500"/>
      <c r="H92" s="1500"/>
      <c r="I92" s="1435">
        <f>'DATOS GENERALES'!E80</f>
        <v>20.814</v>
      </c>
      <c r="J92" s="1435"/>
      <c r="K92" s="1434">
        <f>'DATOS GENERALES'!M80</f>
        <v>1.0724138706030522E-3</v>
      </c>
      <c r="L92" s="1434"/>
      <c r="M92" s="1434">
        <f>'DATOS GENERALES'!O80</f>
        <v>0.99806853415596919</v>
      </c>
      <c r="N92" s="1434"/>
      <c r="O92" s="1464" t="str">
        <f>FIXED('DATOS GENERALES'!Q80,AB92)</f>
        <v>103,09</v>
      </c>
      <c r="P92" s="1464"/>
      <c r="Q92" s="1465">
        <f>'DATOS GENERALES'!S80</f>
        <v>3.0935875463061095</v>
      </c>
      <c r="R92" s="1465"/>
      <c r="S92" s="1465" t="str">
        <f>FIXED('DATOS GENERALES'!V82,AB92)</f>
        <v>0,31</v>
      </c>
      <c r="T92" s="1465"/>
      <c r="U92" s="1464" t="str">
        <f>FIXED('DATOS GENERALES'!V81,AB92)</f>
        <v>0,03</v>
      </c>
      <c r="V92" s="1464"/>
      <c r="W92" s="1539" t="str">
        <f>IF(AP92="Si",FIXED('INCERTIDUMBRE DE LA MEDIDA'!P63+AO92,AB92),FIXED('INCERTIDUMBRE DE LA MEDIDA'!P63,AB92))</f>
        <v>0,65</v>
      </c>
      <c r="X92" s="1539"/>
      <c r="Y92" s="1467">
        <f>IF('INCERTIDUMBRE DE LA MEDIDA'!P62="","",'INCERTIDUMBRE DE LA MEDIDA'!P62)</f>
        <v>2.0182803492058916</v>
      </c>
      <c r="Z92" s="1467"/>
      <c r="AA92" s="531" t="str">
        <f>'DATOS GENERALES'!S83</f>
        <v>N.A.</v>
      </c>
      <c r="AB92" s="449">
        <v>2</v>
      </c>
      <c r="AC92" s="354"/>
      <c r="AD92" s="632" t="str">
        <f>IF(AP92="Si",CONCATENATE("Se ajusto valor de incertidumbre a valor minimo permisible por CMC, se ajusto de : ",FIXED('INCERTIDUMBRE DE LA MEDIDA'!P63,AB92)," ",'DATOS GENERALES'!H68," a ",'Certificado de calibración'!AM$92," ",'DATOS GENERALES'!H68," ","para punto evaluado de: ",'DATOS GENERALES'!F68," ",'DATOS GENERALES'!H68),"")</f>
        <v/>
      </c>
      <c r="AH92" s="1462">
        <f>'DATOS GENERALES'!S80</f>
        <v>3.0935875463061095</v>
      </c>
      <c r="AI92" s="1462"/>
      <c r="AJ92" s="633">
        <f>IF(AP92="Si",('INCERTIDUMBRE DE LA MEDIDA'!P63+AM92-'INCERTIDUMBRE DE LA MEDIDA'!P63),('INCERTIDUMBRE DE LA MEDIDA'!P63))</f>
        <v>0.64980120000000008</v>
      </c>
      <c r="AK92" s="634">
        <f>('DATOS GENERALES'!F68)</f>
        <v>100</v>
      </c>
      <c r="AM92" s="1461">
        <f>IF(AND('DATOS GENERALES'!$M$21&lt;=Alcance!B3,'DATOS GENERALES'!$M$21&gt;=Alcance!A3,'DATOS GENERALES'!$N$21="µL"),Alcance!J3,
IF(AND('DATOS GENERALES'!$M$21&lt;=Alcance!B4,'DATOS GENERALES'!$M$21&gt;=Alcance!A4,'DATOS GENERALES'!$N$21="µL"),Alcance!J4,
IF(AND('DATOS GENERALES'!$M$21&lt;=Alcance!B5,'DATOS GENERALES'!$M$21&gt;=Alcance!A5,'DATOS GENERALES'!$N$21="mL"),Alcance!J5,
IF(AND('DATOS GENERALES'!$M$21&lt;=Alcance!B6,'DATOS GENERALES'!$M$21&gt;=Alcance!A6,'DATOS GENERALES'!$N$21="mL"),Alcance!J6,
IF(AND('DATOS GENERALES'!$M$21&lt;=Alcance!B7,'DATOS GENERALES'!$M$21&gt;=Alcance!A7,'DATOS GENERALES'!$N$21="µL"),Alcance!J7,
"No Encontrado")))))</f>
        <v>0.27</v>
      </c>
      <c r="AN92" s="635" t="str">
        <f>IF($AM$92&lt;AJ92, "Ok", "Revisar CMC")</f>
        <v>Ok</v>
      </c>
      <c r="AO92" s="636" t="str">
        <f>IF(AN92="Revisar CMC",AM92-'INCERTIDUMBRE DE LA MEDIDA'!P63,"")</f>
        <v/>
      </c>
      <c r="AP92" s="1069"/>
      <c r="AQ92" s="14" t="str">
        <f>IF(AP92="Si",CONCATENATE("CMC Ajustada en: ",FIXED(AO92,AB92)),"")</f>
        <v/>
      </c>
    </row>
    <row r="93" spans="1:43" ht="15.75" x14ac:dyDescent="0.25">
      <c r="A93" s="1432" t="str">
        <f>IF(ISBLANK('DATOS GENERALES'!F84),"",CONCATENATE('DATOS GENERALES'!F84))</f>
        <v>500</v>
      </c>
      <c r="B93" s="1432"/>
      <c r="C93" s="1436">
        <f>IF(ISBLANK('DATOS GENERALES'!A96),"",'DATOS GENERALES'!A96)</f>
        <v>27.541302000000002</v>
      </c>
      <c r="D93" s="1436"/>
      <c r="E93" s="1436"/>
      <c r="F93" s="1500">
        <f>IF(ISBLANK('DATOS GENERALES'!C96),"",'DATOS GENERALES'!C96)</f>
        <v>28.043385000000001</v>
      </c>
      <c r="G93" s="1500"/>
      <c r="H93" s="1500"/>
      <c r="I93" s="1435">
        <f>'DATOS GENERALES'!E96</f>
        <v>20.715000000000003</v>
      </c>
      <c r="J93" s="1435"/>
      <c r="K93" s="1434">
        <f>'DATOS GENERALES'!M96</f>
        <v>1.0727635177986464E-3</v>
      </c>
      <c r="L93" s="1434"/>
      <c r="M93" s="1434">
        <f>'DATOS GENERALES'!O96</f>
        <v>0.99808961483556646</v>
      </c>
      <c r="N93" s="1434"/>
      <c r="O93" s="1464" t="str">
        <f>FIXED('DATOS GENERALES'!Q96,AB93)</f>
        <v>503,45</v>
      </c>
      <c r="P93" s="1464"/>
      <c r="Q93" s="1465">
        <f>'DATOS GENERALES'!S96</f>
        <v>3.4518237993391891</v>
      </c>
      <c r="R93" s="1465"/>
      <c r="S93" s="1465" t="str">
        <f>FIXED('DATOS GENERALES'!V98,AB93)</f>
        <v>0,35</v>
      </c>
      <c r="T93" s="1465"/>
      <c r="U93" s="1464" t="str">
        <f>FIXED('DATOS GENERALES'!V97,AB93)</f>
        <v>0,03</v>
      </c>
      <c r="V93" s="1464"/>
      <c r="W93" s="1464" t="str">
        <f>IF(AP93="Si",FIXED('INCERTIDUMBRE DE LA MEDIDA'!P124+AO93,AB93),FIXED('INCERTIDUMBRE DE LA MEDIDA'!P124,AB93))</f>
        <v>0,94</v>
      </c>
      <c r="X93" s="1464"/>
      <c r="Y93" s="1467">
        <f>IF('INCERTIDUMBRE DE LA MEDIDA'!P123="","",'INCERTIDUMBRE DE LA MEDIDA'!P123)</f>
        <v>2.0087200696876253</v>
      </c>
      <c r="Z93" s="1467"/>
      <c r="AA93" s="531" t="str">
        <f>'DATOS GENERALES'!S99</f>
        <v>N.A.</v>
      </c>
      <c r="AB93" s="449">
        <v>2</v>
      </c>
      <c r="AC93" s="354"/>
      <c r="AD93" s="632" t="str">
        <f>IF(AP93="Si",CONCATENATE("Se ajusto valor de incertidumbre a valor minimo permisible por CMC, se ajusto de : ",FIXED('INCERTIDUMBRE DE LA MEDIDA'!P124,AB93)," ",'DATOS GENERALES'!H84," a ",'Certificado de calibración'!$AM$92," ",'DATOS GENERALES'!H84," ","para punto evaluado de: ",'DATOS GENERALES'!F84," ",'DATOS GENERALES'!H84),"")</f>
        <v/>
      </c>
      <c r="AH93" s="1462">
        <f>'DATOS GENERALES'!S96</f>
        <v>3.4518237993391891</v>
      </c>
      <c r="AI93" s="1462"/>
      <c r="AJ93" s="633">
        <f>IF(AP93="Si",('INCERTIDUMBRE DE LA MEDIDA'!P124+AM92-'INCERTIDUMBRE DE LA MEDIDA'!P124),('INCERTIDUMBRE DE LA MEDIDA'!P124))</f>
        <v>0.93572359999999999</v>
      </c>
      <c r="AK93" s="634">
        <f>('DATOS GENERALES'!F84)</f>
        <v>500</v>
      </c>
      <c r="AM93" s="1461"/>
      <c r="AN93" s="635" t="str">
        <f t="shared" ref="AN93:AN96" si="0">IF($AM$92&lt;AJ93, "Ok", "Revisar CMC")</f>
        <v>Ok</v>
      </c>
      <c r="AO93" s="636" t="str">
        <f>IF(AN93="Revisar CMC",AM92-'INCERTIDUMBRE DE LA MEDIDA'!P124,"")</f>
        <v/>
      </c>
      <c r="AP93" s="693"/>
      <c r="AQ93" s="14" t="str">
        <f>IF(AP93="Si",CONCATENATE("CMC Ajustada en: ",FIXED(AO93,AB93)),"")</f>
        <v/>
      </c>
    </row>
    <row r="94" spans="1:43" ht="15.75" x14ac:dyDescent="0.25">
      <c r="A94" s="1432" t="str">
        <f>IF(ISBLANK('DATOS GENERALES'!F100),"",CONCATENATE('DATOS GENERALES'!F100))</f>
        <v>1000</v>
      </c>
      <c r="B94" s="1432"/>
      <c r="C94" s="1436">
        <f>IF(ISBLANK('DATOS GENERALES'!A112),"",'DATOS GENERALES'!A112)</f>
        <v>29.741194000000007</v>
      </c>
      <c r="D94" s="1436"/>
      <c r="E94" s="1436"/>
      <c r="F94" s="1500">
        <f>IF(ISBLANK('DATOS GENERALES'!C112),"",'DATOS GENERALES'!C112)</f>
        <v>30.742905999999998</v>
      </c>
      <c r="G94" s="1500"/>
      <c r="H94" s="1500"/>
      <c r="I94" s="1435">
        <f>'DATOS GENERALES'!E112</f>
        <v>20.639000000000003</v>
      </c>
      <c r="J94" s="1435"/>
      <c r="K94" s="1434">
        <f>'DATOS GENERALES'!M112</f>
        <v>1.0736426456986997E-3</v>
      </c>
      <c r="L94" s="1434"/>
      <c r="M94" s="1434">
        <f>'DATOS GENERALES'!O112</f>
        <v>0.99810573126845648</v>
      </c>
      <c r="N94" s="1434"/>
      <c r="O94" s="1464" t="str">
        <f>FIXED('DATOS GENERALES'!Q112,AB94)</f>
        <v>1.004,4</v>
      </c>
      <c r="P94" s="1464"/>
      <c r="Q94" s="1465">
        <f>'DATOS GENERALES'!S112</f>
        <v>4.4438303975805526</v>
      </c>
      <c r="R94" s="1465"/>
      <c r="S94" s="1465" t="str">
        <f>FIXED('DATOS GENERALES'!V114,AB94)</f>
        <v>0,4</v>
      </c>
      <c r="T94" s="1465"/>
      <c r="U94" s="1464" t="str">
        <f>FIXED('DATOS GENERALES'!V113,AB94)</f>
        <v>0,1</v>
      </c>
      <c r="V94" s="1464"/>
      <c r="W94" s="1464" t="str">
        <f>IF(AP94="Si",FIXED('INCERTIDUMBRE DE LA MEDIDA'!P185+AO94,AB94),FIXED('INCERTIDUMBRE DE LA MEDIDA'!P185,AB94))</f>
        <v>1,6</v>
      </c>
      <c r="X94" s="1464"/>
      <c r="Y94" s="1467">
        <f>IF('INCERTIDUMBRE DE LA MEDIDA'!P184="","",'INCERTIDUMBRE DE LA MEDIDA'!P184)</f>
        <v>2.013986391042224</v>
      </c>
      <c r="Z94" s="1467"/>
      <c r="AA94" s="531" t="str">
        <f>'DATOS GENERALES'!S115</f>
        <v>N.A.</v>
      </c>
      <c r="AB94" s="449">
        <v>1</v>
      </c>
      <c r="AC94" s="354"/>
      <c r="AD94" s="632" t="str">
        <f>IF(AP94="Si",CONCATENATE("Se ajusto valor de incertidumbre a valor minimo permisible por CMC, se ajusto de : ",FIXED('INCERTIDUMBRE DE LA MEDIDA'!P185,AB94)," ",'DATOS GENERALES'!H100," a ",'Certificado de calibración'!$AM$92," ",'DATOS GENERALES'!H100," ","para punto evaluado de: ",'DATOS GENERALES'!F100," ",'DATOS GENERALES'!H100),"")</f>
        <v/>
      </c>
      <c r="AH94" s="1462">
        <f>'DATOS GENERALES'!S112</f>
        <v>4.4438303975805526</v>
      </c>
      <c r="AI94" s="1462"/>
      <c r="AJ94" s="633">
        <f>IF(AP94="Si",('INCERTIDUMBRE DE LA MEDIDA'!P185+AM92-'INCERTIDUMBRE DE LA MEDIDA'!P185),('INCERTIDUMBRE DE LA MEDIDA'!P185))</f>
        <v>1.6131149</v>
      </c>
      <c r="AK94" s="634">
        <f>('DATOS GENERALES'!F100)</f>
        <v>1000</v>
      </c>
      <c r="AM94" s="1461"/>
      <c r="AN94" s="637" t="str">
        <f t="shared" si="0"/>
        <v>Ok</v>
      </c>
      <c r="AO94" s="636" t="str">
        <f>IF(AN94="Revisar CMC",AM92-'INCERTIDUMBRE DE LA MEDIDA'!P185," ")</f>
        <v xml:space="preserve"> </v>
      </c>
      <c r="AP94" s="645"/>
      <c r="AQ94" s="14" t="str">
        <f>IF(AP94="Si",CONCATENATE("CMC Ajustada en: ",FIXED(AO94,AB94)),"")</f>
        <v/>
      </c>
    </row>
    <row r="95" spans="1:43" ht="15.75" hidden="1" x14ac:dyDescent="0.25">
      <c r="A95" s="1432" t="str">
        <f>IF(ISBLANK('DATOS GENERALES'!F116),"",'DATOS GENERALES'!F116)</f>
        <v/>
      </c>
      <c r="B95" s="1432"/>
      <c r="C95" s="1436" t="str">
        <f>IF(ISBLANK('DATOS GENERALES'!A128),"",'DATOS GENERALES'!A128)</f>
        <v xml:space="preserve"> </v>
      </c>
      <c r="D95" s="1436"/>
      <c r="E95" s="1436"/>
      <c r="F95" s="1500" t="str">
        <f>IF(ISBLANK('DATOS GENERALES'!C128),"",'DATOS GENERALES'!C128)</f>
        <v xml:space="preserve"> </v>
      </c>
      <c r="G95" s="1500"/>
      <c r="H95" s="1500"/>
      <c r="I95" s="1435" t="str">
        <f>'DATOS GENERALES'!E128</f>
        <v xml:space="preserve"> </v>
      </c>
      <c r="J95" s="1435"/>
      <c r="K95" s="1434" t="e">
        <f>'DATOS GENERALES'!M128</f>
        <v>#VALUE!</v>
      </c>
      <c r="L95" s="1434"/>
      <c r="M95" s="1434" t="e">
        <f>'DATOS GENERALES'!O128</f>
        <v>#VALUE!</v>
      </c>
      <c r="N95" s="1434"/>
      <c r="O95" s="1464" t="e">
        <f>'DATOS GENERALES'!Q128</f>
        <v>#VALUE!</v>
      </c>
      <c r="P95" s="1464"/>
      <c r="Q95" s="1468" t="e">
        <f>'DATOS GENERALES'!S128</f>
        <v>#VALUE!</v>
      </c>
      <c r="R95" s="1468"/>
      <c r="S95" s="1468" t="e">
        <f>FIXED('DATOS GENERALES'!V130,AB95)</f>
        <v>#VALUE!</v>
      </c>
      <c r="T95" s="1468"/>
      <c r="U95" s="1464" t="e">
        <f>FIXED('DATOS GENERALES'!V129,AB95)</f>
        <v>#VALUE!</v>
      </c>
      <c r="V95" s="1464"/>
      <c r="W95" s="1464" t="e">
        <f>FIXED('INCERTIDUMBRE DE LA MEDIDA'!P246,AB95)</f>
        <v>#VALUE!</v>
      </c>
      <c r="X95" s="1464"/>
      <c r="Y95" s="1467" t="e">
        <f>IF('INCERTIDUMBRE DE LA MEDIDA'!P245="","",'INCERTIDUMBRE DE LA MEDIDA'!P245)</f>
        <v>#VALUE!</v>
      </c>
      <c r="Z95" s="1467"/>
      <c r="AA95" s="531" t="str">
        <f>'DATOS GENERALES'!S131</f>
        <v>N.A.</v>
      </c>
      <c r="AB95" s="449">
        <v>2</v>
      </c>
      <c r="AC95" s="354"/>
      <c r="AH95" s="1462" t="e">
        <f>'DATOS GENERALES'!S128</f>
        <v>#VALUE!</v>
      </c>
      <c r="AI95" s="1462"/>
      <c r="AJ95" s="633" t="e">
        <f>IF('DATOS GENERALES'!H69="µL",('INCERTIDUMBRE DE LA MEDIDA'!P246),('INCERTIDUMBRE DE LA MEDIDA'!P246))</f>
        <v>#VALUE!</v>
      </c>
      <c r="AK95" s="634">
        <f>('DATOS GENERALES'!F116)</f>
        <v>0</v>
      </c>
      <c r="AM95" s="638"/>
      <c r="AN95" s="635" t="e">
        <f t="shared" si="0"/>
        <v>#VALUE!</v>
      </c>
      <c r="AO95" s="636" t="e">
        <f>IF(AN95="Revisar CMC",AM92-'INCERTIDUMBRE DE LA MEDIDA'!P246,"")</f>
        <v>#VALUE!</v>
      </c>
      <c r="AP95" s="635"/>
    </row>
    <row r="96" spans="1:43" ht="15.75" hidden="1" x14ac:dyDescent="0.25">
      <c r="A96" s="1432" t="str">
        <f>IF(ISBLANK('DATOS GENERALES'!F132),"",'DATOS GENERALES'!F132)</f>
        <v/>
      </c>
      <c r="B96" s="1432"/>
      <c r="C96" s="1436" t="str">
        <f>IF(ISBLANK('DATOS GENERALES'!A144),"",'DATOS GENERALES'!A144)</f>
        <v xml:space="preserve"> </v>
      </c>
      <c r="D96" s="1436"/>
      <c r="E96" s="1436"/>
      <c r="F96" s="1500" t="str">
        <f>IF(ISBLANK('DATOS GENERALES'!C144),"",'DATOS GENERALES'!C144)</f>
        <v xml:space="preserve"> </v>
      </c>
      <c r="G96" s="1500"/>
      <c r="H96" s="1500"/>
      <c r="I96" s="1435" t="str">
        <f>'DATOS GENERALES'!E144</f>
        <v xml:space="preserve"> </v>
      </c>
      <c r="J96" s="1435"/>
      <c r="K96" s="1434" t="e">
        <f>'DATOS GENERALES'!M144</f>
        <v>#VALUE!</v>
      </c>
      <c r="L96" s="1434"/>
      <c r="M96" s="1434" t="e">
        <f>'DATOS GENERALES'!O144</f>
        <v>#VALUE!</v>
      </c>
      <c r="N96" s="1434"/>
      <c r="O96" s="1464" t="e">
        <f>'DATOS GENERALES'!Q144</f>
        <v>#VALUE!</v>
      </c>
      <c r="P96" s="1464"/>
      <c r="Q96" s="1468" t="e">
        <f>'DATOS GENERALES'!S144</f>
        <v>#VALUE!</v>
      </c>
      <c r="R96" s="1468"/>
      <c r="S96" s="1468" t="e">
        <f>FIXED('DATOS GENERALES'!V146,AB96)</f>
        <v>#VALUE!</v>
      </c>
      <c r="T96" s="1468"/>
      <c r="U96" s="1464" t="e">
        <f>FIXED('DATOS GENERALES'!V145,AB96)</f>
        <v>#VALUE!</v>
      </c>
      <c r="V96" s="1464"/>
      <c r="W96" s="1464" t="e">
        <f>FIXED('INCERTIDUMBRE DE LA MEDIDA'!P307,AB96)</f>
        <v>#VALUE!</v>
      </c>
      <c r="X96" s="1464"/>
      <c r="Y96" s="1467" t="e">
        <f>IF('INCERTIDUMBRE DE LA MEDIDA'!P306="","",'INCERTIDUMBRE DE LA MEDIDA'!P306)</f>
        <v>#VALUE!</v>
      </c>
      <c r="Z96" s="1467"/>
      <c r="AA96" s="531" t="str">
        <f>'DATOS GENERALES'!S147</f>
        <v>N.A.</v>
      </c>
      <c r="AB96" s="449">
        <v>2</v>
      </c>
      <c r="AH96" s="1466" t="e">
        <f>'DATOS GENERALES'!S144</f>
        <v>#VALUE!</v>
      </c>
      <c r="AI96" s="1466"/>
      <c r="AJ96" s="633" t="e">
        <f>IF('DATOS GENERALES'!H70="µL",('INCERTIDUMBRE DE LA MEDIDA'!P307),('INCERTIDUMBRE DE LA MEDIDA'!P307))</f>
        <v>#VALUE!</v>
      </c>
      <c r="AK96" s="634">
        <f>('DATOS GENERALES'!F132)</f>
        <v>0</v>
      </c>
      <c r="AM96" s="638"/>
      <c r="AN96" s="635" t="e">
        <f t="shared" si="0"/>
        <v>#VALUE!</v>
      </c>
      <c r="AO96" s="636" t="e">
        <f>IF(AN96="Revisar CMC",AM92-'INCERTIDUMBRE DE LA MEDIDA'!P307,"")</f>
        <v>#VALUE!</v>
      </c>
      <c r="AP96" s="635"/>
    </row>
    <row r="97" spans="1:42" ht="16.5" customHeight="1" x14ac:dyDescent="0.25">
      <c r="A97" s="387"/>
      <c r="B97" s="387"/>
      <c r="C97" s="387"/>
      <c r="D97" s="388"/>
      <c r="E97" s="389"/>
      <c r="F97" s="389"/>
      <c r="G97" s="390"/>
      <c r="H97" s="390"/>
      <c r="I97" s="391"/>
      <c r="J97" s="391"/>
      <c r="K97" s="391"/>
      <c r="L97" s="392"/>
      <c r="M97" s="392"/>
      <c r="N97" s="393"/>
      <c r="O97" s="393"/>
      <c r="P97" s="393"/>
      <c r="Q97" s="393"/>
      <c r="R97" s="393"/>
      <c r="S97" s="393"/>
      <c r="T97" s="394"/>
      <c r="U97" s="394"/>
      <c r="V97" s="394"/>
      <c r="W97" s="394"/>
      <c r="X97" s="388"/>
      <c r="Y97" s="388"/>
      <c r="Z97" s="388"/>
      <c r="AA97" s="388"/>
      <c r="AH97" s="1463"/>
      <c r="AI97" s="1463"/>
      <c r="AJ97" s="639"/>
      <c r="AK97" s="640"/>
      <c r="AM97" s="631"/>
      <c r="AN97" s="641"/>
      <c r="AO97" s="642"/>
      <c r="AP97" s="641"/>
    </row>
    <row r="98" spans="1:42" ht="16.5" customHeight="1" x14ac:dyDescent="0.35">
      <c r="A98" s="387"/>
      <c r="B98" s="387"/>
      <c r="C98" s="387"/>
      <c r="D98" s="388"/>
      <c r="E98" s="389"/>
      <c r="F98" s="389"/>
      <c r="G98" s="390"/>
      <c r="H98" s="390"/>
      <c r="I98" s="391"/>
      <c r="J98" s="391"/>
      <c r="K98" s="391"/>
      <c r="L98" s="392"/>
      <c r="M98" s="392"/>
      <c r="N98" s="393"/>
      <c r="O98" s="393"/>
      <c r="P98" s="393"/>
      <c r="Q98" s="393"/>
      <c r="R98" s="393"/>
      <c r="S98" s="393"/>
      <c r="T98" s="394"/>
      <c r="U98" s="394"/>
      <c r="V98" s="394"/>
      <c r="W98" s="394"/>
      <c r="X98" s="388"/>
      <c r="Y98" s="388"/>
      <c r="Z98" s="388"/>
      <c r="AA98" s="388"/>
      <c r="AH98" s="1501" t="s">
        <v>384</v>
      </c>
      <c r="AI98" s="1501"/>
      <c r="AJ98" s="643" t="s">
        <v>386</v>
      </c>
      <c r="AK98" s="644" t="s">
        <v>425</v>
      </c>
    </row>
    <row r="99" spans="1:42" ht="16.5" customHeight="1" x14ac:dyDescent="0.25">
      <c r="A99" s="387"/>
      <c r="B99" s="387"/>
      <c r="C99" s="387"/>
      <c r="D99" s="388"/>
      <c r="E99" s="389"/>
      <c r="F99" s="389"/>
      <c r="G99" s="390"/>
      <c r="H99" s="390"/>
      <c r="I99" s="391"/>
      <c r="J99" s="391"/>
      <c r="K99" s="391"/>
      <c r="L99" s="392"/>
      <c r="M99" s="392"/>
      <c r="N99" s="393"/>
      <c r="O99" s="393"/>
      <c r="P99" s="393"/>
      <c r="Q99" s="393"/>
      <c r="R99" s="393"/>
      <c r="S99" s="393"/>
      <c r="T99" s="394"/>
      <c r="U99" s="394"/>
      <c r="V99" s="394"/>
      <c r="W99" s="394"/>
      <c r="X99" s="388"/>
      <c r="Y99" s="388"/>
      <c r="Z99" s="388"/>
      <c r="AA99" s="388"/>
      <c r="AH99" s="14" t="str">
        <f>"Valor Nominal [ "&amp; 'DATOS GENERALES'!H68&amp;" ]"</f>
        <v>Valor Nominal [ µL ]</v>
      </c>
    </row>
    <row r="100" spans="1:42" ht="16.5" customHeight="1" x14ac:dyDescent="0.25">
      <c r="A100" s="387"/>
      <c r="B100" s="387"/>
      <c r="C100" s="387"/>
      <c r="D100" s="388"/>
      <c r="E100" s="389"/>
      <c r="F100" s="389"/>
      <c r="G100" s="390"/>
      <c r="H100" s="390"/>
      <c r="I100" s="391"/>
      <c r="J100" s="391"/>
      <c r="K100" s="391"/>
      <c r="L100" s="392"/>
      <c r="M100" s="392"/>
      <c r="N100" s="393"/>
      <c r="O100" s="393"/>
      <c r="P100" s="393"/>
      <c r="Q100" s="393"/>
      <c r="R100" s="393"/>
      <c r="S100" s="393"/>
      <c r="T100" s="394"/>
      <c r="U100" s="394"/>
      <c r="V100" s="394"/>
      <c r="W100" s="394"/>
      <c r="X100" s="388"/>
      <c r="Y100" s="388"/>
      <c r="Z100" s="388"/>
      <c r="AA100" s="388"/>
      <c r="AD100" s="632" t="s">
        <v>51</v>
      </c>
      <c r="AH100" s="14" t="str">
        <f>"Error [ "&amp; 'DATOS GENERALES'!H68&amp;" ]"</f>
        <v>Error [ µL ]</v>
      </c>
    </row>
    <row r="101" spans="1:42" ht="16.5" customHeight="1" x14ac:dyDescent="0.25">
      <c r="A101" s="387"/>
      <c r="B101" s="387"/>
      <c r="C101" s="387"/>
      <c r="D101" s="388"/>
      <c r="E101" s="389"/>
      <c r="F101" s="389"/>
      <c r="G101" s="390"/>
      <c r="H101" s="390"/>
      <c r="I101" s="391"/>
      <c r="J101" s="391"/>
      <c r="K101" s="391"/>
      <c r="L101" s="392"/>
      <c r="M101" s="392"/>
      <c r="N101" s="393"/>
      <c r="O101" s="393"/>
      <c r="P101" s="393"/>
      <c r="Q101" s="393"/>
      <c r="R101" s="393"/>
      <c r="S101" s="393"/>
      <c r="T101" s="394"/>
      <c r="U101" s="394"/>
      <c r="V101" s="394"/>
      <c r="W101" s="394"/>
      <c r="X101" s="388"/>
      <c r="Y101" s="388"/>
      <c r="Z101" s="388"/>
      <c r="AA101" s="388"/>
      <c r="AD101" s="14" t="str">
        <f>AD92</f>
        <v/>
      </c>
    </row>
    <row r="102" spans="1:42" ht="16.5" customHeight="1" x14ac:dyDescent="0.25">
      <c r="A102" s="387"/>
      <c r="B102" s="387"/>
      <c r="C102" s="387"/>
      <c r="D102" s="388"/>
      <c r="E102" s="389"/>
      <c r="F102" s="389"/>
      <c r="G102" s="390"/>
      <c r="H102" s="390"/>
      <c r="I102" s="391"/>
      <c r="J102" s="391"/>
      <c r="K102" s="391"/>
      <c r="L102" s="392"/>
      <c r="M102" s="392"/>
      <c r="N102" s="393"/>
      <c r="O102" s="393"/>
      <c r="P102" s="393"/>
      <c r="Q102" s="393"/>
      <c r="R102" s="393"/>
      <c r="S102" s="393"/>
      <c r="T102" s="394"/>
      <c r="U102" s="394"/>
      <c r="V102" s="394"/>
      <c r="W102" s="394"/>
      <c r="X102" s="388"/>
      <c r="Y102" s="388"/>
      <c r="Z102" s="388"/>
      <c r="AA102" s="388"/>
      <c r="AD102" s="14" t="str">
        <f>AD93</f>
        <v/>
      </c>
    </row>
    <row r="103" spans="1:42" ht="16.5" customHeight="1" x14ac:dyDescent="0.25">
      <c r="A103" s="387"/>
      <c r="B103" s="387"/>
      <c r="C103" s="387"/>
      <c r="D103" s="388"/>
      <c r="E103" s="389"/>
      <c r="F103" s="389"/>
      <c r="G103" s="390"/>
      <c r="H103" s="390"/>
      <c r="I103" s="391"/>
      <c r="J103" s="391"/>
      <c r="K103" s="391"/>
      <c r="L103" s="392"/>
      <c r="M103" s="392"/>
      <c r="N103" s="393"/>
      <c r="O103" s="393"/>
      <c r="P103" s="393"/>
      <c r="Q103" s="393"/>
      <c r="R103" s="393"/>
      <c r="S103" s="393"/>
      <c r="T103" s="394"/>
      <c r="U103" s="394"/>
      <c r="V103" s="394"/>
      <c r="W103" s="394"/>
      <c r="X103" s="388"/>
      <c r="Y103" s="388"/>
      <c r="Z103" s="388"/>
      <c r="AA103" s="388"/>
      <c r="AD103" s="14" t="str">
        <f>AD94</f>
        <v/>
      </c>
    </row>
    <row r="104" spans="1:42" ht="16.5" customHeight="1" x14ac:dyDescent="0.25">
      <c r="A104" s="387"/>
      <c r="B104" s="387"/>
      <c r="C104" s="387"/>
      <c r="D104" s="388"/>
      <c r="E104" s="389"/>
      <c r="F104" s="389"/>
      <c r="G104" s="390"/>
      <c r="H104" s="390"/>
      <c r="I104" s="391"/>
      <c r="J104" s="391"/>
      <c r="K104" s="391"/>
      <c r="L104" s="392"/>
      <c r="M104" s="392"/>
      <c r="N104" s="393"/>
      <c r="O104" s="393"/>
      <c r="P104" s="393"/>
      <c r="Q104" s="393"/>
      <c r="R104" s="393"/>
      <c r="S104" s="393"/>
      <c r="T104" s="394"/>
      <c r="U104" s="394"/>
      <c r="V104" s="394"/>
      <c r="W104" s="394"/>
      <c r="X104" s="388"/>
      <c r="Y104" s="388"/>
      <c r="Z104" s="388"/>
      <c r="AA104" s="388"/>
      <c r="AJ104" s="627"/>
    </row>
    <row r="105" spans="1:42" ht="16.5" customHeight="1" x14ac:dyDescent="0.25">
      <c r="A105" s="387"/>
      <c r="B105" s="387"/>
      <c r="C105" s="387"/>
      <c r="D105" s="388"/>
      <c r="E105" s="389"/>
      <c r="F105" s="389"/>
      <c r="G105" s="390"/>
      <c r="H105" s="390"/>
      <c r="I105" s="391"/>
      <c r="J105" s="391"/>
      <c r="K105" s="391"/>
      <c r="L105" s="392"/>
      <c r="M105" s="392"/>
      <c r="N105" s="393"/>
      <c r="O105" s="393"/>
      <c r="P105" s="393"/>
      <c r="Q105" s="393"/>
      <c r="R105" s="393"/>
      <c r="S105" s="393"/>
      <c r="T105" s="394"/>
      <c r="U105" s="394"/>
      <c r="V105" s="394"/>
      <c r="W105" s="394"/>
      <c r="X105" s="388"/>
      <c r="Y105" s="388"/>
      <c r="Z105" s="388"/>
      <c r="AA105" s="388"/>
    </row>
    <row r="106" spans="1:42" ht="16.5" customHeight="1" x14ac:dyDescent="0.25">
      <c r="A106" s="387"/>
      <c r="B106" s="387"/>
      <c r="C106" s="387"/>
      <c r="D106" s="388"/>
      <c r="E106" s="389"/>
      <c r="F106" s="389"/>
      <c r="G106" s="390"/>
      <c r="H106" s="390"/>
      <c r="I106" s="391"/>
      <c r="J106" s="391"/>
      <c r="K106" s="391"/>
      <c r="L106" s="392"/>
      <c r="M106" s="392"/>
      <c r="N106" s="393"/>
      <c r="O106" s="393"/>
      <c r="P106" s="393"/>
      <c r="Q106" s="393"/>
      <c r="R106" s="393"/>
      <c r="S106" s="393"/>
      <c r="T106" s="394"/>
      <c r="U106" s="394"/>
      <c r="V106" s="394"/>
      <c r="W106" s="394"/>
      <c r="X106" s="388"/>
      <c r="Y106" s="388"/>
      <c r="Z106" s="388"/>
      <c r="AA106" s="388"/>
      <c r="AH106" s="446"/>
      <c r="AJ106" s="628"/>
    </row>
    <row r="107" spans="1:42" ht="16.5" customHeight="1" x14ac:dyDescent="0.25">
      <c r="A107" s="362"/>
      <c r="B107" s="362"/>
      <c r="C107" s="362"/>
      <c r="D107" s="362"/>
      <c r="E107" s="1442"/>
      <c r="F107" s="1442"/>
      <c r="G107" s="1442"/>
      <c r="H107" s="1442"/>
      <c r="I107" s="1442"/>
      <c r="J107" s="1442"/>
      <c r="K107" s="1431"/>
      <c r="L107" s="1431"/>
      <c r="M107" s="1447"/>
      <c r="N107" s="1447"/>
      <c r="O107" s="1430"/>
      <c r="P107" s="1430"/>
      <c r="Q107" s="1431"/>
      <c r="R107" s="1431"/>
      <c r="S107" s="1431"/>
      <c r="T107" s="1442"/>
      <c r="U107" s="1442"/>
      <c r="V107" s="1442"/>
      <c r="W107" s="362"/>
      <c r="X107" s="362"/>
      <c r="Y107" s="362"/>
      <c r="Z107" s="362"/>
      <c r="AA107" s="362"/>
    </row>
    <row r="108" spans="1:42" ht="16.5" customHeight="1" x14ac:dyDescent="0.25">
      <c r="A108" s="395"/>
      <c r="B108" s="395"/>
      <c r="C108" s="395"/>
      <c r="D108" s="395"/>
      <c r="E108" s="1442"/>
      <c r="F108" s="1442"/>
      <c r="G108" s="1442"/>
      <c r="H108" s="1442"/>
      <c r="I108" s="1442"/>
      <c r="J108" s="1442"/>
      <c r="K108" s="1431"/>
      <c r="L108" s="1431"/>
      <c r="M108" s="1447"/>
      <c r="N108" s="1447"/>
      <c r="O108" s="1430"/>
      <c r="P108" s="1430"/>
      <c r="Q108" s="1431"/>
      <c r="R108" s="1431"/>
      <c r="S108" s="1431"/>
      <c r="T108" s="1442"/>
      <c r="U108" s="1442"/>
      <c r="V108" s="1442"/>
      <c r="W108" s="395"/>
      <c r="X108" s="395"/>
      <c r="Y108" s="395"/>
      <c r="Z108" s="395"/>
      <c r="AA108" s="395"/>
    </row>
    <row r="109" spans="1:42" ht="16.5" customHeight="1" x14ac:dyDescent="0.25">
      <c r="A109" s="369"/>
      <c r="B109" s="369"/>
      <c r="C109" s="355"/>
      <c r="D109" s="369"/>
      <c r="E109" s="369"/>
      <c r="F109" s="369"/>
      <c r="G109" s="369"/>
      <c r="H109" s="369"/>
      <c r="I109" s="375"/>
      <c r="J109" s="375"/>
      <c r="K109" s="375"/>
      <c r="L109" s="375"/>
      <c r="M109" s="375"/>
      <c r="N109" s="375"/>
      <c r="O109" s="375"/>
      <c r="P109" s="375"/>
      <c r="Q109" s="375"/>
      <c r="R109" s="375"/>
      <c r="S109" s="375"/>
      <c r="T109" s="375"/>
      <c r="U109" s="375"/>
      <c r="V109" s="375"/>
      <c r="W109" s="375"/>
      <c r="X109" s="369"/>
      <c r="Y109" s="355"/>
      <c r="Z109" s="355"/>
      <c r="AA109" s="355"/>
    </row>
    <row r="110" spans="1:42" ht="16.5" customHeight="1" x14ac:dyDescent="0.25">
      <c r="A110" s="1439"/>
      <c r="B110" s="1439"/>
      <c r="C110" s="1439"/>
      <c r="D110" s="1439"/>
      <c r="E110" s="1439"/>
      <c r="F110" s="1439"/>
      <c r="G110" s="1439"/>
      <c r="H110" s="1439"/>
      <c r="I110" s="1439"/>
      <c r="J110" s="1439"/>
      <c r="K110" s="1439"/>
      <c r="L110" s="1439"/>
      <c r="M110" s="1439"/>
      <c r="N110" s="1439"/>
      <c r="O110" s="1439"/>
      <c r="P110" s="1439"/>
      <c r="Q110" s="1439"/>
      <c r="R110" s="1439"/>
      <c r="S110" s="1439"/>
      <c r="T110" s="1439"/>
      <c r="U110" s="1439"/>
      <c r="V110" s="1439"/>
      <c r="W110" s="1439"/>
      <c r="X110" s="396"/>
      <c r="Y110" s="355"/>
      <c r="Z110" s="355"/>
      <c r="AA110" s="355"/>
    </row>
    <row r="111" spans="1:42" ht="5.25" customHeight="1" x14ac:dyDescent="0.25">
      <c r="A111" s="369"/>
      <c r="B111" s="369"/>
      <c r="C111" s="355"/>
      <c r="D111" s="369"/>
      <c r="E111" s="369"/>
      <c r="F111" s="369"/>
      <c r="G111" s="369"/>
      <c r="H111" s="369"/>
      <c r="I111" s="375"/>
      <c r="J111" s="375"/>
      <c r="K111" s="375"/>
      <c r="L111" s="375"/>
      <c r="M111" s="375"/>
      <c r="N111" s="375"/>
      <c r="O111" s="375"/>
      <c r="P111" s="375"/>
      <c r="Q111" s="375"/>
      <c r="R111" s="375"/>
      <c r="S111" s="375"/>
      <c r="T111" s="375"/>
      <c r="U111" s="375"/>
      <c r="V111" s="375"/>
      <c r="W111" s="375"/>
      <c r="X111" s="369"/>
      <c r="Y111" s="355"/>
      <c r="Z111" s="355"/>
      <c r="AA111" s="355"/>
    </row>
    <row r="112" spans="1:42" ht="14.1" customHeight="1" x14ac:dyDescent="0.25">
      <c r="A112" s="1440" t="s">
        <v>49</v>
      </c>
      <c r="B112" s="1440"/>
      <c r="C112" s="1440"/>
      <c r="D112" s="1440"/>
      <c r="E112" s="1440"/>
      <c r="F112" s="1440"/>
      <c r="G112" s="1440"/>
      <c r="H112" s="508"/>
      <c r="I112" s="508"/>
      <c r="J112" s="508"/>
      <c r="K112" s="508"/>
      <c r="L112" s="508"/>
      <c r="M112" s="508"/>
      <c r="N112" s="508"/>
      <c r="O112" s="508"/>
      <c r="P112" s="508"/>
      <c r="Q112" s="508"/>
      <c r="R112" s="508"/>
      <c r="S112" s="508"/>
      <c r="T112" s="508"/>
      <c r="U112" s="508"/>
      <c r="V112" s="508"/>
      <c r="W112" s="508"/>
      <c r="X112" s="508"/>
      <c r="Y112" s="508"/>
      <c r="Z112" s="508"/>
      <c r="AA112" s="508"/>
    </row>
    <row r="113" spans="1:27" ht="16.5" customHeight="1" x14ac:dyDescent="0.25">
      <c r="A113" s="1532" t="s">
        <v>738</v>
      </c>
      <c r="B113" s="1532"/>
      <c r="C113" s="1532"/>
      <c r="D113" s="1532"/>
      <c r="E113" s="1532"/>
      <c r="F113" s="1532"/>
      <c r="G113" s="1532"/>
      <c r="H113" s="1532"/>
      <c r="I113" s="1532"/>
      <c r="J113" s="1532"/>
      <c r="K113" s="1532"/>
      <c r="L113" s="1532"/>
      <c r="M113" s="1532"/>
      <c r="N113" s="1532"/>
      <c r="O113" s="1532"/>
      <c r="P113" s="1532"/>
      <c r="Q113" s="1532"/>
      <c r="R113" s="1532"/>
      <c r="S113" s="1532"/>
      <c r="T113" s="1532"/>
      <c r="U113" s="1532"/>
      <c r="V113" s="1532"/>
      <c r="W113" s="1532"/>
      <c r="X113" s="1532"/>
      <c r="Y113" s="1532"/>
      <c r="Z113" s="1532"/>
      <c r="AA113" s="1532"/>
    </row>
    <row r="114" spans="1:27" ht="18" customHeight="1" x14ac:dyDescent="0.25">
      <c r="A114" s="1532"/>
      <c r="B114" s="1532"/>
      <c r="C114" s="1532"/>
      <c r="D114" s="1532"/>
      <c r="E114" s="1532"/>
      <c r="F114" s="1532"/>
      <c r="G114" s="1532"/>
      <c r="H114" s="1532"/>
      <c r="I114" s="1532"/>
      <c r="J114" s="1532"/>
      <c r="K114" s="1532"/>
      <c r="L114" s="1532"/>
      <c r="M114" s="1532"/>
      <c r="N114" s="1532"/>
      <c r="O114" s="1532"/>
      <c r="P114" s="1532"/>
      <c r="Q114" s="1532"/>
      <c r="R114" s="1532"/>
      <c r="S114" s="1532"/>
      <c r="T114" s="1532"/>
      <c r="U114" s="1532"/>
      <c r="V114" s="1532"/>
      <c r="W114" s="1532"/>
      <c r="X114" s="1532"/>
      <c r="Y114" s="1532"/>
      <c r="Z114" s="1532"/>
      <c r="AA114" s="1532"/>
    </row>
    <row r="115" spans="1:27" ht="18" customHeight="1" x14ac:dyDescent="0.25">
      <c r="A115" s="1532"/>
      <c r="B115" s="1532"/>
      <c r="C115" s="1532"/>
      <c r="D115" s="1532"/>
      <c r="E115" s="1532"/>
      <c r="F115" s="1532"/>
      <c r="G115" s="1532"/>
      <c r="H115" s="1532"/>
      <c r="I115" s="1532"/>
      <c r="J115" s="1532"/>
      <c r="K115" s="1532"/>
      <c r="L115" s="1532"/>
      <c r="M115" s="1532"/>
      <c r="N115" s="1532"/>
      <c r="O115" s="1532"/>
      <c r="P115" s="1532"/>
      <c r="Q115" s="1532"/>
      <c r="R115" s="1532"/>
      <c r="S115" s="1532"/>
      <c r="T115" s="1532"/>
      <c r="U115" s="1532"/>
      <c r="V115" s="1532"/>
      <c r="W115" s="1532"/>
      <c r="X115" s="1532"/>
      <c r="Y115" s="1532"/>
      <c r="Z115" s="1532"/>
      <c r="AA115" s="1532"/>
    </row>
    <row r="116" spans="1:27" ht="18" customHeight="1" x14ac:dyDescent="0.25">
      <c r="A116" s="1496" t="s">
        <v>51</v>
      </c>
      <c r="B116" s="1496"/>
      <c r="C116" s="1496"/>
      <c r="D116" s="1496"/>
      <c r="E116" s="1496"/>
      <c r="F116" s="1496"/>
      <c r="G116" s="1437"/>
      <c r="H116" s="1437"/>
      <c r="I116" s="1437"/>
      <c r="J116" s="1437"/>
      <c r="K116" s="1438"/>
      <c r="L116" s="1438"/>
      <c r="M116" s="1438"/>
      <c r="N116" s="1438"/>
      <c r="O116" s="1441"/>
      <c r="P116" s="1441"/>
      <c r="Q116" s="1441"/>
      <c r="R116" s="1441"/>
      <c r="S116" s="1441"/>
      <c r="T116" s="1472"/>
      <c r="U116" s="1472"/>
      <c r="V116" s="1472"/>
      <c r="W116" s="1472"/>
      <c r="X116" s="1472"/>
      <c r="Y116" s="504"/>
      <c r="Z116" s="504"/>
      <c r="AA116" s="504"/>
    </row>
    <row r="117" spans="1:27" ht="75.75" customHeight="1" x14ac:dyDescent="0.25">
      <c r="A117" s="1531" t="s">
        <v>758</v>
      </c>
      <c r="B117" s="1531"/>
      <c r="C117" s="1531"/>
      <c r="D117" s="1531"/>
      <c r="E117" s="1531"/>
      <c r="F117" s="1531"/>
      <c r="G117" s="1531"/>
      <c r="H117" s="1531"/>
      <c r="I117" s="1531"/>
      <c r="J117" s="1531"/>
      <c r="K117" s="1531"/>
      <c r="L117" s="1531"/>
      <c r="M117" s="1531"/>
      <c r="N117" s="1531"/>
      <c r="O117" s="1531"/>
      <c r="P117" s="1531"/>
      <c r="Q117" s="1531"/>
      <c r="R117" s="1531"/>
      <c r="S117" s="1531"/>
      <c r="T117" s="1531"/>
      <c r="U117" s="1531"/>
      <c r="V117" s="1531"/>
      <c r="W117" s="1531"/>
      <c r="X117" s="1531"/>
      <c r="Y117" s="1531"/>
      <c r="Z117" s="1531"/>
      <c r="AA117" s="1531"/>
    </row>
    <row r="118" spans="1:27" ht="32.25" customHeight="1" x14ac:dyDescent="0.25">
      <c r="A118" s="1530" t="str">
        <f>IF('DATOS GENERALES'!N24="", "N.A, No se aplicó declaración de conformidad.",IF('DATOS GENERALES'!N24="N.A.","N.A, No fue requerida declaración de conformidad.",CONCATENATE('DATOS GENERALES'!L25,'DATOS GENERALES'!L26," Y especificación según ",'DATOS GENERALES'!P26)))</f>
        <v>N.A, No se aplicó declaración de conformidad.</v>
      </c>
      <c r="B118" s="1530"/>
      <c r="C118" s="1530"/>
      <c r="D118" s="1530"/>
      <c r="E118" s="1530"/>
      <c r="F118" s="1530"/>
      <c r="G118" s="1530"/>
      <c r="H118" s="1530"/>
      <c r="I118" s="1530"/>
      <c r="J118" s="1530"/>
      <c r="K118" s="1530"/>
      <c r="L118" s="1530"/>
      <c r="M118" s="1530"/>
      <c r="N118" s="1530"/>
      <c r="O118" s="1530"/>
      <c r="P118" s="1530"/>
      <c r="Q118" s="1530"/>
      <c r="R118" s="1530"/>
      <c r="S118" s="1530"/>
      <c r="T118" s="1530"/>
      <c r="U118" s="1530"/>
      <c r="V118" s="1530"/>
      <c r="W118" s="1530"/>
      <c r="X118" s="1530"/>
      <c r="Y118" s="1530"/>
      <c r="Z118" s="1530"/>
      <c r="AA118" s="1530"/>
    </row>
    <row r="119" spans="1:27" ht="39" customHeight="1" x14ac:dyDescent="0.25">
      <c r="A119" s="1531" t="s">
        <v>552</v>
      </c>
      <c r="B119" s="1531"/>
      <c r="C119" s="1531"/>
      <c r="D119" s="1531"/>
      <c r="E119" s="1531"/>
      <c r="F119" s="1531"/>
      <c r="G119" s="1531"/>
      <c r="H119" s="1531"/>
      <c r="I119" s="1531"/>
      <c r="J119" s="1531"/>
      <c r="K119" s="1531"/>
      <c r="L119" s="1531"/>
      <c r="M119" s="1531"/>
      <c r="N119" s="1531"/>
      <c r="O119" s="1531"/>
      <c r="P119" s="1531"/>
      <c r="Q119" s="1531"/>
      <c r="R119" s="1531"/>
      <c r="S119" s="1531"/>
      <c r="T119" s="1531"/>
      <c r="U119" s="1531"/>
      <c r="V119" s="1531"/>
      <c r="W119" s="1531"/>
      <c r="X119" s="1531"/>
      <c r="Y119" s="1531"/>
      <c r="Z119" s="1531"/>
      <c r="AA119" s="1531"/>
    </row>
    <row r="120" spans="1:27" ht="19.5" customHeight="1" x14ac:dyDescent="0.25">
      <c r="A120" s="1507" t="s">
        <v>755</v>
      </c>
      <c r="B120" s="1507"/>
      <c r="C120" s="1507"/>
      <c r="D120" s="1507"/>
      <c r="E120" s="1507"/>
      <c r="F120" s="1507"/>
      <c r="G120" s="1507"/>
      <c r="H120" s="1507"/>
      <c r="I120" s="1507"/>
      <c r="J120" s="1507"/>
      <c r="K120" s="1507"/>
      <c r="L120" s="1507"/>
      <c r="M120" s="1507"/>
      <c r="N120" s="1507"/>
      <c r="O120" s="1507"/>
      <c r="P120" s="1507"/>
      <c r="Q120" s="1507"/>
      <c r="R120" s="1507"/>
      <c r="S120" s="1507"/>
      <c r="T120" s="1507"/>
      <c r="U120" s="1507"/>
      <c r="V120" s="1507"/>
      <c r="W120" s="1507"/>
      <c r="X120" s="1507"/>
      <c r="Y120" s="1507"/>
      <c r="Z120" s="1507"/>
      <c r="AA120" s="1507"/>
    </row>
    <row r="121" spans="1:27" ht="35.25" customHeight="1" x14ac:dyDescent="0.25">
      <c r="A121" s="1531" t="s">
        <v>553</v>
      </c>
      <c r="B121" s="1531"/>
      <c r="C121" s="1531"/>
      <c r="D121" s="1531"/>
      <c r="E121" s="1531"/>
      <c r="F121" s="1531"/>
      <c r="G121" s="1531"/>
      <c r="H121" s="1531"/>
      <c r="I121" s="1531"/>
      <c r="J121" s="1531"/>
      <c r="K121" s="1531"/>
      <c r="L121" s="1531"/>
      <c r="M121" s="1531"/>
      <c r="N121" s="1531"/>
      <c r="O121" s="1531"/>
      <c r="P121" s="1531"/>
      <c r="Q121" s="1531"/>
      <c r="R121" s="1531"/>
      <c r="S121" s="1531"/>
      <c r="T121" s="1531"/>
      <c r="U121" s="1531"/>
      <c r="V121" s="1531"/>
      <c r="W121" s="1531"/>
      <c r="X121" s="1531"/>
      <c r="Y121" s="1531"/>
      <c r="Z121" s="1531"/>
      <c r="AA121" s="1531"/>
    </row>
    <row r="122" spans="1:27" ht="28.15" customHeight="1" x14ac:dyDescent="0.25">
      <c r="A122" s="1448" t="str">
        <f>IF(
  TRIM('DATOS GENERALES'!B151)&lt;&gt;"",
  "5- " &amp; TRIM('DATOS GENERALES'!B151) &amp;
    IF('DATOS GENERALES'!I68="**", CHAR(10) &amp; "6- **El resultado reportado, se realiza bajo trazabilidad y no se encuentra dentro del alcance acreditado por ONAC.**", ""),
  IF(
    'DATOS GENERALES'!I68="**",
    "5- **El resultado reportado, se realiza bajo trazabilidad y no se encuentra dentro del alcance acreditado por ONAC.**",
    ""
  )
)</f>
        <v/>
      </c>
      <c r="B122" s="1448"/>
      <c r="C122" s="1448"/>
      <c r="D122" s="1448"/>
      <c r="E122" s="1448"/>
      <c r="F122" s="1448"/>
      <c r="G122" s="1448"/>
      <c r="H122" s="1448"/>
      <c r="I122" s="1448"/>
      <c r="J122" s="1448"/>
      <c r="K122" s="1448"/>
      <c r="L122" s="1448"/>
      <c r="M122" s="1448"/>
      <c r="N122" s="1448"/>
      <c r="O122" s="1448"/>
      <c r="P122" s="1448"/>
      <c r="Q122" s="1448"/>
      <c r="R122" s="1448"/>
      <c r="S122" s="1448"/>
      <c r="T122" s="1448"/>
      <c r="U122" s="1448"/>
      <c r="V122" s="1448"/>
      <c r="W122" s="1448"/>
      <c r="X122" s="1448"/>
      <c r="Y122" s="1448"/>
      <c r="Z122" s="1448"/>
      <c r="AA122" s="363"/>
    </row>
    <row r="123" spans="1:27" ht="8.4499999999999993" customHeight="1" x14ac:dyDescent="0.25">
      <c r="A123" s="1495"/>
      <c r="B123" s="1495"/>
      <c r="C123" s="1495"/>
      <c r="D123" s="1495"/>
      <c r="E123" s="1495"/>
      <c r="F123" s="1495"/>
      <c r="G123" s="1495"/>
      <c r="H123" s="1495"/>
      <c r="I123" s="1495"/>
      <c r="J123" s="1495"/>
      <c r="K123" s="1495"/>
      <c r="L123" s="1495"/>
      <c r="M123" s="1495"/>
      <c r="N123" s="1495"/>
      <c r="O123" s="1495"/>
      <c r="P123" s="1495"/>
      <c r="Q123" s="1495"/>
      <c r="R123" s="1495"/>
      <c r="S123" s="1495"/>
      <c r="T123" s="1495"/>
      <c r="U123" s="1495"/>
      <c r="V123" s="1495"/>
      <c r="W123" s="1495"/>
      <c r="X123" s="1495"/>
      <c r="Y123" s="1495"/>
      <c r="Z123" s="1495"/>
      <c r="AA123" s="363"/>
    </row>
    <row r="124" spans="1:27" ht="14.45" customHeight="1" x14ac:dyDescent="0.25">
      <c r="A124" s="363"/>
      <c r="B124" s="363"/>
      <c r="C124" s="363"/>
      <c r="D124" s="363"/>
      <c r="E124" s="363"/>
      <c r="F124" s="363"/>
      <c r="G124" s="363"/>
      <c r="H124" s="363"/>
      <c r="I124" s="363"/>
      <c r="J124" s="363"/>
      <c r="K124" s="363"/>
      <c r="L124" s="363"/>
      <c r="M124" s="363"/>
      <c r="N124" s="363"/>
      <c r="O124" s="363"/>
      <c r="P124" s="363"/>
      <c r="Q124" s="363"/>
      <c r="R124" s="363"/>
      <c r="S124" s="363"/>
      <c r="T124" s="363"/>
      <c r="U124" s="363"/>
      <c r="V124" s="363"/>
      <c r="W124" s="363"/>
      <c r="X124" s="363"/>
      <c r="Y124" s="355" t="s">
        <v>71</v>
      </c>
      <c r="Z124" s="355"/>
      <c r="AA124" s="383"/>
    </row>
    <row r="125" spans="1:27" ht="15" customHeight="1" x14ac:dyDescent="0.25">
      <c r="A125" s="355"/>
      <c r="B125" s="355"/>
      <c r="C125" s="355"/>
      <c r="D125" s="355"/>
      <c r="E125" s="355"/>
      <c r="F125" s="355"/>
      <c r="G125" s="356"/>
      <c r="Q125" s="355"/>
      <c r="R125" s="355"/>
      <c r="S125" s="355"/>
      <c r="T125" s="355"/>
      <c r="U125" s="355"/>
      <c r="V125" s="355"/>
      <c r="X125" s="355"/>
      <c r="Y125" s="499" t="str">
        <f>Y74</f>
        <v>LC-FR-60 V13</v>
      </c>
    </row>
    <row r="126" spans="1:27" x14ac:dyDescent="0.25">
      <c r="A126" s="1449" t="s">
        <v>52</v>
      </c>
      <c r="B126" s="1449"/>
      <c r="C126" s="1449"/>
      <c r="D126" s="1449"/>
      <c r="E126" s="1449"/>
      <c r="F126" s="1449"/>
      <c r="G126" s="1449"/>
      <c r="H126" s="1449"/>
      <c r="I126" s="1449"/>
      <c r="J126" s="1449"/>
      <c r="K126" s="1449"/>
      <c r="L126" s="1449"/>
      <c r="M126" s="1449"/>
      <c r="N126" s="1449"/>
      <c r="O126" s="1449"/>
      <c r="P126" s="1449"/>
      <c r="Q126" s="1449"/>
      <c r="R126" s="1449"/>
      <c r="S126" s="1449"/>
      <c r="T126" s="1449"/>
      <c r="U126" s="1449"/>
      <c r="V126" s="1449"/>
      <c r="W126" s="1449"/>
      <c r="X126" s="1449"/>
      <c r="Y126" s="1449"/>
      <c r="Z126" s="1449"/>
      <c r="AA126" s="1449"/>
    </row>
    <row r="128" spans="1:27" x14ac:dyDescent="0.25">
      <c r="A128" s="425"/>
      <c r="B128" s="426"/>
      <c r="C128" s="426"/>
      <c r="D128" s="426"/>
      <c r="E128" s="426"/>
      <c r="F128" s="426"/>
      <c r="G128" s="426"/>
      <c r="H128" s="426"/>
      <c r="I128" s="426"/>
      <c r="J128" s="426"/>
      <c r="K128" s="426"/>
      <c r="L128" s="426"/>
      <c r="M128" s="426"/>
      <c r="N128" s="426"/>
      <c r="O128" s="426"/>
      <c r="P128" s="426"/>
      <c r="Q128" s="426"/>
      <c r="R128" s="426"/>
      <c r="S128" s="426"/>
      <c r="T128" s="426"/>
      <c r="U128" s="426"/>
      <c r="V128" s="426"/>
      <c r="W128" s="426"/>
      <c r="X128" s="426"/>
      <c r="Y128" s="426"/>
      <c r="Z128" s="427"/>
      <c r="AA128" s="429"/>
    </row>
    <row r="129" spans="1:47" x14ac:dyDescent="0.25">
      <c r="A129" s="428"/>
      <c r="B129" s="429"/>
      <c r="C129" s="429"/>
      <c r="D129" s="429"/>
      <c r="E129" s="429"/>
      <c r="F129" s="429"/>
      <c r="G129" s="429"/>
      <c r="H129" s="429"/>
      <c r="I129" s="429"/>
      <c r="J129" s="429"/>
      <c r="K129" s="429"/>
      <c r="L129" s="429"/>
      <c r="M129" s="429"/>
      <c r="N129" s="429"/>
      <c r="O129" s="429"/>
      <c r="P129" s="429"/>
      <c r="Q129" s="429"/>
      <c r="R129" s="429"/>
      <c r="S129" s="429"/>
      <c r="T129" s="429"/>
      <c r="U129" s="429"/>
      <c r="V129" s="429"/>
      <c r="W129" s="429"/>
      <c r="X129" s="429"/>
      <c r="Y129" s="429"/>
      <c r="Z129" s="430"/>
      <c r="AA129" s="429"/>
    </row>
    <row r="130" spans="1:47" x14ac:dyDescent="0.25">
      <c r="A130" s="428"/>
      <c r="B130" s="429"/>
      <c r="C130" s="429"/>
      <c r="D130" s="429"/>
      <c r="E130" s="429"/>
      <c r="F130" s="429"/>
      <c r="G130" s="429"/>
      <c r="H130" s="429"/>
      <c r="I130" s="429"/>
      <c r="J130" s="429"/>
      <c r="K130" s="429"/>
      <c r="L130" s="429"/>
      <c r="M130" s="429"/>
      <c r="N130" s="429"/>
      <c r="O130" s="429"/>
      <c r="P130" s="429"/>
      <c r="Q130" s="429"/>
      <c r="R130" s="429"/>
      <c r="S130" s="429"/>
      <c r="T130" s="429"/>
      <c r="U130" s="429"/>
      <c r="V130" s="429"/>
      <c r="W130" s="429"/>
      <c r="X130" s="429"/>
      <c r="Y130" s="429"/>
      <c r="Z130" s="430"/>
      <c r="AA130" s="429"/>
    </row>
    <row r="131" spans="1:47" x14ac:dyDescent="0.25">
      <c r="A131" s="431"/>
      <c r="B131" s="432"/>
      <c r="C131" s="432"/>
      <c r="D131" s="432"/>
      <c r="E131" s="432"/>
      <c r="F131" s="432"/>
      <c r="G131" s="432"/>
      <c r="H131" s="432"/>
      <c r="I131" s="432"/>
      <c r="J131" s="432"/>
      <c r="K131" s="432"/>
      <c r="L131" s="432"/>
      <c r="M131" s="432"/>
      <c r="N131" s="432"/>
      <c r="O131" s="432"/>
      <c r="P131" s="432"/>
      <c r="Q131" s="432"/>
      <c r="R131" s="432"/>
      <c r="S131" s="432"/>
      <c r="T131" s="432"/>
      <c r="U131" s="432"/>
      <c r="V131" s="432"/>
      <c r="W131" s="432"/>
      <c r="X131" s="432"/>
      <c r="Y131" s="432"/>
      <c r="Z131" s="433"/>
      <c r="AA131" s="429"/>
    </row>
    <row r="132" spans="1:47" x14ac:dyDescent="0.25">
      <c r="A132" s="144"/>
      <c r="B132" s="144"/>
      <c r="C132" s="144"/>
      <c r="D132" s="144"/>
      <c r="E132" s="144"/>
      <c r="F132" s="144"/>
      <c r="G132" s="145"/>
      <c r="H132" s="144"/>
      <c r="I132" s="144"/>
      <c r="J132" s="144"/>
      <c r="K132" s="144"/>
      <c r="L132" s="144"/>
      <c r="M132" s="144"/>
      <c r="N132" s="144"/>
      <c r="O132" s="144"/>
      <c r="P132" s="144"/>
      <c r="Q132" s="144"/>
      <c r="R132" s="144"/>
      <c r="S132" s="144"/>
      <c r="T132" s="144"/>
      <c r="U132" s="144"/>
      <c r="V132" s="144"/>
      <c r="W132" s="144"/>
      <c r="X132" s="144"/>
      <c r="Y132" s="144"/>
      <c r="Z132" s="144"/>
      <c r="AA132" s="144"/>
    </row>
    <row r="133" spans="1:47" x14ac:dyDescent="0.25">
      <c r="A133" s="1455" t="s">
        <v>263</v>
      </c>
      <c r="B133" s="1455"/>
      <c r="C133" s="1455"/>
      <c r="D133" s="1455"/>
      <c r="E133" s="1455"/>
      <c r="F133" s="1455"/>
      <c r="G133" s="1455"/>
      <c r="H133" s="1455"/>
      <c r="I133" s="1455"/>
      <c r="J133" s="1455"/>
      <c r="K133" s="1455"/>
      <c r="L133" s="1455"/>
      <c r="M133" s="1455"/>
      <c r="N133" s="1455"/>
      <c r="O133" s="1455"/>
      <c r="P133" s="1455"/>
      <c r="Q133" s="1455"/>
      <c r="R133" s="1455"/>
      <c r="S133" s="1455"/>
      <c r="T133" s="1455"/>
      <c r="U133" s="1455"/>
      <c r="V133" s="1455"/>
      <c r="W133" s="1455"/>
      <c r="X133" s="1455"/>
      <c r="Y133" s="1455"/>
      <c r="Z133" s="1455"/>
      <c r="AA133" s="489"/>
    </row>
    <row r="134" spans="1:47" x14ac:dyDescent="0.25">
      <c r="A134" s="1455" t="s">
        <v>264</v>
      </c>
      <c r="B134" s="1455"/>
      <c r="C134" s="1455" t="s">
        <v>265</v>
      </c>
      <c r="D134" s="1455"/>
      <c r="E134" s="1455"/>
      <c r="F134" s="1455"/>
      <c r="G134" s="1455"/>
      <c r="H134" s="1455"/>
      <c r="I134" s="1455"/>
      <c r="J134" s="1455"/>
      <c r="K134" s="1455"/>
      <c r="L134" s="1455" t="s">
        <v>266</v>
      </c>
      <c r="M134" s="1455"/>
      <c r="N134" s="1455"/>
      <c r="O134" s="1455"/>
      <c r="P134" s="1455"/>
      <c r="Q134" s="1455"/>
      <c r="R134" s="1455"/>
      <c r="S134" s="1455"/>
      <c r="T134" s="1455"/>
      <c r="U134" s="1455"/>
      <c r="V134" s="1455"/>
      <c r="W134" s="1455" t="s">
        <v>267</v>
      </c>
      <c r="X134" s="1455"/>
      <c r="Y134" s="1455"/>
      <c r="Z134" s="1455"/>
      <c r="AA134" s="489"/>
    </row>
    <row r="135" spans="1:47" ht="62.25" customHeight="1" x14ac:dyDescent="0.25">
      <c r="A135" s="1427">
        <v>2</v>
      </c>
      <c r="B135" s="1427"/>
      <c r="C135" s="1428" t="s">
        <v>366</v>
      </c>
      <c r="D135" s="1429"/>
      <c r="E135" s="1429"/>
      <c r="F135" s="1429"/>
      <c r="G135" s="1429"/>
      <c r="H135" s="1429"/>
      <c r="I135" s="1429"/>
      <c r="J135" s="1429"/>
      <c r="K135" s="1429"/>
      <c r="L135" s="1454" t="s">
        <v>180</v>
      </c>
      <c r="M135" s="1455"/>
      <c r="N135" s="1455"/>
      <c r="O135" s="1455"/>
      <c r="P135" s="1455"/>
      <c r="Q135" s="1455"/>
      <c r="R135" s="1455"/>
      <c r="S135" s="1455"/>
      <c r="T135" s="1455"/>
      <c r="U135" s="1455"/>
      <c r="V135" s="1455"/>
      <c r="W135" s="1456">
        <v>43495</v>
      </c>
      <c r="X135" s="1455"/>
      <c r="Y135" s="1455"/>
      <c r="Z135" s="1455"/>
      <c r="AA135" s="489"/>
    </row>
    <row r="136" spans="1:47" ht="51" customHeight="1" x14ac:dyDescent="0.25">
      <c r="A136" s="1427">
        <v>3</v>
      </c>
      <c r="B136" s="1427"/>
      <c r="C136" s="1428" t="s">
        <v>367</v>
      </c>
      <c r="D136" s="1429"/>
      <c r="E136" s="1429"/>
      <c r="F136" s="1429"/>
      <c r="G136" s="1429"/>
      <c r="H136" s="1429"/>
      <c r="I136" s="1429"/>
      <c r="J136" s="1429"/>
      <c r="K136" s="1429"/>
      <c r="L136" s="1459" t="s">
        <v>180</v>
      </c>
      <c r="M136" s="1455"/>
      <c r="N136" s="1455"/>
      <c r="O136" s="1455"/>
      <c r="P136" s="1455"/>
      <c r="Q136" s="1455"/>
      <c r="R136" s="1455"/>
      <c r="S136" s="1455"/>
      <c r="T136" s="1455"/>
      <c r="U136" s="1455"/>
      <c r="V136" s="1455"/>
      <c r="W136" s="1456">
        <v>43663</v>
      </c>
      <c r="X136" s="1455"/>
      <c r="Y136" s="1455"/>
      <c r="Z136" s="1455"/>
      <c r="AA136" s="489"/>
    </row>
    <row r="137" spans="1:47" ht="61.5" customHeight="1" x14ac:dyDescent="0.25">
      <c r="A137" s="1427">
        <v>4</v>
      </c>
      <c r="B137" s="1427"/>
      <c r="C137" s="1428" t="s">
        <v>368</v>
      </c>
      <c r="D137" s="1429"/>
      <c r="E137" s="1429"/>
      <c r="F137" s="1429"/>
      <c r="G137" s="1429"/>
      <c r="H137" s="1429"/>
      <c r="I137" s="1429"/>
      <c r="J137" s="1429"/>
      <c r="K137" s="1429"/>
      <c r="L137" s="1476" t="s">
        <v>357</v>
      </c>
      <c r="M137" s="1455"/>
      <c r="N137" s="1455"/>
      <c r="O137" s="1455"/>
      <c r="P137" s="1455"/>
      <c r="Q137" s="1455"/>
      <c r="R137" s="1455"/>
      <c r="S137" s="1455"/>
      <c r="T137" s="1455"/>
      <c r="U137" s="1455"/>
      <c r="V137" s="1455"/>
      <c r="W137" s="1456">
        <v>44238</v>
      </c>
      <c r="X137" s="1455"/>
      <c r="Y137" s="1455"/>
      <c r="Z137" s="1455"/>
      <c r="AA137" s="489"/>
    </row>
    <row r="138" spans="1:47" ht="36" customHeight="1" x14ac:dyDescent="0.25">
      <c r="A138" s="1427">
        <v>5</v>
      </c>
      <c r="B138" s="1427"/>
      <c r="C138" s="1469" t="s">
        <v>554</v>
      </c>
      <c r="D138" s="1429"/>
      <c r="E138" s="1429"/>
      <c r="F138" s="1429"/>
      <c r="G138" s="1429"/>
      <c r="H138" s="1429"/>
      <c r="I138" s="1429"/>
      <c r="J138" s="1429"/>
      <c r="K138" s="1429"/>
      <c r="L138" s="1460" t="s">
        <v>357</v>
      </c>
      <c r="M138" s="1455"/>
      <c r="N138" s="1455"/>
      <c r="O138" s="1455"/>
      <c r="P138" s="1455"/>
      <c r="Q138" s="1455"/>
      <c r="R138" s="1455"/>
      <c r="S138" s="1455"/>
      <c r="T138" s="1455"/>
      <c r="U138" s="1455"/>
      <c r="V138" s="1455"/>
      <c r="W138" s="1456">
        <v>44315</v>
      </c>
      <c r="X138" s="1455"/>
      <c r="Y138" s="1455"/>
      <c r="Z138" s="1455"/>
      <c r="AA138" s="489"/>
    </row>
    <row r="139" spans="1:47" ht="18.75" customHeight="1" x14ac:dyDescent="0.25">
      <c r="A139" s="1427">
        <v>6</v>
      </c>
      <c r="B139" s="1427"/>
      <c r="C139" s="1473" t="s">
        <v>393</v>
      </c>
      <c r="D139" s="1474"/>
      <c r="E139" s="1474"/>
      <c r="F139" s="1474"/>
      <c r="G139" s="1474"/>
      <c r="H139" s="1474"/>
      <c r="I139" s="1474"/>
      <c r="J139" s="1474"/>
      <c r="K139" s="1474"/>
      <c r="L139" s="1475" t="s">
        <v>357</v>
      </c>
      <c r="M139" s="1455"/>
      <c r="N139" s="1455"/>
      <c r="O139" s="1455"/>
      <c r="P139" s="1455"/>
      <c r="Q139" s="1455"/>
      <c r="R139" s="1455"/>
      <c r="S139" s="1455"/>
      <c r="T139" s="1455"/>
      <c r="U139" s="1455"/>
      <c r="V139" s="1455"/>
      <c r="W139" s="1456">
        <v>44407</v>
      </c>
      <c r="X139" s="1455"/>
      <c r="Y139" s="1455"/>
      <c r="Z139" s="1455"/>
      <c r="AA139" s="489"/>
    </row>
    <row r="140" spans="1:47" ht="78" customHeight="1" x14ac:dyDescent="0.25">
      <c r="A140" s="1367">
        <v>7</v>
      </c>
      <c r="B140" s="1349"/>
      <c r="C140" s="1469" t="s">
        <v>555</v>
      </c>
      <c r="D140" s="1429"/>
      <c r="E140" s="1429"/>
      <c r="F140" s="1429"/>
      <c r="G140" s="1429"/>
      <c r="H140" s="1429"/>
      <c r="I140" s="1429"/>
      <c r="J140" s="1429"/>
      <c r="K140" s="1429"/>
      <c r="L140" s="1470" t="s">
        <v>357</v>
      </c>
      <c r="M140" s="1348"/>
      <c r="N140" s="1348"/>
      <c r="O140" s="1348"/>
      <c r="P140" s="1348"/>
      <c r="Q140" s="1348"/>
      <c r="R140" s="1348"/>
      <c r="S140" s="1348"/>
      <c r="T140" s="1348"/>
      <c r="U140" s="1348"/>
      <c r="V140" s="1349"/>
      <c r="W140" s="1471">
        <v>44581</v>
      </c>
      <c r="X140" s="1348"/>
      <c r="Y140" s="1348"/>
      <c r="Z140" s="1349"/>
      <c r="AA140" s="490"/>
    </row>
    <row r="141" spans="1:47" s="457" customFormat="1" ht="92.25" customHeight="1" x14ac:dyDescent="0.25">
      <c r="A141" s="1450">
        <v>8</v>
      </c>
      <c r="B141" s="1450"/>
      <c r="C141" s="1457" t="s">
        <v>556</v>
      </c>
      <c r="D141" s="1458"/>
      <c r="E141" s="1458"/>
      <c r="F141" s="1458"/>
      <c r="G141" s="1458"/>
      <c r="H141" s="1458"/>
      <c r="I141" s="1458"/>
      <c r="J141" s="1458"/>
      <c r="K141" s="1458"/>
      <c r="L141" s="1450" t="s">
        <v>357</v>
      </c>
      <c r="M141" s="1450"/>
      <c r="N141" s="1450"/>
      <c r="O141" s="1450"/>
      <c r="P141" s="1450"/>
      <c r="Q141" s="1450"/>
      <c r="R141" s="1450"/>
      <c r="S141" s="1450"/>
      <c r="T141" s="1450"/>
      <c r="U141" s="1450"/>
      <c r="V141" s="1450"/>
      <c r="W141" s="1451">
        <v>44840</v>
      </c>
      <c r="X141" s="1451"/>
      <c r="Y141" s="1451"/>
      <c r="Z141" s="1451"/>
      <c r="AA141" s="491"/>
      <c r="AH141" s="14"/>
      <c r="AI141" s="14"/>
      <c r="AJ141" s="14"/>
      <c r="AK141" s="14"/>
      <c r="AL141" s="14"/>
      <c r="AM141" s="14"/>
      <c r="AN141" s="14"/>
      <c r="AO141" s="14"/>
      <c r="AP141" s="14"/>
      <c r="AQ141" s="14"/>
      <c r="AR141" s="14"/>
      <c r="AS141" s="14"/>
      <c r="AT141" s="14"/>
      <c r="AU141" s="14"/>
    </row>
    <row r="142" spans="1:47" s="457" customFormat="1" ht="107.25" customHeight="1" x14ac:dyDescent="0.25">
      <c r="A142" s="1450"/>
      <c r="B142" s="1450"/>
      <c r="C142" s="1452" t="s">
        <v>557</v>
      </c>
      <c r="D142" s="1453"/>
      <c r="E142" s="1453"/>
      <c r="F142" s="1453"/>
      <c r="G142" s="1453"/>
      <c r="H142" s="1453"/>
      <c r="I142" s="1453"/>
      <c r="J142" s="1453"/>
      <c r="K142" s="1453"/>
      <c r="L142" s="1450"/>
      <c r="M142" s="1450"/>
      <c r="N142" s="1450"/>
      <c r="O142" s="1450"/>
      <c r="P142" s="1450"/>
      <c r="Q142" s="1450"/>
      <c r="R142" s="1450"/>
      <c r="S142" s="1450"/>
      <c r="T142" s="1450"/>
      <c r="U142" s="1450"/>
      <c r="V142" s="1450"/>
      <c r="W142" s="1451"/>
      <c r="X142" s="1451"/>
      <c r="Y142" s="1451"/>
      <c r="Z142" s="1451"/>
      <c r="AA142" s="491"/>
      <c r="AH142" s="448" t="s">
        <v>390</v>
      </c>
      <c r="AI142" s="14"/>
      <c r="AJ142" s="14"/>
      <c r="AK142" s="14"/>
      <c r="AL142" s="14"/>
      <c r="AM142" s="14"/>
      <c r="AN142" s="14"/>
      <c r="AO142" s="14"/>
      <c r="AP142" s="14"/>
      <c r="AQ142" s="14"/>
      <c r="AR142" s="14"/>
      <c r="AS142" s="14"/>
      <c r="AT142" s="14"/>
    </row>
    <row r="143" spans="1:47" ht="60" customHeight="1" x14ac:dyDescent="0.25">
      <c r="A143" s="1443">
        <v>9</v>
      </c>
      <c r="B143" s="1443"/>
      <c r="C143" s="1536" t="s">
        <v>468</v>
      </c>
      <c r="D143" s="1536"/>
      <c r="E143" s="1536"/>
      <c r="F143" s="1536"/>
      <c r="G143" s="1536"/>
      <c r="H143" s="1536"/>
      <c r="I143" s="1536"/>
      <c r="J143" s="1536"/>
      <c r="K143" s="1536"/>
      <c r="L143" s="1445" t="s">
        <v>357</v>
      </c>
      <c r="M143" s="1445"/>
      <c r="N143" s="1445"/>
      <c r="O143" s="1445"/>
      <c r="P143" s="1445"/>
      <c r="Q143" s="1445"/>
      <c r="R143" s="1445"/>
      <c r="S143" s="1445"/>
      <c r="T143" s="1445"/>
      <c r="U143" s="1445"/>
      <c r="V143" s="1445"/>
      <c r="W143" s="1446">
        <v>45188</v>
      </c>
      <c r="X143" s="1446"/>
      <c r="Y143" s="1446"/>
      <c r="Z143" s="1446"/>
      <c r="AH143" s="457"/>
      <c r="AI143" s="457"/>
      <c r="AJ143" s="457"/>
      <c r="AK143" s="457"/>
      <c r="AL143" s="457"/>
      <c r="AM143" s="457"/>
      <c r="AN143" s="457"/>
      <c r="AO143" s="457"/>
      <c r="AP143" s="457"/>
      <c r="AQ143" s="457"/>
      <c r="AR143" s="457"/>
      <c r="AS143" s="457"/>
      <c r="AT143" s="457"/>
      <c r="AU143" s="457"/>
    </row>
    <row r="144" spans="1:47" ht="123.75" customHeight="1" x14ac:dyDescent="0.25">
      <c r="A144" s="1443">
        <v>10</v>
      </c>
      <c r="B144" s="1443"/>
      <c r="C144" s="1525" t="s">
        <v>768</v>
      </c>
      <c r="D144" s="1525"/>
      <c r="E144" s="1525"/>
      <c r="F144" s="1525"/>
      <c r="G144" s="1525"/>
      <c r="H144" s="1525"/>
      <c r="I144" s="1525"/>
      <c r="J144" s="1525"/>
      <c r="K144" s="1525"/>
      <c r="L144" s="1445" t="s">
        <v>357</v>
      </c>
      <c r="M144" s="1445"/>
      <c r="N144" s="1445"/>
      <c r="O144" s="1445"/>
      <c r="P144" s="1445"/>
      <c r="Q144" s="1445"/>
      <c r="R144" s="1445"/>
      <c r="S144" s="1445"/>
      <c r="T144" s="1445"/>
      <c r="U144" s="1445"/>
      <c r="V144" s="1445"/>
      <c r="W144" s="1526">
        <v>45329</v>
      </c>
      <c r="X144" s="1526"/>
      <c r="Y144" s="1526"/>
      <c r="Z144" s="1526"/>
      <c r="AH144" s="457"/>
      <c r="AI144" s="457"/>
      <c r="AJ144" s="457"/>
      <c r="AK144" s="457"/>
      <c r="AL144" s="457"/>
      <c r="AM144" s="457"/>
      <c r="AN144" s="457"/>
      <c r="AO144" s="457"/>
      <c r="AP144" s="457"/>
      <c r="AQ144" s="457"/>
      <c r="AR144" s="457"/>
      <c r="AS144" s="457"/>
      <c r="AT144" s="457"/>
    </row>
    <row r="145" spans="1:46" ht="184.5" customHeight="1" x14ac:dyDescent="0.25">
      <c r="A145" s="1443">
        <v>11</v>
      </c>
      <c r="B145" s="1443"/>
      <c r="C145" s="1444" t="s">
        <v>769</v>
      </c>
      <c r="D145" s="1444"/>
      <c r="E145" s="1444"/>
      <c r="F145" s="1444"/>
      <c r="G145" s="1444"/>
      <c r="H145" s="1444"/>
      <c r="I145" s="1444"/>
      <c r="J145" s="1444"/>
      <c r="K145" s="1444"/>
      <c r="L145" s="1445" t="s">
        <v>357</v>
      </c>
      <c r="M145" s="1445"/>
      <c r="N145" s="1445"/>
      <c r="O145" s="1445"/>
      <c r="P145" s="1445"/>
      <c r="Q145" s="1445"/>
      <c r="R145" s="1445"/>
      <c r="S145" s="1445"/>
      <c r="T145" s="1445"/>
      <c r="U145" s="1445"/>
      <c r="V145" s="1445"/>
      <c r="W145" s="1446">
        <v>45566</v>
      </c>
      <c r="X145" s="1446"/>
      <c r="Y145" s="1446"/>
      <c r="Z145" s="1446"/>
      <c r="AH145" s="457"/>
      <c r="AI145" s="457"/>
      <c r="AJ145" s="457"/>
      <c r="AK145" s="457"/>
      <c r="AL145" s="457"/>
      <c r="AM145" s="457"/>
      <c r="AN145" s="457"/>
      <c r="AO145" s="457"/>
      <c r="AP145" s="457"/>
      <c r="AQ145" s="457"/>
      <c r="AR145" s="457"/>
      <c r="AS145" s="457"/>
      <c r="AT145" s="457"/>
    </row>
  </sheetData>
  <sheetProtection algorithmName="SHA-512" hashValue="1boid4iEYON/8h50f3GYBSGJEQ5zgyjruipoLotLnMS4XSn8OmyM8c8qwqslTAPCX2OuOFGNU9kGng+Vmysr+Q==" saltValue="tmhJAqbUD1OwsSwdtMeo/g==" spinCount="100000" sheet="1" objects="1" scenarios="1"/>
  <mergeCells count="262">
    <mergeCell ref="C92:E92"/>
    <mergeCell ref="M91:N91"/>
    <mergeCell ref="K92:L92"/>
    <mergeCell ref="K93:L93"/>
    <mergeCell ref="M95:N95"/>
    <mergeCell ref="Q94:R94"/>
    <mergeCell ref="Q95:R95"/>
    <mergeCell ref="F91:H91"/>
    <mergeCell ref="I91:J91"/>
    <mergeCell ref="O91:P91"/>
    <mergeCell ref="Q91:R91"/>
    <mergeCell ref="I92:J92"/>
    <mergeCell ref="F92:H92"/>
    <mergeCell ref="A143:B143"/>
    <mergeCell ref="C143:K143"/>
    <mergeCell ref="L143:V143"/>
    <mergeCell ref="W143:Z143"/>
    <mergeCell ref="A9:B9"/>
    <mergeCell ref="C9:F9"/>
    <mergeCell ref="M18:P18"/>
    <mergeCell ref="F28:L28"/>
    <mergeCell ref="M28:S28"/>
    <mergeCell ref="T28:Z28"/>
    <mergeCell ref="A53:Z53"/>
    <mergeCell ref="A54:D54"/>
    <mergeCell ref="E54:J54"/>
    <mergeCell ref="T24:Z24"/>
    <mergeCell ref="K91:L91"/>
    <mergeCell ref="M26:S26"/>
    <mergeCell ref="W91:X91"/>
    <mergeCell ref="W92:X92"/>
    <mergeCell ref="A22:AA22"/>
    <mergeCell ref="F86:G86"/>
    <mergeCell ref="F87:G87"/>
    <mergeCell ref="C96:E96"/>
    <mergeCell ref="F96:H96"/>
    <mergeCell ref="I96:J96"/>
    <mergeCell ref="A1:AA1"/>
    <mergeCell ref="A2:AA2"/>
    <mergeCell ref="A3:AA3"/>
    <mergeCell ref="A4:AA4"/>
    <mergeCell ref="A144:B144"/>
    <mergeCell ref="C144:K144"/>
    <mergeCell ref="L144:V144"/>
    <mergeCell ref="W144:Z144"/>
    <mergeCell ref="E19:Y19"/>
    <mergeCell ref="R16:X16"/>
    <mergeCell ref="R17:X17"/>
    <mergeCell ref="R18:W18"/>
    <mergeCell ref="A118:AA118"/>
    <mergeCell ref="A117:AA117"/>
    <mergeCell ref="A116:F116"/>
    <mergeCell ref="A113:AA115"/>
    <mergeCell ref="A119:AA119"/>
    <mergeCell ref="A120:AA120"/>
    <mergeCell ref="A121:AA121"/>
    <mergeCell ref="U80:X80"/>
    <mergeCell ref="U81:X81"/>
    <mergeCell ref="A31:AA32"/>
    <mergeCell ref="A34:AA35"/>
    <mergeCell ref="A39:AA41"/>
    <mergeCell ref="A5:AA5"/>
    <mergeCell ref="A6:AA6"/>
    <mergeCell ref="X8:AA8"/>
    <mergeCell ref="U8:W8"/>
    <mergeCell ref="Y80:AA80"/>
    <mergeCell ref="E12:Z12"/>
    <mergeCell ref="E13:Z13"/>
    <mergeCell ref="U9:W9"/>
    <mergeCell ref="A69:D69"/>
    <mergeCell ref="O54:U54"/>
    <mergeCell ref="O55:U55"/>
    <mergeCell ref="A38:G38"/>
    <mergeCell ref="O56:U56"/>
    <mergeCell ref="A36:Z36"/>
    <mergeCell ref="A43:I43"/>
    <mergeCell ref="A49:F49"/>
    <mergeCell ref="V54:Z54"/>
    <mergeCell ref="V55:Z55"/>
    <mergeCell ref="K54:N54"/>
    <mergeCell ref="K55:N55"/>
    <mergeCell ref="A55:D55"/>
    <mergeCell ref="E55:J55"/>
    <mergeCell ref="A56:D56"/>
    <mergeCell ref="A57:D57"/>
    <mergeCell ref="AH98:AI98"/>
    <mergeCell ref="A16:D16"/>
    <mergeCell ref="A15:D15"/>
    <mergeCell ref="A12:D12"/>
    <mergeCell ref="A13:D13"/>
    <mergeCell ref="A17:D17"/>
    <mergeCell ref="A23:Z23"/>
    <mergeCell ref="A27:E27"/>
    <mergeCell ref="F26:G26"/>
    <mergeCell ref="H26:J26"/>
    <mergeCell ref="M27:S27"/>
    <mergeCell ref="T27:Z27"/>
    <mergeCell ref="J24:L24"/>
    <mergeCell ref="A24:D24"/>
    <mergeCell ref="A25:D25"/>
    <mergeCell ref="M25:S25"/>
    <mergeCell ref="E57:J57"/>
    <mergeCell ref="K57:N57"/>
    <mergeCell ref="A44:AA46"/>
    <mergeCell ref="A52:AA52"/>
    <mergeCell ref="A76:AA76"/>
    <mergeCell ref="A77:AA77"/>
    <mergeCell ref="K96:L96"/>
    <mergeCell ref="M96:N96"/>
    <mergeCell ref="Y92:Z92"/>
    <mergeCell ref="Y93:Z93"/>
    <mergeCell ref="A28:E28"/>
    <mergeCell ref="A26:E26"/>
    <mergeCell ref="F85:G85"/>
    <mergeCell ref="S93:T93"/>
    <mergeCell ref="S94:T94"/>
    <mergeCell ref="Q92:R92"/>
    <mergeCell ref="O96:P96"/>
    <mergeCell ref="Q96:R96"/>
    <mergeCell ref="S96:T96"/>
    <mergeCell ref="A93:B93"/>
    <mergeCell ref="A95:B95"/>
    <mergeCell ref="I95:J95"/>
    <mergeCell ref="K95:L95"/>
    <mergeCell ref="F94:H94"/>
    <mergeCell ref="F93:H93"/>
    <mergeCell ref="I93:J93"/>
    <mergeCell ref="C94:E94"/>
    <mergeCell ref="A96:B96"/>
    <mergeCell ref="O57:U57"/>
    <mergeCell ref="V57:Z57"/>
    <mergeCell ref="F95:H95"/>
    <mergeCell ref="C95:E95"/>
    <mergeCell ref="H107:J107"/>
    <mergeCell ref="K108:L108"/>
    <mergeCell ref="W137:Z137"/>
    <mergeCell ref="A138:B138"/>
    <mergeCell ref="C138:K138"/>
    <mergeCell ref="A123:Z123"/>
    <mergeCell ref="M24:S24"/>
    <mergeCell ref="F27:L27"/>
    <mergeCell ref="A47:F47"/>
    <mergeCell ref="T107:V107"/>
    <mergeCell ref="Q107:S107"/>
    <mergeCell ref="M107:N107"/>
    <mergeCell ref="U91:V91"/>
    <mergeCell ref="O58:U58"/>
    <mergeCell ref="A68:Z68"/>
    <mergeCell ref="E56:J56"/>
    <mergeCell ref="K56:N56"/>
    <mergeCell ref="V56:Z56"/>
    <mergeCell ref="Y95:Z95"/>
    <mergeCell ref="U95:V95"/>
    <mergeCell ref="Y94:Z94"/>
    <mergeCell ref="W93:X93"/>
    <mergeCell ref="W94:X94"/>
    <mergeCell ref="O107:P107"/>
    <mergeCell ref="A58:D58"/>
    <mergeCell ref="E58:J58"/>
    <mergeCell ref="V58:Z58"/>
    <mergeCell ref="V59:Z59"/>
    <mergeCell ref="K58:N58"/>
    <mergeCell ref="A59:D59"/>
    <mergeCell ref="O59:T59"/>
    <mergeCell ref="A65:Z65"/>
    <mergeCell ref="A74:C74"/>
    <mergeCell ref="G74:I74"/>
    <mergeCell ref="M74:Q74"/>
    <mergeCell ref="P70:T70"/>
    <mergeCell ref="K59:N59"/>
    <mergeCell ref="I70:L70"/>
    <mergeCell ref="E59:J59"/>
    <mergeCell ref="N67:Z67"/>
    <mergeCell ref="A140:B140"/>
    <mergeCell ref="C140:K140"/>
    <mergeCell ref="L140:V140"/>
    <mergeCell ref="W140:Z140"/>
    <mergeCell ref="T116:X116"/>
    <mergeCell ref="W138:Z138"/>
    <mergeCell ref="A139:B139"/>
    <mergeCell ref="C139:K139"/>
    <mergeCell ref="L139:V139"/>
    <mergeCell ref="W139:Z139"/>
    <mergeCell ref="A133:Z133"/>
    <mergeCell ref="A134:B134"/>
    <mergeCell ref="C134:K134"/>
    <mergeCell ref="L134:V134"/>
    <mergeCell ref="W134:Z134"/>
    <mergeCell ref="C137:K137"/>
    <mergeCell ref="L137:V137"/>
    <mergeCell ref="AM92:AM94"/>
    <mergeCell ref="AH92:AI92"/>
    <mergeCell ref="AH93:AI93"/>
    <mergeCell ref="AH94:AI94"/>
    <mergeCell ref="AH97:AI97"/>
    <mergeCell ref="O92:P92"/>
    <mergeCell ref="O93:P93"/>
    <mergeCell ref="M92:N92"/>
    <mergeCell ref="M93:N93"/>
    <mergeCell ref="Q93:R93"/>
    <mergeCell ref="AH96:AI96"/>
    <mergeCell ref="U96:V96"/>
    <mergeCell ref="W96:X96"/>
    <mergeCell ref="Y96:Z96"/>
    <mergeCell ref="U93:V93"/>
    <mergeCell ref="S92:T92"/>
    <mergeCell ref="U94:V94"/>
    <mergeCell ref="O94:P94"/>
    <mergeCell ref="O95:P95"/>
    <mergeCell ref="M94:N94"/>
    <mergeCell ref="W95:X95"/>
    <mergeCell ref="U92:V92"/>
    <mergeCell ref="AH95:AI95"/>
    <mergeCell ref="S95:T95"/>
    <mergeCell ref="A145:B145"/>
    <mergeCell ref="C145:K145"/>
    <mergeCell ref="L145:V145"/>
    <mergeCell ref="W145:Z145"/>
    <mergeCell ref="M108:N108"/>
    <mergeCell ref="E108:G108"/>
    <mergeCell ref="H108:J108"/>
    <mergeCell ref="A122:Z122"/>
    <mergeCell ref="K107:L107"/>
    <mergeCell ref="A126:AA126"/>
    <mergeCell ref="A141:B142"/>
    <mergeCell ref="L141:V142"/>
    <mergeCell ref="W141:Z142"/>
    <mergeCell ref="C142:K142"/>
    <mergeCell ref="L135:V135"/>
    <mergeCell ref="W135:Z135"/>
    <mergeCell ref="C141:K141"/>
    <mergeCell ref="A136:B136"/>
    <mergeCell ref="C136:K136"/>
    <mergeCell ref="L136:V136"/>
    <mergeCell ref="W136:Z136"/>
    <mergeCell ref="A137:B137"/>
    <mergeCell ref="T108:V108"/>
    <mergeCell ref="L138:V138"/>
    <mergeCell ref="Y91:Z91"/>
    <mergeCell ref="R87:Y87"/>
    <mergeCell ref="A83:N83"/>
    <mergeCell ref="A85:E85"/>
    <mergeCell ref="A86:E86"/>
    <mergeCell ref="A135:B135"/>
    <mergeCell ref="C135:K135"/>
    <mergeCell ref="O108:P108"/>
    <mergeCell ref="Q108:S108"/>
    <mergeCell ref="A94:B94"/>
    <mergeCell ref="A91:B91"/>
    <mergeCell ref="C91:E91"/>
    <mergeCell ref="K94:L94"/>
    <mergeCell ref="I94:J94"/>
    <mergeCell ref="C93:E93"/>
    <mergeCell ref="A92:B92"/>
    <mergeCell ref="A87:E87"/>
    <mergeCell ref="S91:T91"/>
    <mergeCell ref="G116:J116"/>
    <mergeCell ref="K116:N116"/>
    <mergeCell ref="A110:W110"/>
    <mergeCell ref="A112:G112"/>
    <mergeCell ref="O116:S116"/>
    <mergeCell ref="E107:G107"/>
  </mergeCells>
  <conditionalFormatting sqref="A70">
    <cfRule type="cellIs" dxfId="34" priority="12" operator="equal">
      <formula>0</formula>
    </cfRule>
  </conditionalFormatting>
  <conditionalFormatting sqref="A68:Z68">
    <cfRule type="containsErrors" dxfId="33" priority="13">
      <formula>ISERROR(A68)</formula>
    </cfRule>
    <cfRule type="containsText" dxfId="32" priority="14" operator="containsText" text="No Se Puede Emitir Certificado. ¡ SE DEBE REVISAR LOS DATOS">
      <formula>NOT(ISERROR(SEARCH("No Se Puede Emitir Certificado. ¡ SE DEBE REVISAR LOS DATOS",A68)))</formula>
    </cfRule>
  </conditionalFormatting>
  <conditionalFormatting sqref="A92:AA96">
    <cfRule type="containsBlanks" dxfId="31" priority="15">
      <formula>LEN(TRIM(A92))=0</formula>
    </cfRule>
  </conditionalFormatting>
  <conditionalFormatting sqref="C92:C96">
    <cfRule type="containsBlanks" dxfId="30" priority="30">
      <formula>LEN(TRIM(C92))=0</formula>
    </cfRule>
  </conditionalFormatting>
  <conditionalFormatting sqref="E12:E13">
    <cfRule type="containsBlanks" dxfId="29" priority="35">
      <formula>LEN(TRIM(E12))=0</formula>
    </cfRule>
  </conditionalFormatting>
  <conditionalFormatting sqref="E59:AA59">
    <cfRule type="containsErrors" dxfId="28" priority="32">
      <formula>ISERROR(E59)</formula>
    </cfRule>
    <cfRule type="containsBlanks" dxfId="27" priority="33">
      <formula>LEN(TRIM(E59))=0</formula>
    </cfRule>
  </conditionalFormatting>
  <conditionalFormatting sqref="F92:F96">
    <cfRule type="containsBlanks" dxfId="26" priority="29">
      <formula>LEN(TRIM(F92))=0</formula>
    </cfRule>
  </conditionalFormatting>
  <conditionalFormatting sqref="I92:I96">
    <cfRule type="containsBlanks" dxfId="25" priority="28">
      <formula>LEN(TRIM(I92))=0</formula>
    </cfRule>
  </conditionalFormatting>
  <conditionalFormatting sqref="N70 R18:W18 X8:AA8 E12:Z13 E15:E18 R16:X17 E19:Y19 F24:F25 F26:G26 F27:L28 A55:Z58 A70 Y80:AA80 I85:J87 N85:N87">
    <cfRule type="containsBlanks" dxfId="24" priority="21">
      <formula>LEN(TRIM(A8))=0</formula>
    </cfRule>
  </conditionalFormatting>
  <conditionalFormatting sqref="N70">
    <cfRule type="cellIs" dxfId="23" priority="11" operator="lessThan">
      <formula>$R$18</formula>
    </cfRule>
    <cfRule type="containsBlanks" dxfId="22" priority="36">
      <formula>LEN(TRIM(N70))=0</formula>
    </cfRule>
  </conditionalFormatting>
  <conditionalFormatting sqref="O73">
    <cfRule type="cellIs" dxfId="20" priority="2" operator="equal">
      <formula>0</formula>
    </cfRule>
    <cfRule type="containsBlanks" dxfId="19" priority="3">
      <formula>LEN(TRIM(O73))=0</formula>
    </cfRule>
  </conditionalFormatting>
  <conditionalFormatting sqref="R18:W18">
    <cfRule type="cellIs" dxfId="18" priority="10" operator="lessThan">
      <formula>$R$17</formula>
    </cfRule>
  </conditionalFormatting>
  <conditionalFormatting sqref="T24:Z24 T25:T26 V25:V26 T27:Z28">
    <cfRule type="containsBlanks" dxfId="17" priority="7">
      <formula>LEN(TRIM(T24))=0</formula>
    </cfRule>
  </conditionalFormatting>
  <conditionalFormatting sqref="X8 E15:E19 R16:R18 A92:A96">
    <cfRule type="containsBlanks" dxfId="16" priority="31">
      <formula>LEN(TRIM(A8))=0</formula>
    </cfRule>
  </conditionalFormatting>
  <conditionalFormatting sqref="AN92:AN97">
    <cfRule type="containsText" dxfId="13" priority="25" operator="containsText" text="Ok">
      <formula>NOT(ISERROR(SEARCH("Ok",AN92)))</formula>
    </cfRule>
  </conditionalFormatting>
  <conditionalFormatting sqref="AO91:AP94">
    <cfRule type="expression" dxfId="12" priority="6">
      <formula>$AN$91=Ok</formula>
    </cfRule>
  </conditionalFormatting>
  <printOptions horizontalCentered="1" verticalCentered="1"/>
  <pageMargins left="0.19685039370078741" right="0.19685039370078741" top="1.1023622047244095" bottom="0.78740157480314965" header="0.19685039370078741" footer="0"/>
  <pageSetup scale="64" fitToHeight="2" orientation="portrait" cellComments="asDisplayed" r:id="rId1"/>
  <headerFooter>
    <oddHeader>&amp;L&amp;G&amp;C
&amp;G</oddHeader>
    <oddFooter>&amp;C&amp;G</oddFooter>
  </headerFooter>
  <rowBreaks count="1" manualBreakCount="1">
    <brk id="75" max="26" man="1"/>
  </rowBreaks>
  <drawing r:id="rId2"/>
  <legacyDrawing r:id="rId3"/>
  <legacyDrawingHF r:id="rId4"/>
  <oleObjects>
    <mc:AlternateContent xmlns:mc="http://schemas.openxmlformats.org/markup-compatibility/2006">
      <mc:Choice Requires="x14">
        <oleObject progId="PBrush" shapeId="2114" r:id="rId5">
          <objectPr defaultSize="0" autoPict="0" r:id="rId6">
            <anchor moveWithCells="1" sizeWithCells="1">
              <from>
                <xdr:col>0</xdr:col>
                <xdr:colOff>114300</xdr:colOff>
                <xdr:row>0</xdr:row>
                <xdr:rowOff>57150</xdr:rowOff>
              </from>
              <to>
                <xdr:col>6</xdr:col>
                <xdr:colOff>133350</xdr:colOff>
                <xdr:row>1</xdr:row>
                <xdr:rowOff>180975</xdr:rowOff>
              </to>
            </anchor>
          </objectPr>
        </oleObject>
      </mc:Choice>
      <mc:Fallback>
        <oleObject progId="PBrush" shapeId="2114" r:id="rId5"/>
      </mc:Fallback>
    </mc:AlternateContent>
  </oleObjects>
  <extLst>
    <ext xmlns:x14="http://schemas.microsoft.com/office/spreadsheetml/2009/9/main" uri="{78C0D931-6437-407d-A8EE-F0AAD7539E65}">
      <x14:conditionalFormattings>
        <x14:conditionalFormatting xmlns:xm="http://schemas.microsoft.com/office/excel/2006/main">
          <x14:cfRule type="expression" priority="9" id="{EC526970-5CB1-48AF-9246-BFAFB7610C7F}">
            <xm:f>'DATOS GENERALES'!$J$159=""</xm:f>
            <x14:dxf>
              <fill>
                <patternFill>
                  <bgColor rgb="FFFF0000"/>
                </patternFill>
              </fill>
            </x14:dxf>
          </x14:cfRule>
          <xm:sqref>A70</xm:sqref>
        </x14:conditionalFormatting>
        <x14:conditionalFormatting xmlns:xm="http://schemas.microsoft.com/office/excel/2006/main">
          <x14:cfRule type="expression" priority="1" id="{97760428-9FD0-4218-888E-6F28DE6FE983}">
            <xm:f>'DATOS GENERALES'!$J$159=""</xm:f>
            <x14:dxf>
              <fill>
                <patternFill>
                  <bgColor rgb="FFFF0000"/>
                </patternFill>
              </fill>
            </x14:dxf>
          </x14:cfRule>
          <xm:sqref>O73</xm:sqref>
        </x14:conditionalFormatting>
        <x14:conditionalFormatting xmlns:xm="http://schemas.microsoft.com/office/excel/2006/main">
          <x14:cfRule type="expression" priority="4" id="{38740582-C3CC-4089-B4B4-FC2A6B040828}">
            <xm:f>'DATOS GENERALES'!$N$24:$O$24="N.A."</xm:f>
            <x14:dxf>
              <font>
                <color theme="0"/>
              </font>
              <border>
                <right/>
                <top/>
                <bottom/>
                <vertical/>
                <horizontal/>
              </border>
            </x14:dxf>
          </x14:cfRule>
          <x14:cfRule type="expression" priority="808" id="{5C23D811-3733-44B3-B26A-5F0D3BAF8CBA}">
            <xm:f>'DATOS GENERALES'!$H$171='DATOS GENERALES'!$N$24</xm:f>
            <x14:dxf>
              <font>
                <color theme="0"/>
              </font>
              <border>
                <right/>
                <top/>
                <bottom/>
                <vertical/>
                <horizontal/>
              </border>
            </x14:dxf>
          </x14:cfRule>
          <xm:sqref>AA91:AA94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AP76"/>
  <sheetViews>
    <sheetView showGridLines="0" zoomScaleNormal="100" workbookViewId="0">
      <selection activeCell="B7" sqref="B7"/>
    </sheetView>
  </sheetViews>
  <sheetFormatPr baseColWidth="10" defaultColWidth="11.42578125" defaultRowHeight="12.75" x14ac:dyDescent="0.2"/>
  <cols>
    <col min="1" max="1" width="20.28515625" style="537" customWidth="1"/>
    <col min="2" max="2" width="14.42578125" style="537" customWidth="1"/>
    <col min="3" max="3" width="4.42578125" style="537" customWidth="1"/>
    <col min="4" max="4" width="4" style="537" customWidth="1"/>
    <col min="5" max="5" width="11.42578125" style="537"/>
    <col min="6" max="7" width="1.85546875" style="537" customWidth="1"/>
    <col min="8" max="8" width="14.5703125" style="537" customWidth="1"/>
    <col min="9" max="11" width="1.7109375" style="537" customWidth="1"/>
    <col min="12" max="12" width="11.42578125" style="537"/>
    <col min="13" max="15" width="1.85546875" style="537" customWidth="1"/>
    <col min="16" max="16" width="18.140625" style="537" customWidth="1"/>
    <col min="17" max="17" width="12.85546875" style="537" customWidth="1"/>
    <col min="18" max="19" width="3.140625" style="537" customWidth="1"/>
    <col min="20" max="20" width="18.28515625" style="537" bestFit="1" customWidth="1"/>
    <col min="21" max="21" width="34.7109375" style="537" bestFit="1" customWidth="1"/>
    <col min="22" max="22" width="17" style="537" bestFit="1" customWidth="1"/>
    <col min="23" max="23" width="25.85546875" style="537" bestFit="1" customWidth="1"/>
    <col min="24" max="24" width="23.28515625" style="537" bestFit="1" customWidth="1"/>
    <col min="25" max="25" width="11.85546875" style="537" bestFit="1" customWidth="1"/>
    <col min="26" max="26" width="16.42578125" style="537" customWidth="1"/>
    <col min="27" max="16384" width="11.42578125" style="537"/>
  </cols>
  <sheetData>
    <row r="3" spans="1:42" x14ac:dyDescent="0.2">
      <c r="AC3" s="555" t="s">
        <v>631</v>
      </c>
      <c r="AD3" s="556"/>
      <c r="AE3" s="556"/>
      <c r="AF3" s="557"/>
    </row>
    <row r="4" spans="1:42" ht="55.5" customHeight="1" x14ac:dyDescent="0.2">
      <c r="A4" s="450" t="s">
        <v>469</v>
      </c>
      <c r="B4" s="536" t="s">
        <v>344</v>
      </c>
      <c r="E4" s="538" t="s">
        <v>470</v>
      </c>
      <c r="F4" s="539"/>
      <c r="G4" s="540"/>
      <c r="H4" s="538" t="s">
        <v>471</v>
      </c>
      <c r="I4" s="539"/>
      <c r="J4" s="539"/>
      <c r="K4" s="540"/>
      <c r="L4" s="538" t="s">
        <v>750</v>
      </c>
      <c r="M4" s="539"/>
      <c r="N4" s="539"/>
      <c r="O4" s="540"/>
      <c r="P4" s="541" t="s">
        <v>751</v>
      </c>
      <c r="Q4" s="540" t="s">
        <v>472</v>
      </c>
      <c r="R4" s="542"/>
      <c r="T4" s="543" t="s">
        <v>373</v>
      </c>
      <c r="U4" s="543" t="s">
        <v>374</v>
      </c>
      <c r="V4" s="543" t="s">
        <v>250</v>
      </c>
      <c r="W4" s="543" t="s">
        <v>473</v>
      </c>
      <c r="X4" s="543" t="s">
        <v>474</v>
      </c>
      <c r="Y4" s="544" t="s">
        <v>475</v>
      </c>
      <c r="Z4" s="543" t="s">
        <v>476</v>
      </c>
      <c r="AA4" s="1020" t="s">
        <v>592</v>
      </c>
      <c r="AB4" s="1020" t="s">
        <v>593</v>
      </c>
      <c r="AC4" s="845"/>
      <c r="AD4" s="846" t="s">
        <v>632</v>
      </c>
      <c r="AE4" s="846" t="s">
        <v>633</v>
      </c>
      <c r="AF4" s="846" t="s">
        <v>634</v>
      </c>
      <c r="AG4" s="846" t="s">
        <v>632</v>
      </c>
    </row>
    <row r="5" spans="1:42" ht="15.75" x14ac:dyDescent="0.2">
      <c r="A5" s="537" t="s">
        <v>477</v>
      </c>
      <c r="B5" s="537" t="s">
        <v>478</v>
      </c>
      <c r="E5" s="1021">
        <v>0</v>
      </c>
      <c r="F5" s="1084"/>
      <c r="G5" s="1085"/>
      <c r="H5" s="1021">
        <v>0</v>
      </c>
      <c r="I5" s="1084"/>
      <c r="J5" s="1084"/>
      <c r="K5" s="1085"/>
      <c r="L5" s="1021">
        <v>0</v>
      </c>
      <c r="M5" s="1084"/>
      <c r="N5" s="1084"/>
      <c r="O5" s="1085"/>
      <c r="P5" s="1086">
        <v>2.0000000000000002E-5</v>
      </c>
      <c r="Q5" s="545">
        <v>2.8867513458388434E-5</v>
      </c>
      <c r="T5" s="546" t="s">
        <v>344</v>
      </c>
      <c r="U5" s="546" t="s">
        <v>262</v>
      </c>
      <c r="V5" s="546" t="s">
        <v>251</v>
      </c>
      <c r="W5" s="543" t="str">
        <f>IF('Chequeo Balanza '!K13&lt;=50,B9,B24)</f>
        <v>TM463-25A</v>
      </c>
      <c r="X5" s="547">
        <f>IF(W5=B9,B10,IF(W5=B24,B25,"revisar"))</f>
        <v>45832</v>
      </c>
      <c r="Y5" s="548">
        <f>IF(W5=B9,B11,IF(W5=B24,B26,"revisar"))</f>
        <v>46197</v>
      </c>
      <c r="Z5" s="549" t="s">
        <v>479</v>
      </c>
      <c r="AA5" s="56">
        <v>1.0000000000000001E-5</v>
      </c>
      <c r="AB5" s="56">
        <v>1E-3</v>
      </c>
      <c r="AC5" s="848">
        <f>AE5-AD5</f>
        <v>0</v>
      </c>
      <c r="AD5" s="847"/>
      <c r="AE5" s="847"/>
      <c r="AF5" s="847"/>
      <c r="AG5" s="847"/>
    </row>
    <row r="6" spans="1:42" ht="15.75" x14ac:dyDescent="0.2">
      <c r="A6" s="537" t="s">
        <v>480</v>
      </c>
      <c r="B6" s="537" t="str">
        <f>U5</f>
        <v xml:space="preserve">Balanza semimicro </v>
      </c>
      <c r="E6" s="1021">
        <v>9.9989999999999992E-3</v>
      </c>
      <c r="F6" s="1084"/>
      <c r="G6" s="1085"/>
      <c r="H6" s="1021">
        <v>0.01</v>
      </c>
      <c r="I6" s="1084"/>
      <c r="J6" s="1084"/>
      <c r="K6" s="1085"/>
      <c r="L6" s="1021">
        <v>9.9999999999999995E-7</v>
      </c>
      <c r="M6" s="1084"/>
      <c r="N6" s="1084"/>
      <c r="O6" s="1085"/>
      <c r="P6" s="1086">
        <v>2.0000000000000002E-5</v>
      </c>
      <c r="T6" s="1019" t="s">
        <v>317</v>
      </c>
      <c r="U6" s="1019" t="s">
        <v>65</v>
      </c>
      <c r="V6" s="1019" t="s">
        <v>440</v>
      </c>
      <c r="W6" s="1019" t="s">
        <v>775</v>
      </c>
      <c r="X6" s="547">
        <v>45832</v>
      </c>
      <c r="Y6" s="548">
        <v>46197</v>
      </c>
      <c r="Z6" s="704" t="s">
        <v>479</v>
      </c>
      <c r="AA6" s="56">
        <v>1E-3</v>
      </c>
      <c r="AB6" s="56">
        <v>1E-3</v>
      </c>
      <c r="AC6" s="848">
        <f t="shared" ref="AC6:AC17" si="0">AE6-AD6</f>
        <v>0</v>
      </c>
      <c r="AD6" s="847"/>
      <c r="AE6" s="847"/>
      <c r="AF6" s="847"/>
      <c r="AG6" s="847"/>
    </row>
    <row r="7" spans="1:42" ht="15.75" x14ac:dyDescent="0.2">
      <c r="A7" s="537" t="s">
        <v>481</v>
      </c>
      <c r="B7" s="537" t="str">
        <f>V5</f>
        <v>Ohaus</v>
      </c>
      <c r="E7" s="1021">
        <v>4.9999880000000001</v>
      </c>
      <c r="F7" s="1084"/>
      <c r="G7" s="1085"/>
      <c r="H7" s="1021">
        <v>4.9999900000000004</v>
      </c>
      <c r="I7" s="1084"/>
      <c r="J7" s="1084"/>
      <c r="K7" s="1085"/>
      <c r="L7" s="1021">
        <v>1.9999999999999999E-6</v>
      </c>
      <c r="M7" s="1084"/>
      <c r="N7" s="1084"/>
      <c r="O7" s="1085"/>
      <c r="P7" s="1086">
        <v>3.1999999999999999E-5</v>
      </c>
      <c r="T7" s="1019" t="s">
        <v>441</v>
      </c>
      <c r="U7" s="1019" t="s">
        <v>65</v>
      </c>
      <c r="V7" s="1019" t="s">
        <v>440</v>
      </c>
      <c r="W7" s="1019" t="s">
        <v>776</v>
      </c>
      <c r="X7" s="547">
        <v>45832</v>
      </c>
      <c r="Y7" s="548">
        <v>46197</v>
      </c>
      <c r="Z7" s="704" t="s">
        <v>479</v>
      </c>
      <c r="AA7" s="56">
        <v>0.01</v>
      </c>
      <c r="AB7" s="56">
        <v>0.01</v>
      </c>
      <c r="AC7" s="848">
        <f t="shared" si="0"/>
        <v>0</v>
      </c>
      <c r="AD7" s="847"/>
      <c r="AE7" s="847"/>
      <c r="AF7" s="847"/>
      <c r="AG7" s="847"/>
    </row>
    <row r="8" spans="1:42" ht="15.75" x14ac:dyDescent="0.2">
      <c r="A8" s="537" t="s">
        <v>482</v>
      </c>
      <c r="E8" s="1021">
        <v>10.000014999999999</v>
      </c>
      <c r="F8" s="1084"/>
      <c r="G8" s="1085"/>
      <c r="H8" s="1021">
        <v>10</v>
      </c>
      <c r="I8" s="1084"/>
      <c r="J8" s="1084"/>
      <c r="K8" s="1085"/>
      <c r="L8" s="1021">
        <v>-1.5E-5</v>
      </c>
      <c r="M8" s="1084"/>
      <c r="N8" s="1084"/>
      <c r="O8" s="1085"/>
      <c r="P8" s="1086">
        <v>3.8999999999999999E-5</v>
      </c>
      <c r="T8" s="1019" t="s">
        <v>438</v>
      </c>
      <c r="U8" s="1019" t="s">
        <v>439</v>
      </c>
      <c r="V8" s="1019" t="s">
        <v>440</v>
      </c>
      <c r="W8" s="1019" t="s">
        <v>777</v>
      </c>
      <c r="X8" s="547">
        <v>45832</v>
      </c>
      <c r="Y8" s="548">
        <v>46197</v>
      </c>
      <c r="Z8" s="704" t="s">
        <v>479</v>
      </c>
      <c r="AA8" s="56">
        <v>0.1</v>
      </c>
      <c r="AB8" s="56">
        <v>0.1</v>
      </c>
      <c r="AC8" s="848">
        <f t="shared" si="0"/>
        <v>0</v>
      </c>
      <c r="AD8" s="847"/>
      <c r="AE8" s="847"/>
      <c r="AF8" s="847"/>
      <c r="AG8" s="847"/>
    </row>
    <row r="9" spans="1:42" x14ac:dyDescent="0.2">
      <c r="A9" s="537" t="s">
        <v>483</v>
      </c>
      <c r="B9" s="550" t="s">
        <v>778</v>
      </c>
      <c r="E9" s="1021">
        <v>15.000003</v>
      </c>
      <c r="F9" s="1084"/>
      <c r="G9" s="1085"/>
      <c r="H9" s="1021">
        <v>14.99999</v>
      </c>
      <c r="I9" s="1084"/>
      <c r="J9" s="1084"/>
      <c r="K9" s="1085"/>
      <c r="L9" s="1021">
        <v>-1.2999999999999999E-5</v>
      </c>
      <c r="M9" s="1084"/>
      <c r="N9" s="1084"/>
      <c r="O9" s="1085"/>
      <c r="P9" s="1086">
        <v>6.3E-5</v>
      </c>
      <c r="T9" s="704" t="s">
        <v>259</v>
      </c>
      <c r="U9" s="705" t="str">
        <f>IF($T$9="N.A.","","")</f>
        <v/>
      </c>
      <c r="V9" s="705" t="str">
        <f t="shared" ref="V9:Z9" si="1">IF($T$9="N.A.","","")</f>
        <v/>
      </c>
      <c r="W9" s="705" t="str">
        <f t="shared" si="1"/>
        <v/>
      </c>
      <c r="X9" s="705" t="str">
        <f t="shared" si="1"/>
        <v/>
      </c>
      <c r="Y9" s="705" t="str">
        <f t="shared" si="1"/>
        <v/>
      </c>
      <c r="Z9" s="705" t="str">
        <f t="shared" si="1"/>
        <v/>
      </c>
      <c r="AA9" s="56"/>
      <c r="AB9" s="56"/>
      <c r="AC9" s="848">
        <f t="shared" si="0"/>
        <v>0</v>
      </c>
      <c r="AD9" s="847"/>
      <c r="AE9" s="847"/>
      <c r="AF9" s="847"/>
      <c r="AG9" s="847"/>
    </row>
    <row r="10" spans="1:42" ht="15.75" x14ac:dyDescent="0.25">
      <c r="A10" s="537" t="s">
        <v>484</v>
      </c>
      <c r="B10" s="551">
        <v>45832</v>
      </c>
      <c r="E10" s="1021">
        <v>19.999998000000001</v>
      </c>
      <c r="F10" s="1084"/>
      <c r="G10" s="1085"/>
      <c r="H10" s="1021">
        <v>20.00001</v>
      </c>
      <c r="I10" s="1084"/>
      <c r="J10" s="1084"/>
      <c r="K10" s="1085"/>
      <c r="L10" s="1021">
        <v>1.2E-5</v>
      </c>
      <c r="M10" s="1084"/>
      <c r="N10" s="1084"/>
      <c r="O10" s="1085"/>
      <c r="P10" s="1086">
        <v>5.1999999999999997E-5</v>
      </c>
      <c r="T10" s="1022" t="s">
        <v>586</v>
      </c>
      <c r="U10" s="1022" t="s">
        <v>376</v>
      </c>
      <c r="V10" s="1022" t="s">
        <v>442</v>
      </c>
      <c r="W10" s="1022" t="s">
        <v>770</v>
      </c>
      <c r="X10" s="547">
        <v>45695</v>
      </c>
      <c r="Y10" s="548">
        <v>46060</v>
      </c>
      <c r="Z10" s="704" t="s">
        <v>486</v>
      </c>
      <c r="AA10" s="56">
        <v>0.01</v>
      </c>
      <c r="AB10" s="56">
        <v>0.01</v>
      </c>
      <c r="AC10" s="848">
        <f t="shared" si="0"/>
        <v>-0.14599999999999999</v>
      </c>
      <c r="AD10" s="851">
        <v>0.156</v>
      </c>
      <c r="AE10" s="851">
        <v>0.01</v>
      </c>
      <c r="AF10" s="851"/>
      <c r="AG10" s="851"/>
    </row>
    <row r="11" spans="1:42" ht="15.75" x14ac:dyDescent="0.25">
      <c r="A11" s="551" t="s">
        <v>485</v>
      </c>
      <c r="B11" s="551">
        <v>46197</v>
      </c>
      <c r="E11" s="1021">
        <v>24.999986</v>
      </c>
      <c r="F11" s="1084"/>
      <c r="G11" s="1085"/>
      <c r="H11" s="1021">
        <v>24.99999</v>
      </c>
      <c r="I11" s="1084"/>
      <c r="J11" s="1084"/>
      <c r="K11" s="1085"/>
      <c r="L11" s="1021">
        <v>3.9999999999999998E-6</v>
      </c>
      <c r="M11" s="1084"/>
      <c r="N11" s="1084"/>
      <c r="O11" s="1085"/>
      <c r="P11" s="1086">
        <v>7.7000000000000001E-5</v>
      </c>
      <c r="T11" s="1022" t="s">
        <v>272</v>
      </c>
      <c r="U11" s="1022" t="s">
        <v>376</v>
      </c>
      <c r="V11" s="1022" t="s">
        <v>273</v>
      </c>
      <c r="W11" s="1022" t="s">
        <v>587</v>
      </c>
      <c r="X11" s="547">
        <v>45359</v>
      </c>
      <c r="Y11" s="548">
        <v>45724</v>
      </c>
      <c r="Z11" s="1022" t="s">
        <v>486</v>
      </c>
      <c r="AA11" s="56">
        <v>0.01</v>
      </c>
      <c r="AB11" s="56">
        <v>0.1</v>
      </c>
      <c r="AC11" s="848">
        <f t="shared" si="0"/>
        <v>0</v>
      </c>
      <c r="AD11" s="847"/>
      <c r="AE11" s="847"/>
      <c r="AF11" s="847"/>
      <c r="AG11" s="847"/>
    </row>
    <row r="12" spans="1:42" ht="15.75" x14ac:dyDescent="0.25">
      <c r="E12" s="1021">
        <v>30.000012999999999</v>
      </c>
      <c r="F12" s="1084"/>
      <c r="G12" s="1085"/>
      <c r="H12" s="1021">
        <v>30.00001</v>
      </c>
      <c r="I12" s="1084"/>
      <c r="J12" s="1084"/>
      <c r="K12" s="1085"/>
      <c r="L12" s="1021">
        <v>-3.0000000000000001E-6</v>
      </c>
      <c r="M12" s="1084"/>
      <c r="N12" s="1084"/>
      <c r="O12" s="1085"/>
      <c r="P12" s="1086">
        <v>8.6000000000000003E-5</v>
      </c>
      <c r="T12" s="1019" t="s">
        <v>588</v>
      </c>
      <c r="U12" s="1019" t="s">
        <v>589</v>
      </c>
      <c r="V12" s="1023" t="s">
        <v>590</v>
      </c>
      <c r="W12" s="1023" t="s">
        <v>591</v>
      </c>
      <c r="X12" s="547">
        <v>45337</v>
      </c>
      <c r="Y12" s="548">
        <v>46068</v>
      </c>
      <c r="Z12" s="1022" t="s">
        <v>486</v>
      </c>
      <c r="AA12" s="56">
        <v>0.1</v>
      </c>
      <c r="AB12" s="56">
        <v>0.1</v>
      </c>
      <c r="AC12" s="848">
        <f t="shared" si="0"/>
        <v>0</v>
      </c>
      <c r="AD12" s="847"/>
      <c r="AE12" s="847"/>
      <c r="AF12" s="847"/>
      <c r="AG12" s="847"/>
    </row>
    <row r="13" spans="1:42" ht="15.75" x14ac:dyDescent="0.25">
      <c r="E13" s="1021">
        <v>35</v>
      </c>
      <c r="F13" s="1084"/>
      <c r="G13" s="1085"/>
      <c r="H13" s="1021">
        <v>34.999989999999997</v>
      </c>
      <c r="I13" s="1084"/>
      <c r="J13" s="1084"/>
      <c r="K13" s="1085"/>
      <c r="L13" s="1021">
        <v>-1.0000000000000001E-5</v>
      </c>
      <c r="M13" s="1084"/>
      <c r="N13" s="1084"/>
      <c r="O13" s="1085"/>
      <c r="P13" s="1086">
        <v>1.1E-4</v>
      </c>
      <c r="T13" s="1019" t="s">
        <v>400</v>
      </c>
      <c r="U13" s="1019" t="s">
        <v>375</v>
      </c>
      <c r="V13" s="1019" t="s">
        <v>401</v>
      </c>
      <c r="W13" s="1019" t="s">
        <v>740</v>
      </c>
      <c r="X13" s="547">
        <v>45082</v>
      </c>
      <c r="Y13" s="548">
        <v>45813</v>
      </c>
      <c r="Z13" s="1022" t="s">
        <v>486</v>
      </c>
      <c r="AA13" s="56">
        <v>1</v>
      </c>
      <c r="AB13" s="56">
        <v>1</v>
      </c>
      <c r="AC13" s="848">
        <f t="shared" si="0"/>
        <v>0</v>
      </c>
      <c r="AD13" s="847"/>
      <c r="AE13" s="847"/>
      <c r="AF13" s="847"/>
      <c r="AG13" s="847"/>
    </row>
    <row r="14" spans="1:42" ht="15.75" x14ac:dyDescent="0.25">
      <c r="E14" s="1021">
        <v>40.000010000000003</v>
      </c>
      <c r="F14" s="1084"/>
      <c r="G14" s="1085"/>
      <c r="H14" s="1021">
        <v>40.000010000000003</v>
      </c>
      <c r="I14" s="1084"/>
      <c r="J14" s="1084"/>
      <c r="K14" s="1085"/>
      <c r="L14" s="1021">
        <v>0</v>
      </c>
      <c r="M14" s="1084"/>
      <c r="N14" s="1084"/>
      <c r="O14" s="1085"/>
      <c r="P14" s="1086">
        <v>1E-4</v>
      </c>
      <c r="T14" s="1019" t="s">
        <v>487</v>
      </c>
      <c r="U14" s="1019" t="s">
        <v>375</v>
      </c>
      <c r="V14" s="1023" t="s">
        <v>401</v>
      </c>
      <c r="W14" s="1023" t="s">
        <v>774</v>
      </c>
      <c r="X14" s="547">
        <v>45343</v>
      </c>
      <c r="Y14" s="548">
        <v>46074</v>
      </c>
      <c r="Z14" s="1022" t="s">
        <v>486</v>
      </c>
      <c r="AA14" s="56">
        <v>0.1</v>
      </c>
      <c r="AB14" s="56">
        <v>0.1</v>
      </c>
      <c r="AC14" s="848">
        <f t="shared" si="0"/>
        <v>0</v>
      </c>
      <c r="AD14" s="849"/>
      <c r="AE14" s="850"/>
      <c r="AF14" s="849"/>
      <c r="AG14" s="847"/>
      <c r="AH14" s="552"/>
      <c r="AI14" s="552"/>
      <c r="AJ14" s="552"/>
      <c r="AK14" s="552"/>
      <c r="AM14" s="553"/>
      <c r="AN14" s="553"/>
      <c r="AO14" s="553"/>
      <c r="AP14" s="553"/>
    </row>
    <row r="15" spans="1:42" ht="15.75" x14ac:dyDescent="0.25">
      <c r="E15" s="1021">
        <v>45</v>
      </c>
      <c r="F15" s="1084"/>
      <c r="G15" s="1085"/>
      <c r="H15" s="1021">
        <v>45.000019999999999</v>
      </c>
      <c r="I15" s="1084"/>
      <c r="J15" s="1084"/>
      <c r="K15" s="1085"/>
      <c r="L15" s="1021">
        <v>2.0000000000000002E-5</v>
      </c>
      <c r="M15" s="1084"/>
      <c r="N15" s="1084"/>
      <c r="O15" s="1085"/>
      <c r="P15" s="1086">
        <v>1.2999999999999999E-4</v>
      </c>
      <c r="T15" s="701" t="s">
        <v>703</v>
      </c>
      <c r="U15" s="701" t="s">
        <v>704</v>
      </c>
      <c r="V15" s="707" t="s">
        <v>705</v>
      </c>
      <c r="W15" s="707" t="s">
        <v>707</v>
      </c>
      <c r="X15" s="702">
        <v>45356</v>
      </c>
      <c r="Y15" s="703">
        <v>45905</v>
      </c>
      <c r="Z15" s="706" t="s">
        <v>709</v>
      </c>
      <c r="AA15" s="56">
        <v>0.1</v>
      </c>
      <c r="AB15" s="56">
        <v>0.1</v>
      </c>
      <c r="AC15" s="848">
        <f t="shared" si="0"/>
        <v>0</v>
      </c>
      <c r="AD15" s="849"/>
      <c r="AE15" s="850"/>
      <c r="AF15" s="849"/>
      <c r="AG15" s="847"/>
      <c r="AH15" s="552"/>
      <c r="AI15" s="552"/>
      <c r="AJ15" s="552"/>
      <c r="AK15" s="552"/>
      <c r="AM15" s="553"/>
      <c r="AN15" s="553"/>
      <c r="AO15" s="553"/>
      <c r="AP15" s="553"/>
    </row>
    <row r="16" spans="1:42" ht="15.75" x14ac:dyDescent="0.25">
      <c r="E16" s="1025">
        <v>50</v>
      </c>
      <c r="F16" s="1087"/>
      <c r="G16" s="1088"/>
      <c r="H16" s="1025">
        <v>50.000019999999999</v>
      </c>
      <c r="I16" s="1087"/>
      <c r="J16" s="1087"/>
      <c r="K16" s="1088"/>
      <c r="L16" s="1025">
        <v>2.0000000000000002E-5</v>
      </c>
      <c r="M16" s="1087"/>
      <c r="N16" s="1087"/>
      <c r="O16" s="1088"/>
      <c r="P16" s="1089">
        <v>9.0000000000000006E-5</v>
      </c>
      <c r="T16" s="701" t="s">
        <v>710</v>
      </c>
      <c r="U16" s="701" t="s">
        <v>704</v>
      </c>
      <c r="V16" s="707" t="s">
        <v>706</v>
      </c>
      <c r="W16" s="707" t="s">
        <v>708</v>
      </c>
      <c r="X16" s="702">
        <v>45505</v>
      </c>
      <c r="Y16" s="703">
        <v>46054</v>
      </c>
      <c r="Z16" s="706" t="s">
        <v>709</v>
      </c>
      <c r="AA16" s="56">
        <v>0.1</v>
      </c>
      <c r="AB16" s="56">
        <v>0.1</v>
      </c>
      <c r="AC16" s="848">
        <f t="shared" si="0"/>
        <v>0</v>
      </c>
      <c r="AD16" s="849"/>
      <c r="AE16" s="850"/>
      <c r="AF16" s="849"/>
      <c r="AG16" s="847"/>
      <c r="AH16" s="552"/>
      <c r="AI16" s="552"/>
      <c r="AJ16" s="552"/>
      <c r="AK16" s="552"/>
      <c r="AM16" s="553"/>
      <c r="AN16" s="553"/>
      <c r="AO16" s="553"/>
      <c r="AP16" s="553"/>
    </row>
    <row r="17" spans="1:42" ht="15.75" x14ac:dyDescent="0.25">
      <c r="T17" s="1019" t="s">
        <v>400</v>
      </c>
      <c r="U17" s="1019" t="s">
        <v>375</v>
      </c>
      <c r="V17" s="1019" t="s">
        <v>401</v>
      </c>
      <c r="W17" s="1019" t="s">
        <v>749</v>
      </c>
      <c r="X17" s="547">
        <v>45078</v>
      </c>
      <c r="Y17" s="548">
        <v>45809</v>
      </c>
      <c r="Z17" s="1022" t="s">
        <v>486</v>
      </c>
      <c r="AA17" s="56">
        <v>0.1</v>
      </c>
      <c r="AB17" s="56">
        <v>0.1</v>
      </c>
      <c r="AC17" s="848">
        <f t="shared" si="0"/>
        <v>0</v>
      </c>
      <c r="AD17" s="847"/>
      <c r="AE17" s="847"/>
      <c r="AF17" s="847"/>
      <c r="AG17" s="847"/>
      <c r="AH17" s="552"/>
      <c r="AI17" s="552"/>
      <c r="AJ17" s="552"/>
      <c r="AK17" s="552"/>
      <c r="AM17" s="553"/>
      <c r="AN17" s="553"/>
      <c r="AO17" s="553"/>
      <c r="AP17" s="553"/>
    </row>
    <row r="18" spans="1:42" ht="15.75" x14ac:dyDescent="0.2">
      <c r="AC18" s="552"/>
      <c r="AD18" s="552"/>
      <c r="AE18" s="553"/>
      <c r="AF18" s="552"/>
    </row>
    <row r="19" spans="1:42" ht="51" x14ac:dyDescent="0.2">
      <c r="A19" s="450" t="s">
        <v>469</v>
      </c>
      <c r="B19" s="536" t="s">
        <v>344</v>
      </c>
      <c r="E19" s="538" t="s">
        <v>470</v>
      </c>
      <c r="F19" s="539"/>
      <c r="G19" s="540"/>
      <c r="H19" s="538" t="s">
        <v>471</v>
      </c>
      <c r="I19" s="539"/>
      <c r="J19" s="539"/>
      <c r="K19" s="540"/>
      <c r="L19" s="538" t="s">
        <v>750</v>
      </c>
      <c r="M19" s="539"/>
      <c r="N19" s="539"/>
      <c r="O19" s="540"/>
      <c r="P19" s="541" t="s">
        <v>751</v>
      </c>
      <c r="Q19" s="540" t="s">
        <v>472</v>
      </c>
      <c r="AC19" s="552"/>
      <c r="AD19" s="552"/>
      <c r="AE19" s="553"/>
      <c r="AF19" s="552"/>
    </row>
    <row r="20" spans="1:42" ht="15.75" x14ac:dyDescent="0.2">
      <c r="A20" s="537" t="s">
        <v>477</v>
      </c>
      <c r="B20" s="537" t="s">
        <v>488</v>
      </c>
      <c r="E20" s="1026">
        <v>0</v>
      </c>
      <c r="F20" s="1090"/>
      <c r="G20" s="1091"/>
      <c r="H20" s="1026">
        <v>0</v>
      </c>
      <c r="I20" s="1090"/>
      <c r="J20" s="1090"/>
      <c r="K20" s="1091"/>
      <c r="L20" s="1026">
        <v>0</v>
      </c>
      <c r="M20" s="1090"/>
      <c r="N20" s="1090"/>
      <c r="O20" s="1091"/>
      <c r="P20" s="1024">
        <v>8.2999999999999998E-5</v>
      </c>
      <c r="Q20" s="1092">
        <v>1.1431535329973074E-4</v>
      </c>
      <c r="AC20" s="552"/>
      <c r="AD20" s="552"/>
      <c r="AE20" s="553"/>
      <c r="AF20" s="552"/>
    </row>
    <row r="21" spans="1:42" x14ac:dyDescent="0.2">
      <c r="A21" s="537" t="s">
        <v>480</v>
      </c>
      <c r="B21" s="537" t="s">
        <v>262</v>
      </c>
      <c r="E21" s="1093">
        <v>51.000039999999998</v>
      </c>
      <c r="F21" s="1094"/>
      <c r="G21" s="1095"/>
      <c r="H21" s="1093">
        <v>51</v>
      </c>
      <c r="I21" s="1094"/>
      <c r="J21" s="1094"/>
      <c r="K21" s="1095"/>
      <c r="L21" s="1093">
        <v>-4.0000000000000003E-5</v>
      </c>
      <c r="M21" s="1094"/>
      <c r="N21" s="1094"/>
      <c r="O21" s="1095"/>
      <c r="P21" s="1096">
        <v>1.2E-4</v>
      </c>
      <c r="Q21" s="1094"/>
      <c r="R21" s="554"/>
    </row>
    <row r="22" spans="1:42" x14ac:dyDescent="0.2">
      <c r="A22" s="537" t="s">
        <v>481</v>
      </c>
      <c r="B22" s="537" t="s">
        <v>251</v>
      </c>
      <c r="E22" s="1093">
        <v>65.000050000000002</v>
      </c>
      <c r="F22" s="1094"/>
      <c r="G22" s="1095"/>
      <c r="H22" s="1093">
        <v>65</v>
      </c>
      <c r="I22" s="1094"/>
      <c r="J22" s="1094"/>
      <c r="K22" s="1095"/>
      <c r="L22" s="1093">
        <v>-5.0000000000000002E-5</v>
      </c>
      <c r="M22" s="1094"/>
      <c r="N22" s="1094"/>
      <c r="O22" s="1095"/>
      <c r="P22" s="1096">
        <v>1.4999999999999999E-4</v>
      </c>
      <c r="Q22" s="1094"/>
      <c r="R22" s="554"/>
    </row>
    <row r="23" spans="1:42" x14ac:dyDescent="0.2">
      <c r="A23" s="537" t="s">
        <v>482</v>
      </c>
      <c r="E23" s="1093">
        <v>85.000050000000002</v>
      </c>
      <c r="F23" s="1094"/>
      <c r="G23" s="1095"/>
      <c r="H23" s="1093">
        <v>85</v>
      </c>
      <c r="I23" s="1094"/>
      <c r="J23" s="1094"/>
      <c r="K23" s="1095"/>
      <c r="L23" s="1093">
        <v>-5.0000000000000002E-5</v>
      </c>
      <c r="M23" s="1094"/>
      <c r="N23" s="1094"/>
      <c r="O23" s="1095"/>
      <c r="P23" s="1096">
        <v>2.0000000000000001E-4</v>
      </c>
      <c r="Q23" s="1094"/>
      <c r="R23" s="554"/>
    </row>
    <row r="24" spans="1:42" x14ac:dyDescent="0.2">
      <c r="A24" s="537" t="s">
        <v>483</v>
      </c>
      <c r="B24" s="550" t="s">
        <v>779</v>
      </c>
      <c r="E24" s="1093">
        <v>99.999989999999997</v>
      </c>
      <c r="F24" s="1094"/>
      <c r="G24" s="1095"/>
      <c r="H24" s="1093">
        <v>100</v>
      </c>
      <c r="I24" s="1094"/>
      <c r="J24" s="1094"/>
      <c r="K24" s="1095"/>
      <c r="L24" s="1093">
        <v>1.0000000000000001E-5</v>
      </c>
      <c r="M24" s="1094"/>
      <c r="N24" s="1094"/>
      <c r="O24" s="1095"/>
      <c r="P24" s="1096">
        <v>1.6000000000000001E-4</v>
      </c>
      <c r="Q24" s="1094"/>
      <c r="R24" s="554"/>
    </row>
    <row r="25" spans="1:42" x14ac:dyDescent="0.2">
      <c r="A25" s="537" t="s">
        <v>484</v>
      </c>
      <c r="B25" s="551">
        <v>45832</v>
      </c>
      <c r="E25" s="1093">
        <v>119.99999</v>
      </c>
      <c r="F25" s="1094"/>
      <c r="G25" s="1095"/>
      <c r="H25" s="1093">
        <v>120.0001</v>
      </c>
      <c r="I25" s="1094"/>
      <c r="J25" s="1094"/>
      <c r="K25" s="1095"/>
      <c r="L25" s="1093">
        <v>1.1E-4</v>
      </c>
      <c r="M25" s="1094"/>
      <c r="N25" s="1094"/>
      <c r="O25" s="1095"/>
      <c r="P25" s="1096">
        <v>2.0000000000000001E-4</v>
      </c>
      <c r="Q25" s="1094"/>
      <c r="R25" s="554"/>
    </row>
    <row r="26" spans="1:42" x14ac:dyDescent="0.2">
      <c r="A26" s="551" t="s">
        <v>485</v>
      </c>
      <c r="B26" s="551">
        <v>46197</v>
      </c>
      <c r="E26" s="1093">
        <v>130.00002000000001</v>
      </c>
      <c r="F26" s="1094"/>
      <c r="G26" s="1095"/>
      <c r="H26" s="1093">
        <v>130</v>
      </c>
      <c r="I26" s="1094"/>
      <c r="J26" s="1094"/>
      <c r="K26" s="1095"/>
      <c r="L26" s="1093">
        <v>-2.0000000000000002E-5</v>
      </c>
      <c r="M26" s="1094"/>
      <c r="N26" s="1094"/>
      <c r="O26" s="1095"/>
      <c r="P26" s="1096">
        <v>2.3000000000000001E-4</v>
      </c>
      <c r="Q26" s="1094"/>
      <c r="R26" s="554"/>
    </row>
    <row r="27" spans="1:42" x14ac:dyDescent="0.2">
      <c r="E27" s="1093">
        <v>150.00002000000001</v>
      </c>
      <c r="F27" s="1094"/>
      <c r="G27" s="1095"/>
      <c r="H27" s="1093">
        <v>150.0001</v>
      </c>
      <c r="I27" s="1094"/>
      <c r="J27" s="1094"/>
      <c r="K27" s="1095"/>
      <c r="L27" s="1093">
        <v>8.0000000000000007E-5</v>
      </c>
      <c r="M27" s="1094"/>
      <c r="N27" s="1094"/>
      <c r="O27" s="1095"/>
      <c r="P27" s="1096">
        <v>2.3000000000000001E-4</v>
      </c>
      <c r="Q27" s="1094"/>
      <c r="R27" s="554"/>
    </row>
    <row r="28" spans="1:42" x14ac:dyDescent="0.2">
      <c r="E28" s="1093">
        <v>170.00003000000001</v>
      </c>
      <c r="F28" s="1094"/>
      <c r="G28" s="1095"/>
      <c r="H28" s="1093">
        <v>170</v>
      </c>
      <c r="I28" s="1094"/>
      <c r="J28" s="1094"/>
      <c r="K28" s="1095"/>
      <c r="L28" s="1093">
        <v>-3.0000000000000001E-5</v>
      </c>
      <c r="M28" s="1094"/>
      <c r="N28" s="1094"/>
      <c r="O28" s="1095"/>
      <c r="P28" s="1096">
        <v>2.7E-4</v>
      </c>
      <c r="Q28" s="1094"/>
      <c r="R28" s="554"/>
    </row>
    <row r="29" spans="1:42" x14ac:dyDescent="0.2">
      <c r="E29" s="1093">
        <v>180.00004999999999</v>
      </c>
      <c r="F29" s="1094"/>
      <c r="G29" s="1095"/>
      <c r="H29" s="1093">
        <v>180.0001</v>
      </c>
      <c r="I29" s="1094"/>
      <c r="J29" s="1094"/>
      <c r="K29" s="1095"/>
      <c r="L29" s="1093">
        <v>5.0000000000000002E-5</v>
      </c>
      <c r="M29" s="1094"/>
      <c r="N29" s="1094"/>
      <c r="O29" s="1095"/>
      <c r="P29" s="1096">
        <v>2.9999999999999997E-4</v>
      </c>
      <c r="Q29" s="1094"/>
      <c r="R29" s="554"/>
    </row>
    <row r="30" spans="1:42" x14ac:dyDescent="0.2">
      <c r="E30" s="1093">
        <v>209.99996999999999</v>
      </c>
      <c r="F30" s="1094"/>
      <c r="G30" s="1095"/>
      <c r="H30" s="1093">
        <v>209.9999</v>
      </c>
      <c r="I30" s="1094"/>
      <c r="J30" s="1094"/>
      <c r="K30" s="1095"/>
      <c r="L30" s="1093">
        <v>-6.9999999999999994E-5</v>
      </c>
      <c r="M30" s="1094"/>
      <c r="N30" s="1094"/>
      <c r="O30" s="1095"/>
      <c r="P30" s="1096">
        <v>3.1E-4</v>
      </c>
      <c r="Q30" s="1094"/>
      <c r="R30" s="554"/>
    </row>
    <row r="31" spans="1:42" x14ac:dyDescent="0.2">
      <c r="E31" s="1097">
        <v>219.99995999999999</v>
      </c>
      <c r="F31" s="1098"/>
      <c r="G31" s="1099"/>
      <c r="H31" s="1097">
        <v>219.9999</v>
      </c>
      <c r="I31" s="1098"/>
      <c r="J31" s="1098"/>
      <c r="K31" s="1099"/>
      <c r="L31" s="1097">
        <v>-6.0000000000000002E-5</v>
      </c>
      <c r="M31" s="1098"/>
      <c r="N31" s="1098"/>
      <c r="O31" s="1099"/>
      <c r="P31" s="1100">
        <v>3.3E-4</v>
      </c>
      <c r="Q31" s="1094"/>
      <c r="R31" s="554"/>
    </row>
    <row r="34" spans="1:17" ht="51" x14ac:dyDescent="0.2">
      <c r="A34" s="450" t="s">
        <v>469</v>
      </c>
      <c r="B34" s="536" t="s">
        <v>317</v>
      </c>
      <c r="E34" s="538" t="s">
        <v>470</v>
      </c>
      <c r="F34" s="539"/>
      <c r="G34" s="540"/>
      <c r="H34" s="538" t="s">
        <v>471</v>
      </c>
      <c r="I34" s="539"/>
      <c r="J34" s="539"/>
      <c r="K34" s="540"/>
      <c r="L34" s="538" t="s">
        <v>750</v>
      </c>
      <c r="M34" s="539"/>
      <c r="N34" s="539"/>
      <c r="O34" s="540"/>
      <c r="P34" s="541" t="s">
        <v>751</v>
      </c>
      <c r="Q34" s="540" t="s">
        <v>472</v>
      </c>
    </row>
    <row r="35" spans="1:17" x14ac:dyDescent="0.2">
      <c r="A35" s="537" t="s">
        <v>477</v>
      </c>
      <c r="B35" s="537" t="s">
        <v>489</v>
      </c>
      <c r="E35" s="1101">
        <v>0</v>
      </c>
      <c r="F35" s="1102"/>
      <c r="G35" s="1103"/>
      <c r="H35" s="1101">
        <v>0</v>
      </c>
      <c r="I35" s="1102"/>
      <c r="J35" s="1102"/>
      <c r="K35" s="1103"/>
      <c r="L35" s="1101">
        <v>0</v>
      </c>
      <c r="M35" s="1102"/>
      <c r="N35" s="1102"/>
      <c r="O35" s="1103"/>
      <c r="P35" s="1104">
        <v>1.2999999999999999E-3</v>
      </c>
      <c r="Q35" s="1105">
        <v>6.9282032301116797E-4</v>
      </c>
    </row>
    <row r="36" spans="1:17" x14ac:dyDescent="0.2">
      <c r="A36" s="537" t="s">
        <v>480</v>
      </c>
      <c r="B36" s="537" t="s">
        <v>490</v>
      </c>
      <c r="E36" s="1029">
        <v>0.1</v>
      </c>
      <c r="F36" s="1106"/>
      <c r="G36" s="1107"/>
      <c r="H36" s="1029">
        <v>0.1</v>
      </c>
      <c r="I36" s="1106"/>
      <c r="J36" s="1106"/>
      <c r="K36" s="1107"/>
      <c r="L36" s="1029">
        <v>0</v>
      </c>
      <c r="M36" s="1106"/>
      <c r="N36" s="1106"/>
      <c r="O36" s="1107"/>
      <c r="P36" s="1027">
        <v>1.2999999999999999E-3</v>
      </c>
      <c r="Q36" s="1106"/>
    </row>
    <row r="37" spans="1:17" x14ac:dyDescent="0.2">
      <c r="A37" s="537" t="s">
        <v>481</v>
      </c>
      <c r="B37" s="537" t="s">
        <v>491</v>
      </c>
      <c r="E37" s="1029">
        <v>120</v>
      </c>
      <c r="F37" s="1106"/>
      <c r="G37" s="1107"/>
      <c r="H37" s="1029">
        <v>120.001</v>
      </c>
      <c r="I37" s="1106"/>
      <c r="J37" s="1106"/>
      <c r="K37" s="1107"/>
      <c r="L37" s="1029">
        <v>1E-3</v>
      </c>
      <c r="M37" s="1106"/>
      <c r="N37" s="1106"/>
      <c r="O37" s="1107"/>
      <c r="P37" s="1027">
        <v>1.4E-3</v>
      </c>
      <c r="Q37" s="1106"/>
    </row>
    <row r="38" spans="1:17" x14ac:dyDescent="0.2">
      <c r="A38" s="537" t="s">
        <v>482</v>
      </c>
      <c r="E38" s="1029">
        <v>249.9999</v>
      </c>
      <c r="F38" s="1106"/>
      <c r="G38" s="1107"/>
      <c r="H38" s="1029">
        <v>250</v>
      </c>
      <c r="I38" s="1106"/>
      <c r="J38" s="1106"/>
      <c r="K38" s="1107"/>
      <c r="L38" s="1029">
        <v>1E-4</v>
      </c>
      <c r="M38" s="1106"/>
      <c r="N38" s="1106"/>
      <c r="O38" s="1107"/>
      <c r="P38" s="1027">
        <v>1.5E-3</v>
      </c>
      <c r="Q38" s="1106"/>
    </row>
    <row r="39" spans="1:17" x14ac:dyDescent="0.2">
      <c r="A39" s="537" t="s">
        <v>483</v>
      </c>
      <c r="B39" s="537" t="str">
        <f>W6</f>
        <v>TM465-25A</v>
      </c>
      <c r="E39" s="1029">
        <v>349.99990000000003</v>
      </c>
      <c r="F39" s="1106"/>
      <c r="G39" s="1107"/>
      <c r="H39" s="1029">
        <v>350</v>
      </c>
      <c r="I39" s="1106"/>
      <c r="J39" s="1106"/>
      <c r="K39" s="1107"/>
      <c r="L39" s="1029">
        <v>1E-4</v>
      </c>
      <c r="M39" s="1106"/>
      <c r="N39" s="1106"/>
      <c r="O39" s="1107"/>
      <c r="P39" s="1027">
        <v>1.6000000000000001E-3</v>
      </c>
      <c r="Q39" s="1106"/>
    </row>
    <row r="40" spans="1:17" x14ac:dyDescent="0.2">
      <c r="A40" s="537" t="s">
        <v>484</v>
      </c>
      <c r="B40" s="551">
        <f>X6</f>
        <v>45832</v>
      </c>
      <c r="E40" s="1029">
        <v>500</v>
      </c>
      <c r="F40" s="1106"/>
      <c r="G40" s="1107"/>
      <c r="H40" s="1029">
        <v>500</v>
      </c>
      <c r="I40" s="1106"/>
      <c r="J40" s="1106"/>
      <c r="K40" s="1107"/>
      <c r="L40" s="1029">
        <v>0</v>
      </c>
      <c r="M40" s="1106"/>
      <c r="N40" s="1106"/>
      <c r="O40" s="1107"/>
      <c r="P40" s="1027">
        <v>1.9E-3</v>
      </c>
      <c r="Q40" s="1106"/>
    </row>
    <row r="41" spans="1:17" x14ac:dyDescent="0.2">
      <c r="A41" s="551" t="s">
        <v>485</v>
      </c>
      <c r="B41" s="551">
        <f>Y6</f>
        <v>46197</v>
      </c>
      <c r="E41" s="1029">
        <v>600.00009999999997</v>
      </c>
      <c r="F41" s="1106"/>
      <c r="G41" s="1107"/>
      <c r="H41" s="1029">
        <v>600</v>
      </c>
      <c r="I41" s="1106"/>
      <c r="J41" s="1106"/>
      <c r="K41" s="1107"/>
      <c r="L41" s="1029">
        <v>-1E-4</v>
      </c>
      <c r="M41" s="1106"/>
      <c r="N41" s="1106"/>
      <c r="O41" s="1107"/>
      <c r="P41" s="1027">
        <v>2.0999999999999999E-3</v>
      </c>
      <c r="Q41" s="1106"/>
    </row>
    <row r="42" spans="1:17" x14ac:dyDescent="0.2">
      <c r="E42" s="1029">
        <v>700</v>
      </c>
      <c r="F42" s="1106"/>
      <c r="G42" s="1107"/>
      <c r="H42" s="1029">
        <v>700</v>
      </c>
      <c r="I42" s="1106"/>
      <c r="J42" s="1106"/>
      <c r="K42" s="1107"/>
      <c r="L42" s="1029">
        <v>0</v>
      </c>
      <c r="M42" s="1106"/>
      <c r="N42" s="1106"/>
      <c r="O42" s="1107"/>
      <c r="P42" s="1027">
        <v>2.3E-3</v>
      </c>
      <c r="Q42" s="1106"/>
    </row>
    <row r="43" spans="1:17" x14ac:dyDescent="0.2">
      <c r="E43" s="1029">
        <v>800</v>
      </c>
      <c r="F43" s="1106"/>
      <c r="G43" s="1107"/>
      <c r="H43" s="1029">
        <v>800</v>
      </c>
      <c r="I43" s="1106"/>
      <c r="J43" s="1106"/>
      <c r="K43" s="1107"/>
      <c r="L43" s="1029">
        <v>0</v>
      </c>
      <c r="M43" s="1106"/>
      <c r="N43" s="1106"/>
      <c r="O43" s="1107"/>
      <c r="P43" s="1027">
        <v>2.5999999999999999E-3</v>
      </c>
      <c r="Q43" s="1106"/>
    </row>
    <row r="44" spans="1:17" x14ac:dyDescent="0.2">
      <c r="E44" s="1029">
        <v>999.99929999999995</v>
      </c>
      <c r="F44" s="1106"/>
      <c r="G44" s="1107"/>
      <c r="H44" s="1029">
        <v>1000</v>
      </c>
      <c r="I44" s="1106"/>
      <c r="J44" s="1106"/>
      <c r="K44" s="1107"/>
      <c r="L44" s="1029">
        <v>6.9999999999999999E-4</v>
      </c>
      <c r="M44" s="1106"/>
      <c r="N44" s="1106"/>
      <c r="O44" s="1107"/>
      <c r="P44" s="1027">
        <v>3.0999999999999999E-3</v>
      </c>
      <c r="Q44" s="1106"/>
    </row>
    <row r="45" spans="1:17" x14ac:dyDescent="0.2">
      <c r="E45" s="1029">
        <v>1099.9992999999999</v>
      </c>
      <c r="F45" s="1106"/>
      <c r="G45" s="1107"/>
      <c r="H45" s="1029">
        <v>1100</v>
      </c>
      <c r="I45" s="1106"/>
      <c r="J45" s="1106"/>
      <c r="K45" s="1107"/>
      <c r="L45" s="1029">
        <v>6.9999999999999999E-4</v>
      </c>
      <c r="M45" s="1106"/>
      <c r="N45" s="1106"/>
      <c r="O45" s="1107"/>
      <c r="P45" s="1027">
        <v>3.3999999999999998E-3</v>
      </c>
      <c r="Q45" s="1106"/>
    </row>
    <row r="46" spans="1:17" x14ac:dyDescent="0.2">
      <c r="E46" s="1108">
        <v>1199.9992</v>
      </c>
      <c r="F46" s="1109"/>
      <c r="G46" s="1110"/>
      <c r="H46" s="1108">
        <v>1199.999</v>
      </c>
      <c r="I46" s="1109"/>
      <c r="J46" s="1109"/>
      <c r="K46" s="1110"/>
      <c r="L46" s="1108">
        <v>-2.0000000000000001E-4</v>
      </c>
      <c r="M46" s="1109"/>
      <c r="N46" s="1109"/>
      <c r="O46" s="1110"/>
      <c r="P46" s="1028">
        <v>3.7000000000000002E-3</v>
      </c>
      <c r="Q46" s="1106"/>
    </row>
    <row r="49" spans="1:17" ht="51" x14ac:dyDescent="0.2">
      <c r="A49" s="450" t="s">
        <v>469</v>
      </c>
      <c r="B49" s="536" t="s">
        <v>441</v>
      </c>
      <c r="E49" s="538" t="s">
        <v>470</v>
      </c>
      <c r="F49" s="539"/>
      <c r="G49" s="540"/>
      <c r="H49" s="538" t="s">
        <v>471</v>
      </c>
      <c r="I49" s="539"/>
      <c r="J49" s="539"/>
      <c r="K49" s="540"/>
      <c r="L49" s="538" t="s">
        <v>750</v>
      </c>
      <c r="M49" s="539"/>
      <c r="N49" s="539"/>
      <c r="O49" s="540"/>
      <c r="P49" s="541" t="s">
        <v>751</v>
      </c>
      <c r="Q49" s="540" t="s">
        <v>472</v>
      </c>
    </row>
    <row r="50" spans="1:17" x14ac:dyDescent="0.2">
      <c r="A50" s="537" t="s">
        <v>477</v>
      </c>
      <c r="B50" s="537" t="s">
        <v>492</v>
      </c>
      <c r="E50" s="1029">
        <v>0</v>
      </c>
      <c r="F50" s="1106"/>
      <c r="G50" s="1107"/>
      <c r="H50" s="1029">
        <v>0</v>
      </c>
      <c r="I50" s="1106"/>
      <c r="J50" s="1106"/>
      <c r="K50" s="1107"/>
      <c r="L50" s="1029">
        <v>0</v>
      </c>
      <c r="M50" s="1106"/>
      <c r="N50" s="1106"/>
      <c r="O50" s="1107"/>
      <c r="P50" s="1027">
        <v>8.2000000000000007E-3</v>
      </c>
      <c r="Q50" s="1092">
        <v>1.5588457268105718E-2</v>
      </c>
    </row>
    <row r="51" spans="1:17" x14ac:dyDescent="0.2">
      <c r="A51" s="537" t="s">
        <v>480</v>
      </c>
      <c r="B51" s="537" t="s">
        <v>490</v>
      </c>
      <c r="E51" s="1029">
        <v>5</v>
      </c>
      <c r="F51" s="1106"/>
      <c r="G51" s="1107"/>
      <c r="H51" s="1029">
        <v>5</v>
      </c>
      <c r="I51" s="1106"/>
      <c r="J51" s="1106"/>
      <c r="K51" s="1107"/>
      <c r="L51" s="1029">
        <v>0</v>
      </c>
      <c r="M51" s="1106"/>
      <c r="N51" s="1106"/>
      <c r="O51" s="1107"/>
      <c r="P51" s="1027">
        <v>8.2000000000000007E-3</v>
      </c>
      <c r="Q51" s="1106"/>
    </row>
    <row r="52" spans="1:17" x14ac:dyDescent="0.2">
      <c r="A52" s="537" t="s">
        <v>481</v>
      </c>
      <c r="B52" s="537" t="s">
        <v>491</v>
      </c>
      <c r="E52" s="1029">
        <v>800</v>
      </c>
      <c r="F52" s="1106"/>
      <c r="G52" s="1107"/>
      <c r="H52" s="1029">
        <v>800</v>
      </c>
      <c r="I52" s="1106"/>
      <c r="J52" s="1106"/>
      <c r="K52" s="1107"/>
      <c r="L52" s="1029">
        <v>0</v>
      </c>
      <c r="M52" s="1106"/>
      <c r="N52" s="1106"/>
      <c r="O52" s="1107"/>
      <c r="P52" s="1027">
        <v>8.9999999999999993E-3</v>
      </c>
      <c r="Q52" s="1106"/>
    </row>
    <row r="53" spans="1:17" x14ac:dyDescent="0.2">
      <c r="A53" s="537" t="s">
        <v>482</v>
      </c>
      <c r="E53" s="1029">
        <v>1599.999</v>
      </c>
      <c r="F53" s="1106"/>
      <c r="G53" s="1107"/>
      <c r="H53" s="1029">
        <v>1600</v>
      </c>
      <c r="I53" s="1106"/>
      <c r="J53" s="1106"/>
      <c r="K53" s="1107"/>
      <c r="L53" s="1029">
        <v>1E-3</v>
      </c>
      <c r="M53" s="1106"/>
      <c r="N53" s="1106"/>
      <c r="O53" s="1107"/>
      <c r="P53" s="1027">
        <v>1.0999999999999999E-2</v>
      </c>
      <c r="Q53" s="1106"/>
    </row>
    <row r="54" spans="1:17" x14ac:dyDescent="0.2">
      <c r="A54" s="537" t="s">
        <v>483</v>
      </c>
      <c r="B54" s="537" t="str">
        <f>W7</f>
        <v>TM466-25A</v>
      </c>
      <c r="E54" s="1029">
        <v>2500</v>
      </c>
      <c r="F54" s="1106"/>
      <c r="G54" s="1107"/>
      <c r="H54" s="1029">
        <v>2500</v>
      </c>
      <c r="I54" s="1106"/>
      <c r="J54" s="1106"/>
      <c r="K54" s="1107"/>
      <c r="L54" s="1029">
        <v>0</v>
      </c>
      <c r="M54" s="1106"/>
      <c r="N54" s="1106"/>
      <c r="O54" s="1107"/>
      <c r="P54" s="1027">
        <v>1.4E-2</v>
      </c>
      <c r="Q54" s="1106"/>
    </row>
    <row r="55" spans="1:17" x14ac:dyDescent="0.2">
      <c r="A55" s="537" t="s">
        <v>484</v>
      </c>
      <c r="B55" s="551">
        <f>X7</f>
        <v>45832</v>
      </c>
      <c r="E55" s="1029">
        <v>3199.9989999999998</v>
      </c>
      <c r="F55" s="1106"/>
      <c r="G55" s="1107"/>
      <c r="H55" s="1029">
        <v>3200</v>
      </c>
      <c r="I55" s="1106"/>
      <c r="J55" s="1106"/>
      <c r="K55" s="1107"/>
      <c r="L55" s="1029">
        <v>1E-3</v>
      </c>
      <c r="M55" s="1106"/>
      <c r="N55" s="1106"/>
      <c r="O55" s="1107"/>
      <c r="P55" s="1027">
        <v>1.7000000000000001E-2</v>
      </c>
      <c r="Q55" s="1106"/>
    </row>
    <row r="56" spans="1:17" x14ac:dyDescent="0.2">
      <c r="A56" s="551" t="s">
        <v>485</v>
      </c>
      <c r="B56" s="551">
        <f>Y7</f>
        <v>46197</v>
      </c>
      <c r="E56" s="1029">
        <v>4000</v>
      </c>
      <c r="F56" s="1106"/>
      <c r="G56" s="1107"/>
      <c r="H56" s="1029">
        <v>4000</v>
      </c>
      <c r="I56" s="1106"/>
      <c r="J56" s="1106"/>
      <c r="K56" s="1107"/>
      <c r="L56" s="1029">
        <v>0</v>
      </c>
      <c r="M56" s="1106"/>
      <c r="N56" s="1106"/>
      <c r="O56" s="1107"/>
      <c r="P56" s="1027">
        <v>0.02</v>
      </c>
      <c r="Q56" s="1106"/>
    </row>
    <row r="57" spans="1:17" x14ac:dyDescent="0.2">
      <c r="E57" s="1029">
        <v>5000.0020000000004</v>
      </c>
      <c r="F57" s="1106"/>
      <c r="G57" s="1107"/>
      <c r="H57" s="1029">
        <v>5000</v>
      </c>
      <c r="I57" s="1106"/>
      <c r="J57" s="1106"/>
      <c r="K57" s="1107"/>
      <c r="L57" s="1029">
        <v>-2E-3</v>
      </c>
      <c r="M57" s="1106"/>
      <c r="N57" s="1106"/>
      <c r="O57" s="1107"/>
      <c r="P57" s="1027">
        <v>2.5000000000000001E-2</v>
      </c>
      <c r="Q57" s="1106"/>
    </row>
    <row r="58" spans="1:17" x14ac:dyDescent="0.2">
      <c r="E58" s="1029">
        <v>5500.0020000000004</v>
      </c>
      <c r="F58" s="1106"/>
      <c r="G58" s="1107"/>
      <c r="H58" s="1029">
        <v>5500</v>
      </c>
      <c r="I58" s="1106"/>
      <c r="J58" s="1106"/>
      <c r="K58" s="1107"/>
      <c r="L58" s="1029">
        <v>-2E-3</v>
      </c>
      <c r="M58" s="1106"/>
      <c r="N58" s="1106"/>
      <c r="O58" s="1107"/>
      <c r="P58" s="1027">
        <v>2.7E-2</v>
      </c>
      <c r="Q58" s="1106"/>
    </row>
    <row r="59" spans="1:17" x14ac:dyDescent="0.2">
      <c r="E59" s="1029">
        <v>6500.0010000000002</v>
      </c>
      <c r="F59" s="1106"/>
      <c r="G59" s="1107"/>
      <c r="H59" s="1029">
        <v>6500</v>
      </c>
      <c r="I59" s="1106"/>
      <c r="J59" s="1106"/>
      <c r="K59" s="1107"/>
      <c r="L59" s="1029">
        <v>-1E-3</v>
      </c>
      <c r="M59" s="1106"/>
      <c r="N59" s="1106"/>
      <c r="O59" s="1107"/>
      <c r="P59" s="1027">
        <v>3.1E-2</v>
      </c>
      <c r="Q59" s="1106"/>
    </row>
    <row r="60" spans="1:17" x14ac:dyDescent="0.2">
      <c r="E60" s="1029">
        <v>7000.0020000000004</v>
      </c>
      <c r="F60" s="1106"/>
      <c r="G60" s="1107"/>
      <c r="H60" s="1029">
        <v>7000.01</v>
      </c>
      <c r="I60" s="1106"/>
      <c r="J60" s="1106"/>
      <c r="K60" s="1107"/>
      <c r="L60" s="1029">
        <v>8.0000000000000002E-3</v>
      </c>
      <c r="M60" s="1106"/>
      <c r="N60" s="1106"/>
      <c r="O60" s="1107"/>
      <c r="P60" s="1027">
        <v>3.4000000000000002E-2</v>
      </c>
      <c r="Q60" s="1106"/>
    </row>
    <row r="61" spans="1:17" x14ac:dyDescent="0.2">
      <c r="E61" s="1108">
        <v>8100.0010000000002</v>
      </c>
      <c r="F61" s="1109"/>
      <c r="G61" s="1110"/>
      <c r="H61" s="1108">
        <v>8100.01</v>
      </c>
      <c r="I61" s="1109"/>
      <c r="J61" s="1109"/>
      <c r="K61" s="1110"/>
      <c r="L61" s="1108">
        <v>8.9999999999999993E-3</v>
      </c>
      <c r="M61" s="1109"/>
      <c r="N61" s="1109"/>
      <c r="O61" s="1110"/>
      <c r="P61" s="1028">
        <v>3.9E-2</v>
      </c>
      <c r="Q61" s="1106"/>
    </row>
    <row r="64" spans="1:17" ht="51" x14ac:dyDescent="0.2">
      <c r="A64" s="450" t="s">
        <v>469</v>
      </c>
      <c r="B64" s="536" t="s">
        <v>438</v>
      </c>
      <c r="E64" s="538" t="s">
        <v>470</v>
      </c>
      <c r="F64" s="539"/>
      <c r="G64" s="540"/>
      <c r="H64" s="538" t="s">
        <v>471</v>
      </c>
      <c r="I64" s="539"/>
      <c r="J64" s="539"/>
      <c r="K64" s="540"/>
      <c r="L64" s="538" t="s">
        <v>750</v>
      </c>
      <c r="M64" s="539"/>
      <c r="N64" s="539"/>
      <c r="O64" s="540"/>
      <c r="P64" s="541" t="s">
        <v>751</v>
      </c>
      <c r="Q64" s="540" t="s">
        <v>472</v>
      </c>
    </row>
    <row r="65" spans="1:17" x14ac:dyDescent="0.2">
      <c r="A65" s="537" t="s">
        <v>477</v>
      </c>
      <c r="B65" s="537" t="s">
        <v>493</v>
      </c>
      <c r="E65" s="1030">
        <v>0</v>
      </c>
      <c r="F65" s="1111"/>
      <c r="G65" s="1112"/>
      <c r="H65" s="1030">
        <v>0</v>
      </c>
      <c r="I65" s="1111"/>
      <c r="J65" s="1111"/>
      <c r="K65" s="1112"/>
      <c r="L65" s="1030">
        <v>0</v>
      </c>
      <c r="M65" s="1111"/>
      <c r="N65" s="1111"/>
      <c r="O65" s="1112"/>
      <c r="P65" s="1031">
        <v>8.2000000000000003E-2</v>
      </c>
      <c r="Q65" s="1092">
        <v>8.6602540378758919E-2</v>
      </c>
    </row>
    <row r="66" spans="1:17" x14ac:dyDescent="0.2">
      <c r="A66" s="537" t="s">
        <v>480</v>
      </c>
      <c r="B66" s="537" t="s">
        <v>490</v>
      </c>
      <c r="E66" s="1030">
        <v>50</v>
      </c>
      <c r="F66" s="1111"/>
      <c r="G66" s="1112"/>
      <c r="H66" s="1030">
        <v>50</v>
      </c>
      <c r="I66" s="1111"/>
      <c r="J66" s="1111"/>
      <c r="K66" s="1112"/>
      <c r="L66" s="1030">
        <v>0</v>
      </c>
      <c r="M66" s="1111"/>
      <c r="N66" s="1111"/>
      <c r="O66" s="1112"/>
      <c r="P66" s="1031">
        <v>8.2000000000000003E-2</v>
      </c>
      <c r="Q66" s="1111"/>
    </row>
    <row r="67" spans="1:17" x14ac:dyDescent="0.2">
      <c r="A67" s="537" t="s">
        <v>481</v>
      </c>
      <c r="B67" s="537" t="s">
        <v>491</v>
      </c>
      <c r="E67" s="1030">
        <v>2999.9989999999998</v>
      </c>
      <c r="F67" s="1111"/>
      <c r="G67" s="1112"/>
      <c r="H67" s="1030">
        <v>3000</v>
      </c>
      <c r="I67" s="1111"/>
      <c r="J67" s="1111"/>
      <c r="K67" s="1112"/>
      <c r="L67" s="1030">
        <v>1E-3</v>
      </c>
      <c r="M67" s="1111"/>
      <c r="N67" s="1111"/>
      <c r="O67" s="1112"/>
      <c r="P67" s="1031">
        <v>8.4000000000000005E-2</v>
      </c>
      <c r="Q67" s="1111"/>
    </row>
    <row r="68" spans="1:17" x14ac:dyDescent="0.2">
      <c r="A68" s="537" t="s">
        <v>482</v>
      </c>
      <c r="E68" s="1030">
        <v>6000</v>
      </c>
      <c r="F68" s="1111"/>
      <c r="G68" s="1112"/>
      <c r="H68" s="1030">
        <v>6000</v>
      </c>
      <c r="I68" s="1111"/>
      <c r="J68" s="1111"/>
      <c r="K68" s="1112"/>
      <c r="L68" s="1030">
        <v>0</v>
      </c>
      <c r="M68" s="1111"/>
      <c r="N68" s="1111"/>
      <c r="O68" s="1112"/>
      <c r="P68" s="1031">
        <v>0.09</v>
      </c>
      <c r="Q68" s="1111"/>
    </row>
    <row r="69" spans="1:17" x14ac:dyDescent="0.2">
      <c r="A69" s="537" t="s">
        <v>483</v>
      </c>
      <c r="B69" s="537" t="str">
        <f>W8</f>
        <v>TM467-25A</v>
      </c>
      <c r="E69" s="1030">
        <v>9000</v>
      </c>
      <c r="F69" s="1111"/>
      <c r="G69" s="1112"/>
      <c r="H69" s="1030">
        <v>9000</v>
      </c>
      <c r="I69" s="1111"/>
      <c r="J69" s="1111"/>
      <c r="K69" s="1112"/>
      <c r="L69" s="1030">
        <v>0</v>
      </c>
      <c r="M69" s="1111"/>
      <c r="N69" s="1111"/>
      <c r="O69" s="1112"/>
      <c r="P69" s="1031">
        <v>0.1</v>
      </c>
      <c r="Q69" s="1111"/>
    </row>
    <row r="70" spans="1:17" x14ac:dyDescent="0.2">
      <c r="A70" s="537" t="s">
        <v>484</v>
      </c>
      <c r="B70" s="551">
        <f>X8</f>
        <v>45832</v>
      </c>
      <c r="E70" s="1030">
        <v>12000.02</v>
      </c>
      <c r="F70" s="1111"/>
      <c r="G70" s="1112"/>
      <c r="H70" s="1030">
        <v>12000</v>
      </c>
      <c r="I70" s="1111"/>
      <c r="J70" s="1111"/>
      <c r="K70" s="1112"/>
      <c r="L70" s="1030">
        <v>-0.02</v>
      </c>
      <c r="M70" s="1111"/>
      <c r="N70" s="1111"/>
      <c r="O70" s="1112"/>
      <c r="P70" s="1031">
        <v>0.11</v>
      </c>
      <c r="Q70" s="1111"/>
    </row>
    <row r="71" spans="1:17" x14ac:dyDescent="0.2">
      <c r="A71" s="551" t="s">
        <v>485</v>
      </c>
      <c r="B71" s="551">
        <f>Y8</f>
        <v>46197</v>
      </c>
      <c r="E71" s="1030">
        <v>15000.02</v>
      </c>
      <c r="F71" s="1111"/>
      <c r="G71" s="1112"/>
      <c r="H71" s="1030">
        <v>15000</v>
      </c>
      <c r="I71" s="1111"/>
      <c r="J71" s="1111"/>
      <c r="K71" s="1112"/>
      <c r="L71" s="1030">
        <v>-0.02</v>
      </c>
      <c r="M71" s="1111"/>
      <c r="N71" s="1111"/>
      <c r="O71" s="1112"/>
      <c r="P71" s="1031">
        <v>0.13</v>
      </c>
      <c r="Q71" s="1111"/>
    </row>
    <row r="72" spans="1:17" x14ac:dyDescent="0.2">
      <c r="E72" s="1030">
        <v>18000.02</v>
      </c>
      <c r="F72" s="1111"/>
      <c r="G72" s="1112"/>
      <c r="H72" s="1030">
        <v>18000</v>
      </c>
      <c r="I72" s="1111"/>
      <c r="J72" s="1111"/>
      <c r="K72" s="1112"/>
      <c r="L72" s="1030">
        <v>-0.02</v>
      </c>
      <c r="M72" s="1111"/>
      <c r="N72" s="1111"/>
      <c r="O72" s="1112"/>
      <c r="P72" s="1031">
        <v>0.14000000000000001</v>
      </c>
      <c r="Q72" s="1111"/>
    </row>
    <row r="73" spans="1:17" x14ac:dyDescent="0.2">
      <c r="E73" s="1030">
        <v>21999.99</v>
      </c>
      <c r="F73" s="1111"/>
      <c r="G73" s="1112"/>
      <c r="H73" s="1030">
        <v>22000</v>
      </c>
      <c r="I73" s="1111"/>
      <c r="J73" s="1111"/>
      <c r="K73" s="1112"/>
      <c r="L73" s="1030">
        <v>0.01</v>
      </c>
      <c r="M73" s="1111"/>
      <c r="N73" s="1111"/>
      <c r="O73" s="1112"/>
      <c r="P73" s="1031">
        <v>0.16</v>
      </c>
      <c r="Q73" s="1111"/>
    </row>
    <row r="74" spans="1:17" x14ac:dyDescent="0.2">
      <c r="E74" s="1030">
        <v>24999.99</v>
      </c>
      <c r="F74" s="1111"/>
      <c r="G74" s="1112"/>
      <c r="H74" s="1030">
        <v>25000</v>
      </c>
      <c r="I74" s="1111"/>
      <c r="J74" s="1111"/>
      <c r="K74" s="1112"/>
      <c r="L74" s="1030">
        <v>0.01</v>
      </c>
      <c r="M74" s="1111"/>
      <c r="N74" s="1111"/>
      <c r="O74" s="1112"/>
      <c r="P74" s="1031">
        <v>0.18</v>
      </c>
      <c r="Q74" s="1111"/>
    </row>
    <row r="75" spans="1:17" x14ac:dyDescent="0.2">
      <c r="E75" s="1030">
        <v>26999.99</v>
      </c>
      <c r="F75" s="1111"/>
      <c r="G75" s="1112"/>
      <c r="H75" s="1030">
        <v>27000</v>
      </c>
      <c r="I75" s="1111"/>
      <c r="J75" s="1111"/>
      <c r="K75" s="1112"/>
      <c r="L75" s="1030">
        <v>0.01</v>
      </c>
      <c r="M75" s="1111"/>
      <c r="N75" s="1111"/>
      <c r="O75" s="1112"/>
      <c r="P75" s="1031">
        <v>0.19</v>
      </c>
      <c r="Q75" s="1111"/>
    </row>
    <row r="76" spans="1:17" x14ac:dyDescent="0.2">
      <c r="E76" s="1032">
        <v>30000.01</v>
      </c>
      <c r="F76" s="1113"/>
      <c r="G76" s="1114"/>
      <c r="H76" s="1032">
        <v>30000</v>
      </c>
      <c r="I76" s="1113"/>
      <c r="J76" s="1113"/>
      <c r="K76" s="1114"/>
      <c r="L76" s="1032">
        <v>-0.01</v>
      </c>
      <c r="M76" s="1113"/>
      <c r="N76" s="1113"/>
      <c r="O76" s="1114"/>
      <c r="P76" s="1115">
        <v>0.21</v>
      </c>
      <c r="Q76" s="1111"/>
    </row>
  </sheetData>
  <sheetProtection password="CE28" sheet="1" objects="1" scenario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Y147"/>
  <sheetViews>
    <sheetView topLeftCell="A61" zoomScaleNormal="100" workbookViewId="0">
      <selection activeCell="J85" sqref="J85"/>
    </sheetView>
  </sheetViews>
  <sheetFormatPr baseColWidth="10" defaultColWidth="11.42578125" defaultRowHeight="15" x14ac:dyDescent="0.25"/>
  <cols>
    <col min="1" max="6" width="11.42578125" style="864"/>
    <col min="7" max="7" width="14" style="864" customWidth="1"/>
    <col min="8" max="9" width="11.42578125" style="864"/>
    <col min="10" max="10" width="15.42578125" style="864" customWidth="1"/>
    <col min="11" max="11" width="12.7109375" style="864" customWidth="1"/>
    <col min="12" max="12" width="11.85546875" style="864" bestFit="1" customWidth="1"/>
    <col min="13" max="14" width="11.42578125" style="864"/>
    <col min="15" max="15" width="13" style="864" customWidth="1"/>
    <col min="16" max="16" width="11.42578125" style="864"/>
    <col min="17" max="17" width="14.5703125" style="864" customWidth="1"/>
    <col min="18" max="18" width="20.28515625" style="864" customWidth="1"/>
    <col min="19" max="19" width="7.42578125" style="864" customWidth="1"/>
    <col min="20" max="20" width="9.42578125" style="864" customWidth="1"/>
    <col min="21" max="21" width="11.28515625" style="864" customWidth="1"/>
    <col min="22" max="22" width="9.7109375" style="864" customWidth="1"/>
    <col min="23" max="28" width="11.42578125" style="864"/>
    <col min="29" max="29" width="17" style="864" customWidth="1"/>
    <col min="30" max="30" width="11.42578125" style="864"/>
    <col min="31" max="31" width="10.42578125" style="864" customWidth="1"/>
    <col min="32" max="32" width="8.85546875" style="864" customWidth="1"/>
    <col min="33" max="33" width="12" style="864" bestFit="1" customWidth="1"/>
    <col min="34" max="34" width="11.42578125" style="864"/>
    <col min="35" max="38" width="9.5703125" style="870" customWidth="1"/>
    <col min="39" max="39" width="15" style="870" customWidth="1"/>
    <col min="40" max="40" width="7.85546875" style="870" customWidth="1"/>
    <col min="41" max="41" width="9.5703125" style="864" bestFit="1" customWidth="1"/>
    <col min="42" max="42" width="8.7109375" style="864" customWidth="1"/>
    <col min="43" max="43" width="9.42578125" style="864" customWidth="1"/>
    <col min="44" max="49" width="11.42578125" style="864"/>
    <col min="50" max="51" width="10.28515625" style="864" customWidth="1"/>
    <col min="52" max="16384" width="11.42578125" style="864"/>
  </cols>
  <sheetData>
    <row r="2" spans="11:25" x14ac:dyDescent="0.25">
      <c r="K2" s="864" t="s">
        <v>637</v>
      </c>
      <c r="X2" s="864" t="s">
        <v>641</v>
      </c>
    </row>
    <row r="3" spans="11:25" x14ac:dyDescent="0.25">
      <c r="X3" s="867" t="s">
        <v>642</v>
      </c>
    </row>
    <row r="4" spans="11:25" x14ac:dyDescent="0.25">
      <c r="X4" s="864" t="s">
        <v>643</v>
      </c>
      <c r="Y4" s="868" t="s">
        <v>644</v>
      </c>
    </row>
    <row r="5" spans="11:25" ht="19.5" customHeight="1" x14ac:dyDescent="0.25"/>
    <row r="6" spans="11:25" ht="26.25" customHeight="1" x14ac:dyDescent="0.25">
      <c r="M6" s="865" t="s">
        <v>638</v>
      </c>
      <c r="N6" s="866" t="s">
        <v>639</v>
      </c>
    </row>
    <row r="7" spans="11:25" x14ac:dyDescent="0.25">
      <c r="K7" s="864" t="s">
        <v>640</v>
      </c>
    </row>
    <row r="42" spans="11:35" x14ac:dyDescent="0.25">
      <c r="L42" s="869"/>
      <c r="M42" s="869"/>
      <c r="N42" s="869"/>
      <c r="O42" s="869"/>
      <c r="P42" s="869"/>
      <c r="Q42" s="869"/>
      <c r="R42" s="869"/>
      <c r="AB42" s="870"/>
      <c r="AC42" s="870"/>
      <c r="AD42" s="870"/>
      <c r="AE42" s="870"/>
      <c r="AF42" s="1542" t="s">
        <v>645</v>
      </c>
      <c r="AG42" s="1542"/>
      <c r="AH42" s="1543" t="s">
        <v>645</v>
      </c>
      <c r="AI42" s="1543"/>
    </row>
    <row r="43" spans="11:35" x14ac:dyDescent="0.25">
      <c r="K43" s="872" t="s">
        <v>646</v>
      </c>
      <c r="L43" s="873" t="s">
        <v>647</v>
      </c>
      <c r="M43" s="871" t="s">
        <v>648</v>
      </c>
      <c r="N43" s="871" t="s">
        <v>649</v>
      </c>
      <c r="O43" s="871" t="s">
        <v>650</v>
      </c>
      <c r="P43" s="873" t="s">
        <v>651</v>
      </c>
      <c r="Q43" s="871" t="s">
        <v>652</v>
      </c>
      <c r="R43" s="871" t="s">
        <v>653</v>
      </c>
      <c r="S43" s="871" t="s">
        <v>654</v>
      </c>
      <c r="T43" s="871"/>
      <c r="U43" s="871" t="s">
        <v>655</v>
      </c>
      <c r="V43" s="871"/>
      <c r="W43" s="1542" t="s">
        <v>645</v>
      </c>
      <c r="X43" s="1542"/>
      <c r="Y43" s="1544" t="s">
        <v>645</v>
      </c>
      <c r="Z43" s="1544"/>
      <c r="AB43" s="871" t="s">
        <v>656</v>
      </c>
      <c r="AC43" s="874" t="str">
        <f>CONCATENATE("ɸ(",ROUND(AB44,2)," ) ")</f>
        <v xml:space="preserve">ɸ(1,67 ) </v>
      </c>
      <c r="AD43" s="871" t="s">
        <v>657</v>
      </c>
      <c r="AE43" s="875" t="str">
        <f>CONCATENATE("ɸ(",ROUND(AD44,2)," ) ")</f>
        <v xml:space="preserve">ɸ(-1,67 ) </v>
      </c>
      <c r="AF43" s="1556" t="str">
        <f>CONCATENATE("ɸ(",ROUND(AB44,2)," ) - ","ɸ(",ROUND(AD44,2)," ) ")</f>
        <v xml:space="preserve">ɸ(1,67 ) - ɸ(-1,67 ) </v>
      </c>
      <c r="AG43" s="1557"/>
      <c r="AH43" s="1558"/>
      <c r="AI43" s="1559"/>
    </row>
    <row r="44" spans="11:35" x14ac:dyDescent="0.25">
      <c r="K44" s="878">
        <v>1500</v>
      </c>
      <c r="L44" s="871">
        <v>0.2</v>
      </c>
      <c r="M44" s="871">
        <v>1500.2</v>
      </c>
      <c r="N44" s="871">
        <v>1499.8</v>
      </c>
      <c r="O44" s="871">
        <v>1500</v>
      </c>
      <c r="P44" s="871">
        <v>0.12</v>
      </c>
      <c r="Q44" s="871">
        <f>P44/R44</f>
        <v>5.8536585365853662E-2</v>
      </c>
      <c r="R44" s="871">
        <v>2.0499999999999998</v>
      </c>
      <c r="S44" s="871">
        <f>_xlfn.NORM.DIST(M44,O44,P44,1)</f>
        <v>0.95220964772722305</v>
      </c>
      <c r="T44" s="871"/>
      <c r="U44" s="871">
        <f>_xlfn.NORM.DIST(N44,O44,P44,1)</f>
        <v>4.7790352272777004E-2</v>
      </c>
      <c r="V44" s="871"/>
      <c r="W44" s="879">
        <f>S44-U44</f>
        <v>0.9044192954544461</v>
      </c>
      <c r="X44" s="880">
        <f>W44</f>
        <v>0.9044192954544461</v>
      </c>
      <c r="Y44" s="881">
        <f>1-W44</f>
        <v>9.5580704545553896E-2</v>
      </c>
      <c r="Z44" s="880">
        <f>Y44</f>
        <v>9.5580704545553896E-2</v>
      </c>
      <c r="AB44" s="874">
        <f>(M44-O44)/P44</f>
        <v>1.6666666666670458</v>
      </c>
      <c r="AC44" s="879">
        <f>_xlfn.NORM.S.DIST(AB44,1)</f>
        <v>0.95220964772722305</v>
      </c>
      <c r="AD44" s="874">
        <f>(N44-O44)/P44</f>
        <v>-1.6666666666670458</v>
      </c>
      <c r="AE44" s="876">
        <f>_xlfn.NORM.S.DIST(AD44,1)</f>
        <v>4.7790352272777004E-2</v>
      </c>
      <c r="AF44" s="882">
        <f>AC44-AE44</f>
        <v>0.9044192954544461</v>
      </c>
      <c r="AG44" s="883">
        <f>AF44</f>
        <v>0.9044192954544461</v>
      </c>
      <c r="AH44" s="879">
        <f>1-AF44</f>
        <v>9.5580704545553896E-2</v>
      </c>
      <c r="AI44" s="884">
        <f>AH44</f>
        <v>9.5580704545553896E-2</v>
      </c>
    </row>
    <row r="46" spans="11:35" x14ac:dyDescent="0.25">
      <c r="K46" s="872" t="s">
        <v>646</v>
      </c>
      <c r="L46" s="873" t="s">
        <v>647</v>
      </c>
      <c r="M46" s="871" t="s">
        <v>648</v>
      </c>
      <c r="N46" s="871" t="s">
        <v>649</v>
      </c>
      <c r="O46" s="871" t="s">
        <v>650</v>
      </c>
      <c r="P46" s="885" t="s">
        <v>658</v>
      </c>
      <c r="Q46" s="871"/>
      <c r="R46" s="871"/>
      <c r="S46" s="871" t="s">
        <v>654</v>
      </c>
      <c r="T46" s="871"/>
      <c r="U46" s="871" t="s">
        <v>655</v>
      </c>
      <c r="V46" s="871"/>
      <c r="W46" s="1542" t="s">
        <v>645</v>
      </c>
      <c r="X46" s="1542"/>
      <c r="Y46" s="1544" t="s">
        <v>645</v>
      </c>
      <c r="Z46" s="1544"/>
    </row>
    <row r="47" spans="11:35" x14ac:dyDescent="0.25">
      <c r="K47" s="878">
        <v>1500</v>
      </c>
      <c r="L47" s="871">
        <v>0.2</v>
      </c>
      <c r="M47" s="871">
        <v>1500.2</v>
      </c>
      <c r="N47" s="871">
        <v>1499.8</v>
      </c>
      <c r="O47" s="871">
        <v>1500</v>
      </c>
      <c r="P47" s="871">
        <v>0.12</v>
      </c>
      <c r="Q47" s="871"/>
      <c r="R47" s="871"/>
      <c r="S47" s="871">
        <f>_xlfn.NORM.DIST(M47,O47,P47,1)</f>
        <v>0.95220964772722305</v>
      </c>
      <c r="T47" s="871"/>
      <c r="U47" s="871">
        <f>_xlfn.NORM.DIST(N47,O47,P47,1)</f>
        <v>4.7790352272777004E-2</v>
      </c>
      <c r="V47" s="871"/>
      <c r="W47" s="879">
        <f>S47-U47</f>
        <v>0.9044192954544461</v>
      </c>
      <c r="X47" s="880">
        <f>W47</f>
        <v>0.9044192954544461</v>
      </c>
      <c r="Y47" s="881">
        <f>1-W47</f>
        <v>9.5580704545553896E-2</v>
      </c>
      <c r="Z47" s="880">
        <f>Y47</f>
        <v>9.5580704545553896E-2</v>
      </c>
    </row>
    <row r="52" spans="10:42" x14ac:dyDescent="0.25">
      <c r="J52" s="864" t="s">
        <v>659</v>
      </c>
    </row>
    <row r="54" spans="10:42" x14ac:dyDescent="0.25">
      <c r="N54" s="886"/>
      <c r="O54" s="887" t="s">
        <v>344</v>
      </c>
      <c r="P54" s="888"/>
      <c r="Q54" s="889"/>
    </row>
    <row r="55" spans="10:42" x14ac:dyDescent="0.25">
      <c r="N55" s="886" t="s">
        <v>660</v>
      </c>
      <c r="O55" s="886" t="s">
        <v>661</v>
      </c>
      <c r="P55" s="886" t="s">
        <v>652</v>
      </c>
      <c r="Q55" s="886" t="s">
        <v>647</v>
      </c>
      <c r="S55" s="869"/>
      <c r="T55" s="869"/>
      <c r="U55" s="869"/>
      <c r="V55" s="869"/>
      <c r="W55" s="869"/>
      <c r="X55" s="869"/>
      <c r="Y55" s="869"/>
      <c r="Z55" s="869"/>
      <c r="AA55" s="869"/>
      <c r="AM55" s="1542" t="s">
        <v>645</v>
      </c>
      <c r="AN55" s="1542"/>
      <c r="AO55" s="1543" t="s">
        <v>645</v>
      </c>
      <c r="AP55" s="1543"/>
    </row>
    <row r="56" spans="10:42" x14ac:dyDescent="0.25">
      <c r="N56" s="871" t="s">
        <v>67</v>
      </c>
      <c r="O56" s="871" t="s">
        <v>67</v>
      </c>
      <c r="P56" s="871" t="s">
        <v>67</v>
      </c>
      <c r="Q56" s="871" t="s">
        <v>67</v>
      </c>
      <c r="R56" s="890" t="s">
        <v>646</v>
      </c>
      <c r="S56" s="873" t="s">
        <v>647</v>
      </c>
      <c r="T56" s="873"/>
      <c r="U56" s="871" t="s">
        <v>648</v>
      </c>
      <c r="V56" s="871"/>
      <c r="W56" s="871" t="s">
        <v>649</v>
      </c>
      <c r="X56" s="871" t="s">
        <v>650</v>
      </c>
      <c r="Y56" s="873" t="s">
        <v>652</v>
      </c>
      <c r="Z56" s="871" t="s">
        <v>662</v>
      </c>
      <c r="AA56" s="871" t="s">
        <v>653</v>
      </c>
      <c r="AB56" s="871" t="s">
        <v>654</v>
      </c>
      <c r="AC56" s="871" t="s">
        <v>655</v>
      </c>
      <c r="AD56" s="1542" t="s">
        <v>645</v>
      </c>
      <c r="AE56" s="1542"/>
      <c r="AF56" s="1544" t="s">
        <v>645</v>
      </c>
      <c r="AG56" s="1544"/>
      <c r="AI56" s="871" t="s">
        <v>656</v>
      </c>
      <c r="AJ56" s="874" t="str">
        <f>CONCATENATE("ɸ(",ROUND(AI57,2)," ) ")</f>
        <v xml:space="preserve">ɸ(9,62 ) </v>
      </c>
      <c r="AK56" s="871" t="s">
        <v>657</v>
      </c>
      <c r="AL56" s="875" t="str">
        <f>CONCATENATE("ɸ(",ROUND(AK57,2)," ) ")</f>
        <v xml:space="preserve">ɸ(-9,62 ) </v>
      </c>
      <c r="AM56" s="891" t="str">
        <f>CONCATENATE("ɸ(",ROUND(AI57,2)," ) - ","ɸ(",ROUND(AK57,2)," ) ")</f>
        <v xml:space="preserve">ɸ(9,62 ) - ɸ(-9,62 ) </v>
      </c>
      <c r="AN56" s="892"/>
      <c r="AO56" s="871"/>
      <c r="AP56" s="878"/>
    </row>
    <row r="57" spans="10:42" x14ac:dyDescent="0.25">
      <c r="M57" s="893"/>
      <c r="N57" s="894">
        <v>50</v>
      </c>
      <c r="O57" s="882">
        <v>9.0000000000000006E-5</v>
      </c>
      <c r="P57" s="882">
        <v>2.1000000000000001E-4</v>
      </c>
      <c r="Q57" s="871">
        <v>1E-3</v>
      </c>
      <c r="R57" s="895">
        <f>N57+O57</f>
        <v>50.00009</v>
      </c>
      <c r="S57" s="871">
        <f t="shared" ref="S57:S67" si="0">Q57</f>
        <v>1E-3</v>
      </c>
      <c r="T57" s="871"/>
      <c r="U57" s="894">
        <f t="shared" ref="U57:U67" si="1">R57+S57</f>
        <v>50.001089999999998</v>
      </c>
      <c r="V57" s="894"/>
      <c r="W57" s="894">
        <f t="shared" ref="W57:W67" si="2">R57-S57</f>
        <v>49.999090000000002</v>
      </c>
      <c r="X57" s="894">
        <f t="shared" ref="X57:X67" si="3">R57</f>
        <v>50.00009</v>
      </c>
      <c r="Y57" s="882">
        <f t="shared" ref="Y57:Y67" si="4">P57</f>
        <v>2.1000000000000001E-4</v>
      </c>
      <c r="Z57" s="871">
        <f>Y57/AA57</f>
        <v>1.0396039603960396E-4</v>
      </c>
      <c r="AA57" s="871">
        <v>2.02</v>
      </c>
      <c r="AB57" s="879">
        <f>_xlfn.NORM.DIST(U57,X57,Z57,1)</f>
        <v>1</v>
      </c>
      <c r="AC57" s="879">
        <f>_xlfn.NORM.DIST(W57,X57,Z57,1)</f>
        <v>3.3221743276022882E-22</v>
      </c>
      <c r="AD57" s="879">
        <f>AB57-AC57</f>
        <v>1</v>
      </c>
      <c r="AE57" s="883">
        <f>AD57</f>
        <v>1</v>
      </c>
      <c r="AF57" s="879">
        <f>1-AD57</f>
        <v>0</v>
      </c>
      <c r="AG57" s="884">
        <f>AF57</f>
        <v>0</v>
      </c>
      <c r="AI57" s="874">
        <f>(U57-X57)/Z57</f>
        <v>9.619047619025201</v>
      </c>
      <c r="AJ57" s="879">
        <f>_xlfn.NORM.S.DIST(AI57,1)</f>
        <v>1</v>
      </c>
      <c r="AK57" s="874">
        <f>(W57-X57)/Z57</f>
        <v>-9.619047619025201</v>
      </c>
      <c r="AL57" s="876">
        <f>_xlfn.NORM.S.DIST(AK57,1)</f>
        <v>3.3221743276022882E-22</v>
      </c>
      <c r="AM57" s="882">
        <f>AJ57-AL57</f>
        <v>1</v>
      </c>
      <c r="AN57" s="896">
        <f>AM57</f>
        <v>1</v>
      </c>
      <c r="AO57" s="879">
        <f>1-AM57</f>
        <v>0</v>
      </c>
      <c r="AP57" s="897">
        <f>AO57</f>
        <v>0</v>
      </c>
    </row>
    <row r="58" spans="10:42" x14ac:dyDescent="0.25">
      <c r="M58" s="893"/>
      <c r="N58" s="894">
        <v>65</v>
      </c>
      <c r="O58" s="882">
        <v>1.2999999999999999E-4</v>
      </c>
      <c r="P58" s="882">
        <v>2.2000000000000001E-4</v>
      </c>
      <c r="Q58" s="871">
        <v>1E-3</v>
      </c>
      <c r="R58" s="895">
        <f t="shared" ref="R58:R67" si="5">N58+O58</f>
        <v>65.000129999999999</v>
      </c>
      <c r="S58" s="871">
        <f t="shared" si="0"/>
        <v>1E-3</v>
      </c>
      <c r="T58" s="871"/>
      <c r="U58" s="894">
        <f t="shared" si="1"/>
        <v>65.001130000000003</v>
      </c>
      <c r="V58" s="894"/>
      <c r="W58" s="894">
        <f t="shared" si="2"/>
        <v>64.999129999999994</v>
      </c>
      <c r="X58" s="894">
        <f t="shared" si="3"/>
        <v>65.000129999999999</v>
      </c>
      <c r="Y58" s="882">
        <f t="shared" si="4"/>
        <v>2.2000000000000001E-4</v>
      </c>
      <c r="Z58" s="871">
        <f t="shared" ref="Z58:Z67" si="6">Y58/AA58</f>
        <v>1.0891089108910891E-4</v>
      </c>
      <c r="AA58" s="871">
        <v>2.02</v>
      </c>
      <c r="AB58" s="879">
        <f t="shared" ref="AB58:AB67" si="7">_xlfn.NORM.DIST(U58,X58,Z58,1)</f>
        <v>1</v>
      </c>
      <c r="AC58" s="879">
        <f t="shared" ref="AC58:AC67" si="8">_xlfn.NORM.DIST(W58,X58,Z58,1)</f>
        <v>2.1193653388808198E-20</v>
      </c>
      <c r="AD58" s="879">
        <f t="shared" ref="AD58:AD67" si="9">AB58-AC58</f>
        <v>1</v>
      </c>
      <c r="AE58" s="883">
        <f t="shared" ref="AE58:AE67" si="10">AD58</f>
        <v>1</v>
      </c>
      <c r="AF58" s="879">
        <f t="shared" ref="AF58:AF67" si="11">1-AD58</f>
        <v>0</v>
      </c>
      <c r="AG58" s="884">
        <f t="shared" ref="AG58:AG67" si="12">AF58</f>
        <v>0</v>
      </c>
      <c r="AI58" s="874">
        <f t="shared" ref="AI58:AI67" si="13">(U58-X58)/Z58</f>
        <v>9.1818181818620239</v>
      </c>
      <c r="AJ58" s="879">
        <f t="shared" ref="AJ58:AJ67" si="14">_xlfn.NORM.S.DIST(AI58,1)</f>
        <v>1</v>
      </c>
      <c r="AK58" s="874">
        <f t="shared" ref="AK58:AK67" si="15">(W58-X58)/Z58</f>
        <v>-9.1818181818620239</v>
      </c>
      <c r="AL58" s="876">
        <f t="shared" ref="AL58:AL67" si="16">_xlfn.NORM.S.DIST(AK58,1)</f>
        <v>2.1193653388808198E-20</v>
      </c>
      <c r="AM58" s="882">
        <f t="shared" ref="AM58:AM67" si="17">AJ58-AL58</f>
        <v>1</v>
      </c>
      <c r="AN58" s="896">
        <f t="shared" ref="AN58:AN67" si="18">AM58</f>
        <v>1</v>
      </c>
      <c r="AO58" s="879">
        <f t="shared" ref="AO58:AO67" si="19">1-AM58</f>
        <v>0</v>
      </c>
      <c r="AP58" s="897">
        <f t="shared" ref="AP58:AP67" si="20">AO58</f>
        <v>0</v>
      </c>
    </row>
    <row r="59" spans="10:42" x14ac:dyDescent="0.25">
      <c r="M59" s="893"/>
      <c r="N59" s="894">
        <v>80</v>
      </c>
      <c r="O59" s="882">
        <v>1.8000000000000001E-4</v>
      </c>
      <c r="P59" s="882">
        <v>2.3000000000000001E-4</v>
      </c>
      <c r="Q59" s="871">
        <v>1E-3</v>
      </c>
      <c r="R59" s="895">
        <f t="shared" si="5"/>
        <v>80.00018</v>
      </c>
      <c r="S59" s="871">
        <f t="shared" si="0"/>
        <v>1E-3</v>
      </c>
      <c r="T59" s="871"/>
      <c r="U59" s="894">
        <f t="shared" si="1"/>
        <v>80.001180000000005</v>
      </c>
      <c r="V59" s="894"/>
      <c r="W59" s="894">
        <f t="shared" si="2"/>
        <v>79.999179999999996</v>
      </c>
      <c r="X59" s="894">
        <f t="shared" si="3"/>
        <v>80.00018</v>
      </c>
      <c r="Y59" s="882">
        <f t="shared" si="4"/>
        <v>2.3000000000000001E-4</v>
      </c>
      <c r="Z59" s="871">
        <f t="shared" si="6"/>
        <v>1.1386138613861387E-4</v>
      </c>
      <c r="AA59" s="871">
        <v>2.02</v>
      </c>
      <c r="AB59" s="879">
        <f t="shared" si="7"/>
        <v>1</v>
      </c>
      <c r="AC59" s="879">
        <f t="shared" si="8"/>
        <v>7.9863044695695024E-19</v>
      </c>
      <c r="AD59" s="879">
        <f t="shared" si="9"/>
        <v>1</v>
      </c>
      <c r="AE59" s="883">
        <f t="shared" si="10"/>
        <v>1</v>
      </c>
      <c r="AF59" s="879">
        <f t="shared" si="11"/>
        <v>0</v>
      </c>
      <c r="AG59" s="884">
        <f t="shared" si="12"/>
        <v>0</v>
      </c>
      <c r="AI59" s="874">
        <f t="shared" si="13"/>
        <v>8.7826086956941083</v>
      </c>
      <c r="AJ59" s="879">
        <f t="shared" si="14"/>
        <v>1</v>
      </c>
      <c r="AK59" s="874">
        <f t="shared" si="15"/>
        <v>-8.7826086956941083</v>
      </c>
      <c r="AL59" s="876">
        <f t="shared" si="16"/>
        <v>7.9863044695695024E-19</v>
      </c>
      <c r="AM59" s="882">
        <f t="shared" si="17"/>
        <v>1</v>
      </c>
      <c r="AN59" s="896">
        <f t="shared" si="18"/>
        <v>1</v>
      </c>
      <c r="AO59" s="879">
        <f t="shared" si="19"/>
        <v>0</v>
      </c>
      <c r="AP59" s="897">
        <f t="shared" si="20"/>
        <v>0</v>
      </c>
    </row>
    <row r="60" spans="10:42" x14ac:dyDescent="0.25">
      <c r="M60" s="893"/>
      <c r="N60" s="894">
        <v>95</v>
      </c>
      <c r="O60" s="882">
        <v>2.4000000000000001E-4</v>
      </c>
      <c r="P60" s="882">
        <v>2.5000000000000001E-4</v>
      </c>
      <c r="Q60" s="871">
        <v>1E-3</v>
      </c>
      <c r="R60" s="895">
        <f t="shared" si="5"/>
        <v>95.000240000000005</v>
      </c>
      <c r="S60" s="871">
        <f t="shared" si="0"/>
        <v>1E-3</v>
      </c>
      <c r="T60" s="871"/>
      <c r="U60" s="894">
        <f t="shared" si="1"/>
        <v>95.00124000000001</v>
      </c>
      <c r="V60" s="894"/>
      <c r="W60" s="894">
        <f t="shared" si="2"/>
        <v>94.99924</v>
      </c>
      <c r="X60" s="894">
        <f t="shared" si="3"/>
        <v>95.000240000000005</v>
      </c>
      <c r="Y60" s="882">
        <f t="shared" si="4"/>
        <v>2.5000000000000001E-4</v>
      </c>
      <c r="Z60" s="871">
        <f t="shared" si="6"/>
        <v>1.2376237623762376E-4</v>
      </c>
      <c r="AA60" s="871">
        <v>2.02</v>
      </c>
      <c r="AB60" s="879">
        <f t="shared" si="7"/>
        <v>0.99999999999999967</v>
      </c>
      <c r="AC60" s="879">
        <f t="shared" si="8"/>
        <v>3.2383386608077555E-16</v>
      </c>
      <c r="AD60" s="879">
        <f t="shared" si="9"/>
        <v>0.99999999999999933</v>
      </c>
      <c r="AE60" s="883">
        <f t="shared" si="10"/>
        <v>0.99999999999999933</v>
      </c>
      <c r="AF60" s="879">
        <f t="shared" si="11"/>
        <v>0</v>
      </c>
      <c r="AG60" s="884">
        <f t="shared" si="12"/>
        <v>0</v>
      </c>
      <c r="AI60" s="874">
        <f t="shared" si="13"/>
        <v>8.0800000000385808</v>
      </c>
      <c r="AJ60" s="879">
        <f t="shared" si="14"/>
        <v>0.99999999999999967</v>
      </c>
      <c r="AK60" s="874">
        <f t="shared" si="15"/>
        <v>-8.0800000000385808</v>
      </c>
      <c r="AL60" s="876">
        <f t="shared" si="16"/>
        <v>3.2383386608077555E-16</v>
      </c>
      <c r="AM60" s="882">
        <f t="shared" si="17"/>
        <v>0.99999999999999933</v>
      </c>
      <c r="AN60" s="896">
        <f t="shared" si="18"/>
        <v>0.99999999999999933</v>
      </c>
      <c r="AO60" s="879">
        <f t="shared" si="19"/>
        <v>0</v>
      </c>
      <c r="AP60" s="897">
        <f t="shared" si="20"/>
        <v>0</v>
      </c>
    </row>
    <row r="61" spans="10:42" x14ac:dyDescent="0.25">
      <c r="M61" s="893"/>
      <c r="N61" s="894">
        <v>110</v>
      </c>
      <c r="O61" s="882">
        <v>1.2999999999999999E-4</v>
      </c>
      <c r="P61" s="882">
        <v>2.3000000000000001E-4</v>
      </c>
      <c r="Q61" s="871">
        <v>1E-3</v>
      </c>
      <c r="R61" s="895">
        <f t="shared" si="5"/>
        <v>110.00013</v>
      </c>
      <c r="S61" s="871">
        <f t="shared" si="0"/>
        <v>1E-3</v>
      </c>
      <c r="T61" s="871"/>
      <c r="U61" s="894">
        <f t="shared" si="1"/>
        <v>110.00113</v>
      </c>
      <c r="V61" s="894"/>
      <c r="W61" s="894">
        <f t="shared" si="2"/>
        <v>109.99912999999999</v>
      </c>
      <c r="X61" s="894">
        <f t="shared" si="3"/>
        <v>110.00013</v>
      </c>
      <c r="Y61" s="882">
        <f t="shared" si="4"/>
        <v>2.3000000000000001E-4</v>
      </c>
      <c r="Z61" s="871">
        <f t="shared" si="6"/>
        <v>1.1386138613861387E-4</v>
      </c>
      <c r="AA61" s="871">
        <v>2.02</v>
      </c>
      <c r="AB61" s="879">
        <f t="shared" si="7"/>
        <v>1</v>
      </c>
      <c r="AC61" s="879">
        <f t="shared" si="8"/>
        <v>7.9863044695695024E-19</v>
      </c>
      <c r="AD61" s="879">
        <f t="shared" si="9"/>
        <v>1</v>
      </c>
      <c r="AE61" s="883">
        <f t="shared" si="10"/>
        <v>1</v>
      </c>
      <c r="AF61" s="879">
        <f t="shared" si="11"/>
        <v>0</v>
      </c>
      <c r="AG61" s="884">
        <f t="shared" si="12"/>
        <v>0</v>
      </c>
      <c r="AI61" s="874">
        <f t="shared" si="13"/>
        <v>8.7826086956941083</v>
      </c>
      <c r="AJ61" s="879">
        <f t="shared" si="14"/>
        <v>1</v>
      </c>
      <c r="AK61" s="874">
        <f t="shared" si="15"/>
        <v>-8.7826086956941083</v>
      </c>
      <c r="AL61" s="876">
        <f t="shared" si="16"/>
        <v>7.9863044695695024E-19</v>
      </c>
      <c r="AM61" s="882">
        <f t="shared" si="17"/>
        <v>1</v>
      </c>
      <c r="AN61" s="896">
        <f t="shared" si="18"/>
        <v>1</v>
      </c>
      <c r="AO61" s="879">
        <f t="shared" si="19"/>
        <v>0</v>
      </c>
      <c r="AP61" s="897">
        <f t="shared" si="20"/>
        <v>0</v>
      </c>
    </row>
    <row r="62" spans="10:42" x14ac:dyDescent="0.25">
      <c r="M62" s="893"/>
      <c r="N62" s="894">
        <v>130</v>
      </c>
      <c r="O62" s="882">
        <v>2.0000000000000001E-4</v>
      </c>
      <c r="P62" s="882">
        <v>2.5999999999999998E-4</v>
      </c>
      <c r="Q62" s="871">
        <v>1E-3</v>
      </c>
      <c r="R62" s="895">
        <f t="shared" si="5"/>
        <v>130.00020000000001</v>
      </c>
      <c r="S62" s="871">
        <f t="shared" si="0"/>
        <v>1E-3</v>
      </c>
      <c r="T62" s="871"/>
      <c r="U62" s="894">
        <f t="shared" si="1"/>
        <v>130.00120000000001</v>
      </c>
      <c r="V62" s="894"/>
      <c r="W62" s="894">
        <f t="shared" si="2"/>
        <v>129.9992</v>
      </c>
      <c r="X62" s="894">
        <f t="shared" si="3"/>
        <v>130.00020000000001</v>
      </c>
      <c r="Y62" s="882">
        <f t="shared" si="4"/>
        <v>2.5999999999999998E-4</v>
      </c>
      <c r="Z62" s="871">
        <f t="shared" si="6"/>
        <v>1.2871287128712869E-4</v>
      </c>
      <c r="AA62" s="871">
        <v>2.02</v>
      </c>
      <c r="AB62" s="879">
        <f t="shared" si="7"/>
        <v>0.999999999999996</v>
      </c>
      <c r="AC62" s="879">
        <f t="shared" si="8"/>
        <v>3.9482095414434541E-15</v>
      </c>
      <c r="AD62" s="879">
        <f t="shared" si="9"/>
        <v>0.99999999999999201</v>
      </c>
      <c r="AE62" s="883">
        <f t="shared" si="10"/>
        <v>0.99999999999999201</v>
      </c>
      <c r="AF62" s="879">
        <f t="shared" si="11"/>
        <v>7.9936057773011271E-15</v>
      </c>
      <c r="AG62" s="884">
        <f t="shared" si="12"/>
        <v>7.9936057773011271E-15</v>
      </c>
      <c r="AI62" s="874">
        <f t="shared" si="13"/>
        <v>7.7692307692678675</v>
      </c>
      <c r="AJ62" s="879">
        <f t="shared" si="14"/>
        <v>0.999999999999996</v>
      </c>
      <c r="AK62" s="874">
        <f t="shared" si="15"/>
        <v>-7.7692307692678675</v>
      </c>
      <c r="AL62" s="876">
        <f t="shared" si="16"/>
        <v>3.9482095414434541E-15</v>
      </c>
      <c r="AM62" s="882">
        <f t="shared" si="17"/>
        <v>0.99999999999999201</v>
      </c>
      <c r="AN62" s="896">
        <f t="shared" si="18"/>
        <v>0.99999999999999201</v>
      </c>
      <c r="AO62" s="879">
        <f t="shared" si="19"/>
        <v>7.9936057773011271E-15</v>
      </c>
      <c r="AP62" s="897">
        <f t="shared" si="20"/>
        <v>7.9936057773011271E-15</v>
      </c>
    </row>
    <row r="63" spans="10:42" x14ac:dyDescent="0.25">
      <c r="M63" s="893"/>
      <c r="N63" s="894">
        <v>149.9999</v>
      </c>
      <c r="O63" s="882">
        <v>2.9E-4</v>
      </c>
      <c r="P63" s="882">
        <v>2.5999999999999998E-4</v>
      </c>
      <c r="Q63" s="871">
        <v>1E-3</v>
      </c>
      <c r="R63" s="895">
        <f t="shared" si="5"/>
        <v>150.00019</v>
      </c>
      <c r="S63" s="871">
        <f t="shared" si="0"/>
        <v>1E-3</v>
      </c>
      <c r="T63" s="871"/>
      <c r="U63" s="894">
        <f t="shared" si="1"/>
        <v>150.00119000000001</v>
      </c>
      <c r="V63" s="894"/>
      <c r="W63" s="894">
        <f t="shared" si="2"/>
        <v>149.99919</v>
      </c>
      <c r="X63" s="894">
        <f t="shared" si="3"/>
        <v>150.00019</v>
      </c>
      <c r="Y63" s="882">
        <f t="shared" si="4"/>
        <v>2.5999999999999998E-4</v>
      </c>
      <c r="Z63" s="871">
        <f t="shared" si="6"/>
        <v>1.2871287128712869E-4</v>
      </c>
      <c r="AA63" s="871">
        <v>2.02</v>
      </c>
      <c r="AB63" s="879">
        <f t="shared" si="7"/>
        <v>0.999999999999996</v>
      </c>
      <c r="AC63" s="879">
        <f t="shared" si="8"/>
        <v>3.9482095414434541E-15</v>
      </c>
      <c r="AD63" s="879">
        <f t="shared" si="9"/>
        <v>0.99999999999999201</v>
      </c>
      <c r="AE63" s="883">
        <f t="shared" si="10"/>
        <v>0.99999999999999201</v>
      </c>
      <c r="AF63" s="879">
        <f t="shared" si="11"/>
        <v>7.9936057773011271E-15</v>
      </c>
      <c r="AG63" s="884">
        <f t="shared" si="12"/>
        <v>7.9936057773011271E-15</v>
      </c>
      <c r="AI63" s="874">
        <f t="shared" si="13"/>
        <v>7.7692307692678675</v>
      </c>
      <c r="AJ63" s="879">
        <f t="shared" si="14"/>
        <v>0.999999999999996</v>
      </c>
      <c r="AK63" s="874">
        <f t="shared" si="15"/>
        <v>-7.7692307692678675</v>
      </c>
      <c r="AL63" s="876">
        <f t="shared" si="16"/>
        <v>3.9482095414434541E-15</v>
      </c>
      <c r="AM63" s="882">
        <f t="shared" si="17"/>
        <v>0.99999999999999201</v>
      </c>
      <c r="AN63" s="896">
        <f t="shared" si="18"/>
        <v>0.99999999999999201</v>
      </c>
      <c r="AO63" s="879">
        <f t="shared" si="19"/>
        <v>7.9936057773011271E-15</v>
      </c>
      <c r="AP63" s="897">
        <f t="shared" si="20"/>
        <v>7.9936057773011271E-15</v>
      </c>
    </row>
    <row r="64" spans="10:42" x14ac:dyDescent="0.25">
      <c r="M64" s="893"/>
      <c r="N64" s="894">
        <v>164.9999</v>
      </c>
      <c r="O64" s="882">
        <v>3.4000000000000002E-4</v>
      </c>
      <c r="P64" s="882">
        <v>2.9999999999999997E-4</v>
      </c>
      <c r="Q64" s="871">
        <v>1E-3</v>
      </c>
      <c r="R64" s="895">
        <f t="shared" si="5"/>
        <v>165.00023999999999</v>
      </c>
      <c r="S64" s="871">
        <f t="shared" si="0"/>
        <v>1E-3</v>
      </c>
      <c r="T64" s="871"/>
      <c r="U64" s="894">
        <f t="shared" si="1"/>
        <v>165.00124</v>
      </c>
      <c r="V64" s="894"/>
      <c r="W64" s="894">
        <f t="shared" si="2"/>
        <v>164.99923999999999</v>
      </c>
      <c r="X64" s="894">
        <f t="shared" si="3"/>
        <v>165.00023999999999</v>
      </c>
      <c r="Y64" s="882">
        <f t="shared" si="4"/>
        <v>2.9999999999999997E-4</v>
      </c>
      <c r="Z64" s="871">
        <f t="shared" si="6"/>
        <v>1.4851485148514851E-4</v>
      </c>
      <c r="AA64" s="871">
        <v>2.02</v>
      </c>
      <c r="AB64" s="879">
        <f t="shared" si="7"/>
        <v>0.99999999999170897</v>
      </c>
      <c r="AC64" s="879">
        <f t="shared" si="8"/>
        <v>8.2909790853739242E-12</v>
      </c>
      <c r="AD64" s="879">
        <f t="shared" si="9"/>
        <v>0.99999999998341793</v>
      </c>
      <c r="AE64" s="883">
        <f t="shared" si="10"/>
        <v>0.99999999998341793</v>
      </c>
      <c r="AF64" s="879">
        <f t="shared" si="11"/>
        <v>1.6582069051196413E-11</v>
      </c>
      <c r="AG64" s="884">
        <f t="shared" si="12"/>
        <v>1.6582069051196413E-11</v>
      </c>
      <c r="AI64" s="874">
        <f t="shared" si="13"/>
        <v>6.7333333333654846</v>
      </c>
      <c r="AJ64" s="879">
        <f t="shared" si="14"/>
        <v>0.99999999999170897</v>
      </c>
      <c r="AK64" s="874">
        <f t="shared" si="15"/>
        <v>-6.7333333333654846</v>
      </c>
      <c r="AL64" s="876">
        <f t="shared" si="16"/>
        <v>8.2909790853739242E-12</v>
      </c>
      <c r="AM64" s="882">
        <f t="shared" si="17"/>
        <v>0.99999999998341793</v>
      </c>
      <c r="AN64" s="896">
        <f t="shared" si="18"/>
        <v>0.99999999998341793</v>
      </c>
      <c r="AO64" s="879">
        <f t="shared" si="19"/>
        <v>1.6582069051196413E-11</v>
      </c>
      <c r="AP64" s="897">
        <f t="shared" si="20"/>
        <v>1.6582069051196413E-11</v>
      </c>
    </row>
    <row r="65" spans="1:51" x14ac:dyDescent="0.25">
      <c r="M65" s="893"/>
      <c r="N65" s="894">
        <v>179.9999</v>
      </c>
      <c r="O65" s="882">
        <v>3.8000000000000002E-4</v>
      </c>
      <c r="P65" s="882">
        <v>3.1E-4</v>
      </c>
      <c r="Q65" s="871">
        <v>1E-3</v>
      </c>
      <c r="R65" s="895">
        <f t="shared" si="5"/>
        <v>180.00028</v>
      </c>
      <c r="S65" s="871">
        <f t="shared" si="0"/>
        <v>1E-3</v>
      </c>
      <c r="T65" s="871"/>
      <c r="U65" s="894">
        <f t="shared" si="1"/>
        <v>180.00128000000001</v>
      </c>
      <c r="V65" s="894"/>
      <c r="W65" s="894">
        <f t="shared" si="2"/>
        <v>179.99928</v>
      </c>
      <c r="X65" s="894">
        <f t="shared" si="3"/>
        <v>180.00028</v>
      </c>
      <c r="Y65" s="882">
        <f t="shared" si="4"/>
        <v>3.1E-4</v>
      </c>
      <c r="Z65" s="871">
        <f t="shared" si="6"/>
        <v>1.5346534653465347E-4</v>
      </c>
      <c r="AA65" s="871">
        <v>2.02</v>
      </c>
      <c r="AB65" s="879">
        <f t="shared" si="7"/>
        <v>0.99999999996392752</v>
      </c>
      <c r="AC65" s="879">
        <f t="shared" si="8"/>
        <v>3.6072460848703816E-11</v>
      </c>
      <c r="AD65" s="879">
        <f t="shared" si="9"/>
        <v>0.99999999992785504</v>
      </c>
      <c r="AE65" s="883">
        <f t="shared" si="10"/>
        <v>0.99999999992785504</v>
      </c>
      <c r="AF65" s="879">
        <f t="shared" si="11"/>
        <v>7.2144956675401772E-11</v>
      </c>
      <c r="AG65" s="884">
        <f t="shared" si="12"/>
        <v>7.2144956675401772E-11</v>
      </c>
      <c r="AI65" s="874">
        <f t="shared" si="13"/>
        <v>6.5161290322891778</v>
      </c>
      <c r="AJ65" s="879">
        <f t="shared" si="14"/>
        <v>0.99999999996392752</v>
      </c>
      <c r="AK65" s="874">
        <f t="shared" si="15"/>
        <v>-6.5161290322891778</v>
      </c>
      <c r="AL65" s="876">
        <f t="shared" si="16"/>
        <v>3.6072460848703816E-11</v>
      </c>
      <c r="AM65" s="882">
        <f t="shared" si="17"/>
        <v>0.99999999992785504</v>
      </c>
      <c r="AN65" s="896">
        <f t="shared" si="18"/>
        <v>0.99999999992785504</v>
      </c>
      <c r="AO65" s="879">
        <f t="shared" si="19"/>
        <v>7.2144956675401772E-11</v>
      </c>
      <c r="AP65" s="897">
        <f t="shared" si="20"/>
        <v>7.2144956675401772E-11</v>
      </c>
    </row>
    <row r="66" spans="1:51" x14ac:dyDescent="0.25">
      <c r="M66" s="893"/>
      <c r="N66" s="894">
        <v>195</v>
      </c>
      <c r="O66" s="882">
        <v>3.4000000000000002E-4</v>
      </c>
      <c r="P66" s="882">
        <v>3.4000000000000002E-4</v>
      </c>
      <c r="Q66" s="871">
        <v>1E-3</v>
      </c>
      <c r="R66" s="895">
        <f t="shared" si="5"/>
        <v>195.00033999999999</v>
      </c>
      <c r="S66" s="871">
        <f t="shared" si="0"/>
        <v>1E-3</v>
      </c>
      <c r="T66" s="871"/>
      <c r="U66" s="894">
        <f t="shared" si="1"/>
        <v>195.00134</v>
      </c>
      <c r="V66" s="894"/>
      <c r="W66" s="894">
        <f t="shared" si="2"/>
        <v>194.99933999999999</v>
      </c>
      <c r="X66" s="894">
        <f t="shared" si="3"/>
        <v>195.00033999999999</v>
      </c>
      <c r="Y66" s="882">
        <f t="shared" si="4"/>
        <v>3.4000000000000002E-4</v>
      </c>
      <c r="Z66" s="871">
        <f t="shared" si="6"/>
        <v>1.6831683168316833E-4</v>
      </c>
      <c r="AA66" s="871">
        <v>2.02</v>
      </c>
      <c r="AB66" s="879">
        <f t="shared" si="7"/>
        <v>0.99999999858508115</v>
      </c>
      <c r="AC66" s="879">
        <f t="shared" si="8"/>
        <v>1.4149188845687159E-9</v>
      </c>
      <c r="AD66" s="879">
        <f t="shared" si="9"/>
        <v>0.9999999971701623</v>
      </c>
      <c r="AE66" s="883">
        <f t="shared" si="10"/>
        <v>0.9999999971701623</v>
      </c>
      <c r="AF66" s="879">
        <f t="shared" si="11"/>
        <v>2.8298376975044448E-9</v>
      </c>
      <c r="AG66" s="884">
        <f t="shared" si="12"/>
        <v>2.8298376975044448E-9</v>
      </c>
      <c r="AI66" s="874">
        <f t="shared" si="13"/>
        <v>5.941176470616603</v>
      </c>
      <c r="AJ66" s="879">
        <f t="shared" si="14"/>
        <v>0.99999999858508115</v>
      </c>
      <c r="AK66" s="874">
        <f t="shared" si="15"/>
        <v>-5.941176470616603</v>
      </c>
      <c r="AL66" s="876">
        <f t="shared" si="16"/>
        <v>1.4149188845687159E-9</v>
      </c>
      <c r="AM66" s="882">
        <f t="shared" si="17"/>
        <v>0.9999999971701623</v>
      </c>
      <c r="AN66" s="896">
        <f t="shared" si="18"/>
        <v>0.9999999971701623</v>
      </c>
      <c r="AO66" s="879">
        <f t="shared" si="19"/>
        <v>2.8298376975044448E-9</v>
      </c>
      <c r="AP66" s="897">
        <f t="shared" si="20"/>
        <v>2.8298376975044448E-9</v>
      </c>
    </row>
    <row r="67" spans="1:51" x14ac:dyDescent="0.25">
      <c r="M67" s="893"/>
      <c r="N67" s="894">
        <v>210</v>
      </c>
      <c r="O67" s="882">
        <v>1.9000000000000001E-4</v>
      </c>
      <c r="P67" s="882">
        <v>2.9999999999999997E-4</v>
      </c>
      <c r="Q67" s="871">
        <v>1E-3</v>
      </c>
      <c r="R67" s="895">
        <f t="shared" si="5"/>
        <v>210.00019</v>
      </c>
      <c r="S67" s="871">
        <f t="shared" si="0"/>
        <v>1E-3</v>
      </c>
      <c r="T67" s="871"/>
      <c r="U67" s="894">
        <f t="shared" si="1"/>
        <v>210.00119000000001</v>
      </c>
      <c r="V67" s="894"/>
      <c r="W67" s="894">
        <f t="shared" si="2"/>
        <v>209.99919</v>
      </c>
      <c r="X67" s="894">
        <f t="shared" si="3"/>
        <v>210.00019</v>
      </c>
      <c r="Y67" s="882">
        <f t="shared" si="4"/>
        <v>2.9999999999999997E-4</v>
      </c>
      <c r="Z67" s="871">
        <f t="shared" si="6"/>
        <v>1.4851485148514851E-4</v>
      </c>
      <c r="AA67" s="871">
        <v>2.02</v>
      </c>
      <c r="AB67" s="879">
        <f t="shared" si="7"/>
        <v>0.99999999999170897</v>
      </c>
      <c r="AC67" s="879">
        <f t="shared" si="8"/>
        <v>8.2909790853739242E-12</v>
      </c>
      <c r="AD67" s="879">
        <f t="shared" si="9"/>
        <v>0.99999999998341793</v>
      </c>
      <c r="AE67" s="883">
        <f t="shared" si="10"/>
        <v>0.99999999998341793</v>
      </c>
      <c r="AF67" s="879">
        <f t="shared" si="11"/>
        <v>1.6582069051196413E-11</v>
      </c>
      <c r="AG67" s="884">
        <f t="shared" si="12"/>
        <v>1.6582069051196413E-11</v>
      </c>
      <c r="AI67" s="874">
        <f t="shared" si="13"/>
        <v>6.7333333333654846</v>
      </c>
      <c r="AJ67" s="879">
        <f t="shared" si="14"/>
        <v>0.99999999999170897</v>
      </c>
      <c r="AK67" s="874">
        <f t="shared" si="15"/>
        <v>-6.7333333333654846</v>
      </c>
      <c r="AL67" s="876">
        <f t="shared" si="16"/>
        <v>8.2909790853739242E-12</v>
      </c>
      <c r="AM67" s="882">
        <f t="shared" si="17"/>
        <v>0.99999999998341793</v>
      </c>
      <c r="AN67" s="896">
        <f t="shared" si="18"/>
        <v>0.99999999998341793</v>
      </c>
      <c r="AO67" s="879">
        <f t="shared" si="19"/>
        <v>1.6582069051196413E-11</v>
      </c>
      <c r="AP67" s="897">
        <f t="shared" si="20"/>
        <v>1.6582069051196413E-11</v>
      </c>
    </row>
    <row r="68" spans="1:51" x14ac:dyDescent="0.25">
      <c r="A68" s="965"/>
      <c r="B68" s="965"/>
      <c r="C68" s="965"/>
      <c r="D68" s="965"/>
      <c r="E68" s="965"/>
      <c r="F68" s="965"/>
      <c r="G68" s="965"/>
      <c r="H68" s="965"/>
      <c r="I68" s="965"/>
      <c r="J68" s="965"/>
      <c r="K68" s="965"/>
      <c r="L68" s="965"/>
      <c r="M68" s="965"/>
      <c r="N68" s="965"/>
      <c r="O68" s="965"/>
      <c r="P68" s="965"/>
      <c r="Q68" s="965"/>
      <c r="R68" s="965"/>
      <c r="S68" s="965"/>
      <c r="T68" s="965"/>
      <c r="U68" s="965"/>
      <c r="V68" s="965"/>
      <c r="W68" s="965"/>
      <c r="X68" s="965"/>
      <c r="Y68" s="965"/>
      <c r="Z68" s="965"/>
      <c r="AA68" s="965"/>
      <c r="AB68" s="966"/>
      <c r="AC68" s="966"/>
      <c r="AD68" s="967"/>
      <c r="AE68" s="967"/>
      <c r="AF68" s="968"/>
      <c r="AG68" s="968"/>
      <c r="AH68" s="965"/>
      <c r="AI68" s="969"/>
      <c r="AJ68" s="969"/>
      <c r="AK68" s="969"/>
      <c r="AL68" s="969"/>
      <c r="AM68" s="969"/>
      <c r="AN68" s="969"/>
      <c r="AO68" s="965"/>
      <c r="AP68" s="965"/>
      <c r="AQ68" s="965"/>
      <c r="AR68" s="965"/>
      <c r="AS68" s="965"/>
      <c r="AT68" s="965"/>
      <c r="AU68" s="965"/>
      <c r="AV68" s="965"/>
      <c r="AW68" s="965"/>
      <c r="AX68" s="965"/>
      <c r="AY68" s="965"/>
    </row>
    <row r="69" spans="1:51" x14ac:dyDescent="0.25">
      <c r="C69" s="864" t="s">
        <v>460</v>
      </c>
      <c r="AB69" s="898"/>
      <c r="AC69" s="898"/>
      <c r="AD69" s="899"/>
      <c r="AE69" s="899"/>
      <c r="AF69" s="900"/>
      <c r="AG69" s="900"/>
    </row>
    <row r="70" spans="1:51" x14ac:dyDescent="0.25">
      <c r="C70" s="864" t="s">
        <v>457</v>
      </c>
      <c r="M70" s="1553" t="s">
        <v>682</v>
      </c>
      <c r="N70" s="901"/>
      <c r="O70" s="902" t="str">
        <f>'DATOS GENERALES'!C17</f>
        <v>Micropipeta</v>
      </c>
      <c r="P70" s="903" t="str">
        <f>CONCATENATE('DATOS GENERALES'!K21," a ",'DATOS GENERALES'!M21," ", 'DATOS GENERALES'!N21)</f>
        <v>100 a 1000 µL</v>
      </c>
      <c r="Q70" s="946" t="str">
        <f>'DATOS GENERALES'!F7</f>
        <v>TVO005-26A</v>
      </c>
      <c r="R70" s="959" t="s">
        <v>664</v>
      </c>
      <c r="S70" s="959"/>
      <c r="T70" s="905"/>
      <c r="U70" s="905"/>
      <c r="V70" s="905"/>
      <c r="W70" s="905"/>
      <c r="X70" s="905"/>
      <c r="Y70" s="905"/>
      <c r="Z70" s="905"/>
      <c r="AA70" s="905"/>
      <c r="AB70" s="906"/>
      <c r="AC70" s="906"/>
      <c r="AD70" s="907"/>
      <c r="AE70" s="907"/>
      <c r="AF70" s="908"/>
      <c r="AG70" s="908"/>
      <c r="AH70" s="905"/>
      <c r="AI70" s="909"/>
      <c r="AJ70" s="909"/>
      <c r="AK70" s="909"/>
      <c r="AL70" s="909"/>
    </row>
    <row r="71" spans="1:51" x14ac:dyDescent="0.25">
      <c r="M71" s="1554"/>
      <c r="N71" s="911" t="s">
        <v>660</v>
      </c>
      <c r="O71" s="912" t="s">
        <v>304</v>
      </c>
      <c r="P71" s="912" t="s">
        <v>652</v>
      </c>
      <c r="Q71" s="912" t="s">
        <v>753</v>
      </c>
      <c r="R71" s="960" t="s">
        <v>693</v>
      </c>
      <c r="T71" s="947" t="s">
        <v>689</v>
      </c>
      <c r="U71" s="1044" t="s">
        <v>713</v>
      </c>
      <c r="V71" s="947" t="s">
        <v>690</v>
      </c>
      <c r="W71" s="1044" t="s">
        <v>649</v>
      </c>
      <c r="AB71" s="898"/>
      <c r="AC71" s="898"/>
      <c r="AD71" s="899"/>
      <c r="AE71" s="899"/>
      <c r="AF71" s="900"/>
      <c r="AG71" s="900"/>
      <c r="AM71" s="1542" t="s">
        <v>645</v>
      </c>
      <c r="AN71" s="1542"/>
      <c r="AO71" s="1543" t="s">
        <v>645</v>
      </c>
      <c r="AP71" s="1543"/>
      <c r="AR71" s="870"/>
      <c r="AS71" s="870"/>
      <c r="AT71" s="870"/>
      <c r="AU71" s="870"/>
      <c r="AV71" s="1542" t="s">
        <v>645</v>
      </c>
      <c r="AW71" s="1542"/>
      <c r="AX71" s="1543" t="s">
        <v>645</v>
      </c>
      <c r="AY71" s="1543"/>
    </row>
    <row r="72" spans="1:51" x14ac:dyDescent="0.25">
      <c r="B72" s="950" t="str">
        <f>S72</f>
        <v>TL</v>
      </c>
      <c r="C72" s="950" t="str">
        <f>IF(AND(B73=C73,B74=C74,B75=C75),"AL=TL",T72)</f>
        <v>AL=TL</v>
      </c>
      <c r="D72" s="950" t="str">
        <f>IF(AND(D73=E73,E74=D74,E75=D75),"- AL= -TL",V72)</f>
        <v>- AL= -TL</v>
      </c>
      <c r="E72" s="950" t="str">
        <f>CONCATENATE("-",S72)</f>
        <v>-TL</v>
      </c>
      <c r="F72" s="951" t="s">
        <v>639</v>
      </c>
      <c r="G72" s="952" t="s">
        <v>462</v>
      </c>
      <c r="H72" s="951" t="s">
        <v>639</v>
      </c>
      <c r="I72" s="954" t="s">
        <v>685</v>
      </c>
      <c r="J72" s="954" t="s">
        <v>686</v>
      </c>
      <c r="M72" s="1554"/>
      <c r="N72" s="877" t="str">
        <f>'DATOS GENERALES'!H68</f>
        <v>µL</v>
      </c>
      <c r="O72" s="871" t="str">
        <f>N72</f>
        <v>µL</v>
      </c>
      <c r="P72" s="871" t="str">
        <f>O72</f>
        <v>µL</v>
      </c>
      <c r="Q72" s="871" t="str">
        <f>P72</f>
        <v>µL</v>
      </c>
      <c r="R72" s="890" t="s">
        <v>666</v>
      </c>
      <c r="S72" s="1043" t="s">
        <v>649</v>
      </c>
      <c r="T72" s="1042" t="s">
        <v>670</v>
      </c>
      <c r="U72" s="1042" t="s">
        <v>649</v>
      </c>
      <c r="V72" s="1042" t="s">
        <v>752</v>
      </c>
      <c r="W72" s="1042" t="s">
        <v>754</v>
      </c>
      <c r="X72" s="871" t="s">
        <v>650</v>
      </c>
      <c r="Y72" s="873" t="s">
        <v>652</v>
      </c>
      <c r="Z72" s="871" t="s">
        <v>662</v>
      </c>
      <c r="AA72" s="871" t="s">
        <v>653</v>
      </c>
      <c r="AB72" s="879" t="s">
        <v>654</v>
      </c>
      <c r="AC72" s="879" t="s">
        <v>655</v>
      </c>
      <c r="AD72" s="1545" t="s">
        <v>645</v>
      </c>
      <c r="AE72" s="1545"/>
      <c r="AF72" s="1546" t="s">
        <v>645</v>
      </c>
      <c r="AG72" s="1546"/>
      <c r="AI72" s="871" t="s">
        <v>656</v>
      </c>
      <c r="AJ72" s="874" t="str">
        <f>CONCATENATE("ɸ(",ROUND(AI73,2)," ) ")</f>
        <v xml:space="preserve">ɸ(15,24 ) </v>
      </c>
      <c r="AK72" s="871" t="s">
        <v>657</v>
      </c>
      <c r="AL72" s="875" t="str">
        <f>CONCATENATE("ɸ(",ROUND(AK73,2)," ) ")</f>
        <v xml:space="preserve">ɸ(-34,46 ) </v>
      </c>
      <c r="AM72" s="891" t="str">
        <f>CONCATENATE("ɸ(",ROUND(AI73,2)," ) - ","ɸ(",ROUND(AK73,2)," ) ")</f>
        <v xml:space="preserve">ɸ(15,24 ) - ɸ(-34,46 ) </v>
      </c>
      <c r="AN72" s="892"/>
      <c r="AO72" s="871"/>
      <c r="AP72" s="878"/>
      <c r="AR72" s="871" t="s">
        <v>656</v>
      </c>
      <c r="AS72" s="874" t="str">
        <f>CONCATENATE("ɸ(",ROUND(AR73,2)," ) ")</f>
        <v xml:space="preserve">ɸ(15,24 ) </v>
      </c>
      <c r="AT72" s="871" t="s">
        <v>657</v>
      </c>
      <c r="AU72" s="875" t="str">
        <f>CONCATENATE("ɸ(",ROUND(AT73,2)," ) ")</f>
        <v xml:space="preserve">ɸ(-34,46 ) </v>
      </c>
      <c r="AV72" s="958" t="str">
        <f>CONCATENATE("ɸ(",ROUND(AR73,2)," ) - ","ɸ(",ROUND(AT73,2)," ) ")</f>
        <v xml:space="preserve">ɸ(15,24 ) - ɸ(-34,46 ) </v>
      </c>
      <c r="AW72" s="892"/>
      <c r="AX72" s="871"/>
      <c r="AY72" s="878"/>
    </row>
    <row r="73" spans="1:51" x14ac:dyDescent="0.25">
      <c r="B73" s="879">
        <f>IF('DATOS GENERALES'!$N$24=$C$70,S81,S73)</f>
        <v>8</v>
      </c>
      <c r="C73" s="879">
        <f>IF('DATOS GENERALES'!$N$24=$C$70,T81,T73)</f>
        <v>8</v>
      </c>
      <c r="D73" s="879">
        <f>IF('DATOS GENERALES'!$N$24=$C$70,V81,V73)</f>
        <v>-8</v>
      </c>
      <c r="E73" s="879">
        <f>IF('DATOS GENERALES'!$N$24=$C$70,-S81,-S73)</f>
        <v>-8</v>
      </c>
      <c r="F73" s="948">
        <f>IF('DATOS GENERALES'!$N$24=$C$70,AG81,AG73)</f>
        <v>0</v>
      </c>
      <c r="G73" s="879" t="str">
        <f>'DATOS GENERALES'!S83</f>
        <v>N.A.</v>
      </c>
      <c r="H73" s="953" t="str">
        <f>IF(G73="Cumple",F73,"")</f>
        <v/>
      </c>
      <c r="I73" s="955">
        <f>-Q73+P73</f>
        <v>-7.3501988000000003</v>
      </c>
      <c r="J73" s="956">
        <f>Q73-P73</f>
        <v>7.3501988000000003</v>
      </c>
      <c r="K73" s="864" t="b">
        <f>O73&gt;I73</f>
        <v>1</v>
      </c>
      <c r="L73" s="864" t="b">
        <f>O73&lt;J73</f>
        <v>1</v>
      </c>
      <c r="M73" s="1554"/>
      <c r="N73" s="913">
        <f>'DATOS GENERALES'!F68</f>
        <v>100</v>
      </c>
      <c r="O73" s="874">
        <f>'DATOS GENERALES'!S82</f>
        <v>3.0935875463061109</v>
      </c>
      <c r="P73" s="882">
        <f>'DATOS GENERALES'!V80</f>
        <v>0.64980120000000008</v>
      </c>
      <c r="Q73" s="871">
        <f>'DATOS GENERALES'!Q22</f>
        <v>8</v>
      </c>
      <c r="R73" s="914">
        <f>N73+O73</f>
        <v>103.09358754630611</v>
      </c>
      <c r="S73" s="871">
        <f>Q73</f>
        <v>8</v>
      </c>
      <c r="T73" s="871">
        <f>S73</f>
        <v>8</v>
      </c>
      <c r="U73" s="894">
        <f>N73+S73</f>
        <v>108</v>
      </c>
      <c r="V73" s="894">
        <f>-S73</f>
        <v>-8</v>
      </c>
      <c r="W73" s="894">
        <f>N73-S73</f>
        <v>92</v>
      </c>
      <c r="X73" s="894">
        <f>R73</f>
        <v>103.09358754630611</v>
      </c>
      <c r="Y73" s="882">
        <f>P73</f>
        <v>0.64980120000000008</v>
      </c>
      <c r="Z73" s="871">
        <f>Y73/AA73</f>
        <v>0.3219578490449404</v>
      </c>
      <c r="AA73" s="879">
        <f>'Certificado de calibración'!Y92</f>
        <v>2.0182803492058916</v>
      </c>
      <c r="AB73" s="879">
        <f>_xlfn.NORM.DIST(U73,X73,Z73,1)</f>
        <v>1</v>
      </c>
      <c r="AC73" s="879">
        <f>_xlfn.NORM.DIST(W73,X73,Z73,1)</f>
        <v>1.7903758625269463E-260</v>
      </c>
      <c r="AD73" s="879">
        <f>AB73-AC73</f>
        <v>1</v>
      </c>
      <c r="AE73" s="883">
        <f>AD73</f>
        <v>1</v>
      </c>
      <c r="AF73" s="879">
        <f>1-AD73</f>
        <v>0</v>
      </c>
      <c r="AG73" s="884">
        <f>AF73</f>
        <v>0</v>
      </c>
      <c r="AI73" s="874">
        <f>(U73-X73)/Z73</f>
        <v>15.239300635932093</v>
      </c>
      <c r="AJ73" s="879">
        <f>_xlfn.NORM.S.DIST(AI73,1)</f>
        <v>1</v>
      </c>
      <c r="AK73" s="874">
        <f>(W73-X73)/Z73</f>
        <v>-34.456645735503145</v>
      </c>
      <c r="AL73" s="876">
        <f>_xlfn.NORM.S.DIST(AK73,1)</f>
        <v>1.7903758625269463E-260</v>
      </c>
      <c r="AM73" s="882">
        <f>AJ73-AL73</f>
        <v>1</v>
      </c>
      <c r="AN73" s="896">
        <f>AM73</f>
        <v>1</v>
      </c>
      <c r="AO73" s="879">
        <f>1-AM73</f>
        <v>0</v>
      </c>
      <c r="AP73" s="897">
        <f>AO73</f>
        <v>0</v>
      </c>
      <c r="AR73" s="874">
        <f>(U73-X73)/Z73</f>
        <v>15.239300635932093</v>
      </c>
      <c r="AS73" s="879">
        <f>NORMSDIST(AR73)</f>
        <v>1</v>
      </c>
      <c r="AT73" s="874">
        <f>(W73-X73)/Z73</f>
        <v>-34.456645735503145</v>
      </c>
      <c r="AU73" s="876">
        <f>NORMSDIST(AT73)</f>
        <v>1.7903758625269463E-260</v>
      </c>
      <c r="AV73" s="882">
        <f>AS73-AU73</f>
        <v>1</v>
      </c>
      <c r="AW73" s="896">
        <f>AV73</f>
        <v>1</v>
      </c>
      <c r="AX73" s="874">
        <f>1-AV73</f>
        <v>0</v>
      </c>
      <c r="AY73" s="957">
        <f>AX73</f>
        <v>0</v>
      </c>
    </row>
    <row r="74" spans="1:51" x14ac:dyDescent="0.25">
      <c r="B74" s="879">
        <f>IF('DATOS GENERALES'!$N$24=$C$70,S82,S74)</f>
        <v>8</v>
      </c>
      <c r="C74" s="879">
        <f>IF('DATOS GENERALES'!$N$24=$C$70,T82,T74)</f>
        <v>8</v>
      </c>
      <c r="D74" s="879">
        <f>IF('DATOS GENERALES'!$N$24=$C$70,V82,V74)</f>
        <v>-8</v>
      </c>
      <c r="E74" s="879">
        <f>IF('DATOS GENERALES'!$N$24=$C$70,-S82,-S74)</f>
        <v>-8</v>
      </c>
      <c r="F74" s="948">
        <f>IF('DATOS GENERALES'!$N$24=$C$70,AG82,AG74)</f>
        <v>0</v>
      </c>
      <c r="G74" s="879" t="str">
        <f>'DATOS GENERALES'!S99</f>
        <v>N.A.</v>
      </c>
      <c r="H74" s="953" t="str">
        <f t="shared" ref="H74:H75" si="21">IF(G74="Cumple",F74,"")</f>
        <v/>
      </c>
      <c r="I74" s="955">
        <f t="shared" ref="I74:I75" si="22">-Q74+P74</f>
        <v>-7.0642763999999998</v>
      </c>
      <c r="J74" s="956">
        <f t="shared" ref="J74:J75" si="23">Q74-P74</f>
        <v>7.0642763999999998</v>
      </c>
      <c r="K74" s="864" t="b">
        <f t="shared" ref="K74:K75" si="24">O74&gt;I74</f>
        <v>1</v>
      </c>
      <c r="L74" s="864" t="b">
        <f t="shared" ref="L74:L75" si="25">O74&lt;J74</f>
        <v>1</v>
      </c>
      <c r="M74" s="1554"/>
      <c r="N74" s="913">
        <f>'DATOS GENERALES'!F84</f>
        <v>500</v>
      </c>
      <c r="O74" s="874">
        <f>'DATOS GENERALES'!S98</f>
        <v>3.4518237993391949</v>
      </c>
      <c r="P74" s="882">
        <f>'DATOS GENERALES'!V96</f>
        <v>0.93572359999999999</v>
      </c>
      <c r="Q74" s="871">
        <f>'DATOS GENERALES'!Q22</f>
        <v>8</v>
      </c>
      <c r="R74" s="914">
        <f t="shared" ref="R74:R75" si="26">N74+O74</f>
        <v>503.45182379933919</v>
      </c>
      <c r="S74" s="871">
        <f>Q74</f>
        <v>8</v>
      </c>
      <c r="T74" s="871">
        <f t="shared" ref="T74:T75" si="27">S74</f>
        <v>8</v>
      </c>
      <c r="U74" s="894">
        <f>N74+S74</f>
        <v>508</v>
      </c>
      <c r="V74" s="894">
        <f t="shared" ref="V74:V75" si="28">-S74</f>
        <v>-8</v>
      </c>
      <c r="W74" s="894">
        <f>N74-S74</f>
        <v>492</v>
      </c>
      <c r="X74" s="894">
        <f>R74</f>
        <v>503.45182379933919</v>
      </c>
      <c r="Y74" s="882">
        <f>P74</f>
        <v>0.93572359999999999</v>
      </c>
      <c r="Z74" s="871">
        <f t="shared" ref="Z74:Z75" si="29">Y74/AA74</f>
        <v>0.46583076164789539</v>
      </c>
      <c r="AA74" s="879">
        <f>'Certificado de calibración'!Y93</f>
        <v>2.0087200696876253</v>
      </c>
      <c r="AB74" s="879">
        <f t="shared" ref="AB74:AB75" si="30">_xlfn.NORM.DIST(U74,X74,Z74,1)</f>
        <v>1</v>
      </c>
      <c r="AC74" s="879">
        <f t="shared" ref="AC74:AC75" si="31">_xlfn.NORM.DIST(W74,X74,Z74,1)</f>
        <v>9.4463772834614758E-134</v>
      </c>
      <c r="AD74" s="879">
        <f t="shared" ref="AD74:AD75" si="32">AB74-AC74</f>
        <v>1</v>
      </c>
      <c r="AE74" s="883">
        <f t="shared" ref="AE74:AE75" si="33">AD74</f>
        <v>1</v>
      </c>
      <c r="AF74" s="879">
        <f t="shared" ref="AF74:AF75" si="34">1-AD74</f>
        <v>0</v>
      </c>
      <c r="AG74" s="884">
        <f t="shared" ref="AG74:AG75" si="35">AF74</f>
        <v>0</v>
      </c>
      <c r="AI74" s="874">
        <f t="shared" ref="AI74:AI75" si="36">(U74-X74)/Z74</f>
        <v>9.7635806286631777</v>
      </c>
      <c r="AJ74" s="879">
        <f t="shared" ref="AJ74:AJ75" si="37">_xlfn.NORM.S.DIST(AI74,1)</f>
        <v>1</v>
      </c>
      <c r="AK74" s="874">
        <f t="shared" ref="AK74:AK75" si="38">(W74-X74)/Z74</f>
        <v>-24.583657289672971</v>
      </c>
      <c r="AL74" s="876">
        <f t="shared" ref="AL74:AL75" si="39">_xlfn.NORM.S.DIST(AK74,1)</f>
        <v>9.4463772834614758E-134</v>
      </c>
      <c r="AM74" s="882">
        <f t="shared" ref="AM74:AM75" si="40">AJ74-AL74</f>
        <v>1</v>
      </c>
      <c r="AN74" s="896">
        <f t="shared" ref="AN74:AN75" si="41">AM74</f>
        <v>1</v>
      </c>
      <c r="AO74" s="879">
        <f t="shared" ref="AO74:AO75" si="42">1-AM74</f>
        <v>0</v>
      </c>
      <c r="AP74" s="897">
        <f t="shared" ref="AP74:AP75" si="43">AO74</f>
        <v>0</v>
      </c>
      <c r="AR74" s="874">
        <f t="shared" ref="AR74:AR75" si="44">(U74-X74)/Z74</f>
        <v>9.7635806286631777</v>
      </c>
      <c r="AS74" s="879">
        <f t="shared" ref="AS74:AS75" si="45">NORMSDIST(AR74)</f>
        <v>1</v>
      </c>
      <c r="AT74" s="874">
        <f t="shared" ref="AT74:AT75" si="46">(W74-X74)/Z74</f>
        <v>-24.583657289672971</v>
      </c>
      <c r="AU74" s="876">
        <f t="shared" ref="AU74:AU75" si="47">NORMSDIST(AT74)</f>
        <v>9.4463772834614758E-134</v>
      </c>
      <c r="AV74" s="882">
        <f t="shared" ref="AV74:AV75" si="48">AS74-AU74</f>
        <v>1</v>
      </c>
      <c r="AW74" s="896">
        <f t="shared" ref="AW74:AW75" si="49">AV74</f>
        <v>1</v>
      </c>
      <c r="AX74" s="874">
        <f t="shared" ref="AX74:AX75" si="50">1-AV74</f>
        <v>0</v>
      </c>
      <c r="AY74" s="957">
        <f t="shared" ref="AY74:AY75" si="51">AX74</f>
        <v>0</v>
      </c>
    </row>
    <row r="75" spans="1:51" x14ac:dyDescent="0.25">
      <c r="B75" s="879">
        <f>IF('DATOS GENERALES'!$N$24=$C$70,S83,S75)</f>
        <v>8</v>
      </c>
      <c r="C75" s="879">
        <f>IF('DATOS GENERALES'!$N$24=$C$70,T83,T75)</f>
        <v>8</v>
      </c>
      <c r="D75" s="879">
        <f>IF('DATOS GENERALES'!$N$24=$C$70,V83,V75)</f>
        <v>-8</v>
      </c>
      <c r="E75" s="879">
        <f>IF('DATOS GENERALES'!$N$24=$C$70,-S83,-S75)</f>
        <v>-8</v>
      </c>
      <c r="F75" s="948">
        <f>IF('DATOS GENERALES'!$N$24=$C$70,AG83,AG75)</f>
        <v>4.4999263085765406E-6</v>
      </c>
      <c r="G75" s="879" t="str">
        <f>'DATOS GENERALES'!S115</f>
        <v>N.A.</v>
      </c>
      <c r="H75" s="963" t="str">
        <f t="shared" si="21"/>
        <v/>
      </c>
      <c r="I75" s="955">
        <f t="shared" si="22"/>
        <v>-6.3868850999999998</v>
      </c>
      <c r="J75" s="956">
        <f t="shared" si="23"/>
        <v>6.3868850999999998</v>
      </c>
      <c r="K75" s="864" t="b">
        <f t="shared" si="24"/>
        <v>1</v>
      </c>
      <c r="L75" s="864" t="b">
        <f t="shared" si="25"/>
        <v>1</v>
      </c>
      <c r="M75" s="1554"/>
      <c r="N75" s="913">
        <f>'DATOS GENERALES'!F100</f>
        <v>1000</v>
      </c>
      <c r="O75" s="874">
        <f>'DATOS GENERALES'!S114</f>
        <v>4.4438303975805411</v>
      </c>
      <c r="P75" s="882">
        <f>'DATOS GENERALES'!V112</f>
        <v>1.6131149</v>
      </c>
      <c r="Q75" s="871">
        <f>'DATOS GENERALES'!Q22</f>
        <v>8</v>
      </c>
      <c r="R75" s="914">
        <f t="shared" si="26"/>
        <v>1004.4438303975805</v>
      </c>
      <c r="S75" s="871">
        <f>Q75</f>
        <v>8</v>
      </c>
      <c r="T75" s="871">
        <f t="shared" si="27"/>
        <v>8</v>
      </c>
      <c r="U75" s="894">
        <f>N75+S75</f>
        <v>1008</v>
      </c>
      <c r="V75" s="894">
        <f t="shared" si="28"/>
        <v>-8</v>
      </c>
      <c r="W75" s="894">
        <f>N75-S75</f>
        <v>992</v>
      </c>
      <c r="X75" s="894">
        <f>R75</f>
        <v>1004.4438303975805</v>
      </c>
      <c r="Y75" s="882">
        <f>P75</f>
        <v>1.6131149</v>
      </c>
      <c r="Z75" s="871">
        <f t="shared" si="29"/>
        <v>0.80095620664309664</v>
      </c>
      <c r="AA75" s="879">
        <f>'Certificado de calibración'!Y94</f>
        <v>2.013986391042224</v>
      </c>
      <c r="AB75" s="879">
        <f t="shared" si="30"/>
        <v>0.99999550007369142</v>
      </c>
      <c r="AC75" s="879">
        <f t="shared" si="31"/>
        <v>9.864364404203049E-55</v>
      </c>
      <c r="AD75" s="879">
        <f t="shared" si="32"/>
        <v>0.99999550007369142</v>
      </c>
      <c r="AE75" s="883">
        <f t="shared" si="33"/>
        <v>0.99999550007369142</v>
      </c>
      <c r="AF75" s="879">
        <f t="shared" si="34"/>
        <v>4.4999263085765406E-6</v>
      </c>
      <c r="AG75" s="884">
        <f t="shared" si="35"/>
        <v>4.4999263085765406E-6</v>
      </c>
      <c r="AI75" s="874">
        <f t="shared" si="36"/>
        <v>4.4399051695020777</v>
      </c>
      <c r="AJ75" s="879">
        <f t="shared" si="37"/>
        <v>0.99999550007369142</v>
      </c>
      <c r="AK75" s="874">
        <f t="shared" si="38"/>
        <v>-15.536218203157604</v>
      </c>
      <c r="AL75" s="876">
        <f t="shared" si="39"/>
        <v>9.864364404203049E-55</v>
      </c>
      <c r="AM75" s="882">
        <f t="shared" si="40"/>
        <v>0.99999550007369142</v>
      </c>
      <c r="AN75" s="896">
        <f t="shared" si="41"/>
        <v>0.99999550007369142</v>
      </c>
      <c r="AO75" s="879">
        <f t="shared" si="42"/>
        <v>4.4999263085765406E-6</v>
      </c>
      <c r="AP75" s="897">
        <f t="shared" si="43"/>
        <v>4.4999263085765406E-6</v>
      </c>
      <c r="AR75" s="874">
        <f t="shared" si="44"/>
        <v>4.4399051695020777</v>
      </c>
      <c r="AS75" s="879">
        <f t="shared" si="45"/>
        <v>0.99999550007369142</v>
      </c>
      <c r="AT75" s="874">
        <f t="shared" si="46"/>
        <v>-15.536218203157604</v>
      </c>
      <c r="AU75" s="876">
        <f t="shared" si="47"/>
        <v>9.864364404203049E-55</v>
      </c>
      <c r="AV75" s="882">
        <f t="shared" si="48"/>
        <v>0.99999550007369142</v>
      </c>
      <c r="AW75" s="896">
        <f t="shared" si="49"/>
        <v>0.99999550007369142</v>
      </c>
      <c r="AX75" s="874">
        <f t="shared" si="50"/>
        <v>4.4999263085765406E-6</v>
      </c>
      <c r="AY75" s="957">
        <f t="shared" si="51"/>
        <v>4.4999263085765406E-6</v>
      </c>
    </row>
    <row r="76" spans="1:51" x14ac:dyDescent="0.25">
      <c r="G76" s="949" t="s">
        <v>684</v>
      </c>
      <c r="H76" s="948">
        <f>MAX(H73:H75)</f>
        <v>0</v>
      </c>
      <c r="M76" s="1554"/>
    </row>
    <row r="77" spans="1:51" x14ac:dyDescent="0.25">
      <c r="M77" s="1554"/>
    </row>
    <row r="78" spans="1:51" x14ac:dyDescent="0.25">
      <c r="M78" s="1554"/>
      <c r="N78" s="901"/>
      <c r="O78" s="902" t="str">
        <f>O70</f>
        <v>Micropipeta</v>
      </c>
      <c r="P78" s="902" t="str">
        <f t="shared" ref="P78:Q78" si="52">P70</f>
        <v>100 a 1000 µL</v>
      </c>
      <c r="Q78" s="902" t="str">
        <f t="shared" si="52"/>
        <v>TVO005-26A</v>
      </c>
      <c r="R78" s="864" t="s">
        <v>667</v>
      </c>
      <c r="U78" s="916" t="s">
        <v>668</v>
      </c>
      <c r="V78" s="916"/>
      <c r="W78" s="916"/>
      <c r="X78" s="916"/>
      <c r="Y78" s="916"/>
      <c r="Z78" s="916"/>
    </row>
    <row r="79" spans="1:51" x14ac:dyDescent="0.25">
      <c r="M79" s="1554"/>
      <c r="N79" s="911" t="s">
        <v>660</v>
      </c>
      <c r="O79" s="912" t="s">
        <v>304</v>
      </c>
      <c r="P79" s="912" t="s">
        <v>652</v>
      </c>
      <c r="Q79" s="912" t="s">
        <v>647</v>
      </c>
      <c r="R79" s="960" t="s">
        <v>694</v>
      </c>
      <c r="T79" s="864" t="s">
        <v>687</v>
      </c>
      <c r="U79" s="947" t="s">
        <v>691</v>
      </c>
      <c r="V79" s="947" t="s">
        <v>688</v>
      </c>
      <c r="W79" s="947" t="s">
        <v>692</v>
      </c>
      <c r="AM79" s="1542" t="s">
        <v>645</v>
      </c>
      <c r="AN79" s="1542"/>
      <c r="AO79" s="1543" t="s">
        <v>645</v>
      </c>
      <c r="AP79" s="1543"/>
      <c r="AR79" s="870"/>
      <c r="AS79" s="870"/>
      <c r="AT79" s="870"/>
      <c r="AU79" s="870"/>
      <c r="AV79" s="1542" t="s">
        <v>645</v>
      </c>
      <c r="AW79" s="1542"/>
      <c r="AX79" s="1543" t="s">
        <v>645</v>
      </c>
      <c r="AY79" s="1543"/>
    </row>
    <row r="80" spans="1:51" x14ac:dyDescent="0.25">
      <c r="M80" s="1554"/>
      <c r="N80" s="877" t="str">
        <f>N72</f>
        <v>µL</v>
      </c>
      <c r="O80" s="871" t="str">
        <f>O72</f>
        <v>µL</v>
      </c>
      <c r="P80" s="871" t="str">
        <f t="shared" ref="P80:Q80" si="53">P72</f>
        <v>µL</v>
      </c>
      <c r="Q80" s="871" t="str">
        <f t="shared" si="53"/>
        <v>µL</v>
      </c>
      <c r="R80" s="890" t="s">
        <v>666</v>
      </c>
      <c r="S80" s="873" t="s">
        <v>647</v>
      </c>
      <c r="T80" s="871" t="str">
        <f>U80</f>
        <v>TU</v>
      </c>
      <c r="U80" s="988" t="s">
        <v>713</v>
      </c>
      <c r="V80" s="871" t="str">
        <f>W80</f>
        <v>TL</v>
      </c>
      <c r="W80" s="871" t="s">
        <v>649</v>
      </c>
      <c r="X80" s="871" t="s">
        <v>650</v>
      </c>
      <c r="Y80" s="873" t="s">
        <v>652</v>
      </c>
      <c r="Z80" s="871" t="s">
        <v>662</v>
      </c>
      <c r="AA80" s="871" t="s">
        <v>653</v>
      </c>
      <c r="AB80" s="879" t="s">
        <v>654</v>
      </c>
      <c r="AC80" s="879" t="s">
        <v>655</v>
      </c>
      <c r="AD80" s="1542" t="s">
        <v>645</v>
      </c>
      <c r="AE80" s="1542"/>
      <c r="AF80" s="1544" t="s">
        <v>645</v>
      </c>
      <c r="AG80" s="1544"/>
      <c r="AI80" s="871" t="s">
        <v>656</v>
      </c>
      <c r="AJ80" s="874" t="str">
        <f>CONCATENATE("ɸ(",ROUND(AI81,2)," ) ")</f>
        <v xml:space="preserve">ɸ(13,22 ) </v>
      </c>
      <c r="AK80" s="871" t="s">
        <v>657</v>
      </c>
      <c r="AL80" s="875" t="str">
        <f>CONCATENATE("ɸ(",ROUND(AK81,2)," ) ")</f>
        <v xml:space="preserve">ɸ(-32,44 ) </v>
      </c>
      <c r="AM80" s="891" t="str">
        <f>CONCATENATE("ɸ(",ROUND(AI81,2)," ) - ","ɸ(",ROUND(AK81,2)," ) ")</f>
        <v xml:space="preserve">ɸ(13,22 ) - ɸ(-32,44 ) </v>
      </c>
      <c r="AN80" s="892"/>
      <c r="AO80" s="871"/>
      <c r="AP80" s="878"/>
      <c r="AR80" s="871" t="s">
        <v>656</v>
      </c>
      <c r="AS80" s="874" t="str">
        <f>CONCATENATE("ɸ(",ROUND(AR81,2)," ) ")</f>
        <v xml:space="preserve">ɸ(13,22 ) </v>
      </c>
      <c r="AT80" s="871" t="s">
        <v>657</v>
      </c>
      <c r="AU80" s="875" t="str">
        <f>CONCATENATE("ɸ(",ROUND(AT81,2)," ) ")</f>
        <v xml:space="preserve">ɸ(-32,44 ) </v>
      </c>
      <c r="AV80" s="958" t="str">
        <f>CONCATENATE("ɸ(",ROUND(AR81,2)," ) - ","ɸ(",ROUND(AT81,2)," ) ")</f>
        <v xml:space="preserve">ɸ(13,22 ) - ɸ(-32,44 ) </v>
      </c>
      <c r="AW80" s="892"/>
      <c r="AX80" s="871"/>
      <c r="AY80" s="878"/>
    </row>
    <row r="81" spans="13:51" x14ac:dyDescent="0.25">
      <c r="M81" s="1554"/>
      <c r="N81" s="913">
        <f>N73</f>
        <v>100</v>
      </c>
      <c r="O81" s="921">
        <f t="shared" ref="O81:Q81" si="54">O73</f>
        <v>3.0935875463061109</v>
      </c>
      <c r="P81" s="921">
        <f t="shared" si="54"/>
        <v>0.64980120000000008</v>
      </c>
      <c r="Q81" s="945">
        <f t="shared" si="54"/>
        <v>8</v>
      </c>
      <c r="R81" s="914">
        <f>N81+O81</f>
        <v>103.09358754630611</v>
      </c>
      <c r="S81" s="871">
        <f>Q81</f>
        <v>8</v>
      </c>
      <c r="T81" s="894">
        <f>S81-P81</f>
        <v>7.3501988000000003</v>
      </c>
      <c r="U81" s="894">
        <f>N81+S81-P81</f>
        <v>107.3501988</v>
      </c>
      <c r="V81" s="894">
        <f>-S81+P81</f>
        <v>-7.3501988000000003</v>
      </c>
      <c r="W81" s="894">
        <f>N81-S81+P81</f>
        <v>92.649801199999999</v>
      </c>
      <c r="X81" s="894">
        <f>R81</f>
        <v>103.09358754630611</v>
      </c>
      <c r="Y81" s="882">
        <f>P81</f>
        <v>0.64980120000000008</v>
      </c>
      <c r="Z81" s="871">
        <f>Y81/AA81</f>
        <v>0.3219578490449404</v>
      </c>
      <c r="AA81" s="879">
        <f>'Certificado de calibración'!Y92</f>
        <v>2.0182803492058916</v>
      </c>
      <c r="AB81" s="879">
        <f>_xlfn.NORM.DIST(U81,X81,Z81,1)</f>
        <v>1</v>
      </c>
      <c r="AC81" s="879">
        <f>_xlfn.NORM.DIST(W81,X81,Z81,1)</f>
        <v>3.9517303349699747E-231</v>
      </c>
      <c r="AD81" s="879">
        <f>AB81-AC81</f>
        <v>1</v>
      </c>
      <c r="AE81" s="883">
        <f>AD81</f>
        <v>1</v>
      </c>
      <c r="AF81" s="879">
        <f>1-AD81</f>
        <v>0</v>
      </c>
      <c r="AG81" s="943">
        <f>AF81</f>
        <v>0</v>
      </c>
      <c r="AI81" s="874">
        <f>(U81-X81)/Z81</f>
        <v>13.221020286726205</v>
      </c>
      <c r="AJ81" s="879">
        <f>_xlfn.NORM.S.DIST(AI81,1)</f>
        <v>1</v>
      </c>
      <c r="AK81" s="874">
        <f>(W81-X81)/Z81</f>
        <v>-32.438365386297257</v>
      </c>
      <c r="AL81" s="876">
        <f>_xlfn.NORM.S.DIST(AK81,1)</f>
        <v>3.9517303349699747E-231</v>
      </c>
      <c r="AM81" s="882">
        <f>AJ81-AL81</f>
        <v>1</v>
      </c>
      <c r="AN81" s="896">
        <f>AM81</f>
        <v>1</v>
      </c>
      <c r="AO81" s="879">
        <f>1-AM81</f>
        <v>0</v>
      </c>
      <c r="AP81" s="897">
        <f>AO81</f>
        <v>0</v>
      </c>
      <c r="AR81" s="874">
        <f>(U81-X81)/Z81</f>
        <v>13.221020286726205</v>
      </c>
      <c r="AS81" s="879">
        <f>NORMSDIST(AR81)</f>
        <v>1</v>
      </c>
      <c r="AT81" s="874">
        <f>(W81-X81)/Z81</f>
        <v>-32.438365386297257</v>
      </c>
      <c r="AU81" s="876">
        <f>NORMSDIST(AT81)</f>
        <v>3.9517303349699747E-231</v>
      </c>
      <c r="AV81" s="882">
        <f>AS81-AU81</f>
        <v>1</v>
      </c>
      <c r="AW81" s="896">
        <f>AV81</f>
        <v>1</v>
      </c>
      <c r="AX81" s="874">
        <f>1-AV81</f>
        <v>0</v>
      </c>
      <c r="AY81" s="957">
        <f>AX81</f>
        <v>0</v>
      </c>
    </row>
    <row r="82" spans="13:51" x14ac:dyDescent="0.25">
      <c r="M82" s="1554"/>
      <c r="N82" s="913">
        <f t="shared" ref="N82:Q83" si="55">N74</f>
        <v>500</v>
      </c>
      <c r="O82" s="921">
        <f t="shared" si="55"/>
        <v>3.4518237993391949</v>
      </c>
      <c r="P82" s="921">
        <f t="shared" si="55"/>
        <v>0.93572359999999999</v>
      </c>
      <c r="Q82" s="945">
        <f t="shared" si="55"/>
        <v>8</v>
      </c>
      <c r="R82" s="914">
        <f t="shared" ref="R82:R83" si="56">N82+O82</f>
        <v>503.45182379933919</v>
      </c>
      <c r="S82" s="871">
        <f>Q82</f>
        <v>8</v>
      </c>
      <c r="T82" s="894">
        <f t="shared" ref="T82:T83" si="57">S82-P82</f>
        <v>7.0642763999999998</v>
      </c>
      <c r="U82" s="894">
        <f>N82+S82-P82</f>
        <v>507.06427639999998</v>
      </c>
      <c r="V82" s="894">
        <f t="shared" ref="V82:V83" si="58">-S82+P82</f>
        <v>-7.0642763999999998</v>
      </c>
      <c r="W82" s="894">
        <f>N82-S82+P82</f>
        <v>492.93572360000002</v>
      </c>
      <c r="X82" s="894">
        <f>R82</f>
        <v>503.45182379933919</v>
      </c>
      <c r="Y82" s="882">
        <f>P82</f>
        <v>0.93572359999999999</v>
      </c>
      <c r="Z82" s="871">
        <f t="shared" ref="Z82:Z83" si="59">Y82/AA82</f>
        <v>0.46583076164789539</v>
      </c>
      <c r="AA82" s="879">
        <f>'Certificado de calibración'!Y93</f>
        <v>2.0087200696876253</v>
      </c>
      <c r="AB82" s="879">
        <f t="shared" ref="AB82" si="60">_xlfn.NORM.DIST(U82,X82,Z82,1)</f>
        <v>0.99999999999999556</v>
      </c>
      <c r="AC82" s="879">
        <f t="shared" ref="AC82:AC83" si="61">_xlfn.NORM.DIST(W82,X82,Z82,1)</f>
        <v>3.8209104468479874E-113</v>
      </c>
      <c r="AD82" s="879">
        <f t="shared" ref="AD82:AD83" si="62">AB82-AC82</f>
        <v>0.99999999999999556</v>
      </c>
      <c r="AE82" s="883">
        <f t="shared" ref="AE82:AE83" si="63">AD82</f>
        <v>0.99999999999999556</v>
      </c>
      <c r="AF82" s="879">
        <f t="shared" ref="AF82:AF83" si="64">1-AD82</f>
        <v>4.4408920985006262E-15</v>
      </c>
      <c r="AG82" s="943">
        <f t="shared" ref="AG82:AG83" si="65">AF82</f>
        <v>4.4408920985006262E-15</v>
      </c>
      <c r="AI82" s="874">
        <f t="shared" ref="AI82:AI83" si="66">(U82-X82)/Z82</f>
        <v>7.7548605589755155</v>
      </c>
      <c r="AJ82" s="879">
        <f t="shared" ref="AJ82:AJ83" si="67">_xlfn.NORM.S.DIST(AI82,1)</f>
        <v>0.99999999999999556</v>
      </c>
      <c r="AK82" s="874">
        <f t="shared" ref="AK82:AK83" si="68">(W82-X82)/Z82</f>
        <v>-22.574937219985308</v>
      </c>
      <c r="AL82" s="876">
        <f t="shared" ref="AL82:AL83" si="69">_xlfn.NORM.S.DIST(AK82,1)</f>
        <v>3.8209104468479874E-113</v>
      </c>
      <c r="AM82" s="882">
        <f t="shared" ref="AM82:AM83" si="70">AJ82-AL82</f>
        <v>0.99999999999999556</v>
      </c>
      <c r="AN82" s="896">
        <f t="shared" ref="AN82:AN83" si="71">AM82</f>
        <v>0.99999999999999556</v>
      </c>
      <c r="AO82" s="879">
        <f t="shared" ref="AO82:AO83" si="72">1-AM82</f>
        <v>4.4408920985006262E-15</v>
      </c>
      <c r="AP82" s="897">
        <f t="shared" ref="AP82:AP83" si="73">AO82</f>
        <v>4.4408920985006262E-15</v>
      </c>
      <c r="AR82" s="874">
        <f t="shared" ref="AR82:AR83" si="74">(U82-X82)/Z82</f>
        <v>7.7548605589755155</v>
      </c>
      <c r="AS82" s="879">
        <f t="shared" ref="AS82:AS83" si="75">NORMSDIST(AR82)</f>
        <v>0.99999999999999556</v>
      </c>
      <c r="AT82" s="874">
        <f t="shared" ref="AT82:AT83" si="76">(W82-X82)/Z82</f>
        <v>-22.574937219985308</v>
      </c>
      <c r="AU82" s="876">
        <f t="shared" ref="AU82:AU83" si="77">NORMSDIST(AT82)</f>
        <v>3.8209104468479874E-113</v>
      </c>
      <c r="AV82" s="882">
        <f t="shared" ref="AV82:AV83" si="78">AS82-AU82</f>
        <v>0.99999999999999556</v>
      </c>
      <c r="AW82" s="896">
        <f t="shared" ref="AW82:AW83" si="79">AV82</f>
        <v>0.99999999999999556</v>
      </c>
      <c r="AX82" s="874">
        <f t="shared" ref="AX82:AX83" si="80">1-AV82</f>
        <v>4.4408920985006262E-15</v>
      </c>
      <c r="AY82" s="957">
        <f t="shared" ref="AY82:AY83" si="81">AX82</f>
        <v>4.4408920985006262E-15</v>
      </c>
    </row>
    <row r="83" spans="13:51" x14ac:dyDescent="0.25">
      <c r="M83" s="1555"/>
      <c r="N83" s="913">
        <f t="shared" si="55"/>
        <v>1000</v>
      </c>
      <c r="O83" s="921">
        <f t="shared" si="55"/>
        <v>4.4438303975805411</v>
      </c>
      <c r="P83" s="921">
        <f t="shared" si="55"/>
        <v>1.6131149</v>
      </c>
      <c r="Q83" s="945">
        <f t="shared" si="55"/>
        <v>8</v>
      </c>
      <c r="R83" s="914">
        <f t="shared" si="56"/>
        <v>1004.4438303975805</v>
      </c>
      <c r="S83" s="871">
        <f>Q83</f>
        <v>8</v>
      </c>
      <c r="T83" s="894">
        <f t="shared" si="57"/>
        <v>6.3868850999999998</v>
      </c>
      <c r="U83" s="894">
        <f>N83+S83-P83</f>
        <v>1006.3868851</v>
      </c>
      <c r="V83" s="894">
        <f t="shared" si="58"/>
        <v>-6.3868850999999998</v>
      </c>
      <c r="W83" s="894">
        <f>N83-S83+P83</f>
        <v>993.61311490000003</v>
      </c>
      <c r="X83" s="894">
        <f>R83</f>
        <v>1004.4438303975805</v>
      </c>
      <c r="Y83" s="882">
        <f>P83</f>
        <v>1.6131149</v>
      </c>
      <c r="Z83" s="871">
        <f t="shared" si="59"/>
        <v>0.80095620664309664</v>
      </c>
      <c r="AA83" s="879">
        <f>'Certificado de calibración'!Y94</f>
        <v>2.013986391042224</v>
      </c>
      <c r="AB83" s="879">
        <f>_xlfn.NORM.DIST(U83,X83,Z83,1)</f>
        <v>0.99236515638310197</v>
      </c>
      <c r="AC83" s="879">
        <f t="shared" si="61"/>
        <v>5.7807159418142029E-42</v>
      </c>
      <c r="AD83" s="879">
        <f t="shared" si="62"/>
        <v>0.99236515638310197</v>
      </c>
      <c r="AE83" s="883">
        <f t="shared" si="63"/>
        <v>0.99236515638310197</v>
      </c>
      <c r="AF83" s="879">
        <f t="shared" si="64"/>
        <v>7.6348436168980349E-3</v>
      </c>
      <c r="AG83" s="943">
        <f t="shared" si="65"/>
        <v>7.6348436168980349E-3</v>
      </c>
      <c r="AH83" s="918"/>
      <c r="AI83" s="874">
        <f t="shared" si="66"/>
        <v>2.4259187784598186</v>
      </c>
      <c r="AJ83" s="879">
        <f t="shared" si="67"/>
        <v>0.99236515638310197</v>
      </c>
      <c r="AK83" s="874">
        <f t="shared" si="68"/>
        <v>-13.522231812115345</v>
      </c>
      <c r="AL83" s="876">
        <f t="shared" si="69"/>
        <v>5.7807159418142029E-42</v>
      </c>
      <c r="AM83" s="882">
        <f t="shared" si="70"/>
        <v>0.99236515638310197</v>
      </c>
      <c r="AN83" s="896">
        <f t="shared" si="71"/>
        <v>0.99236515638310197</v>
      </c>
      <c r="AO83" s="879">
        <f t="shared" si="72"/>
        <v>7.6348436168980349E-3</v>
      </c>
      <c r="AP83" s="962">
        <f t="shared" si="73"/>
        <v>7.6348436168980349E-3</v>
      </c>
      <c r="AR83" s="874">
        <f t="shared" si="74"/>
        <v>2.4259187784598186</v>
      </c>
      <c r="AS83" s="879">
        <f t="shared" si="75"/>
        <v>0.99236515638310197</v>
      </c>
      <c r="AT83" s="874">
        <f t="shared" si="76"/>
        <v>-13.522231812115345</v>
      </c>
      <c r="AU83" s="876">
        <f t="shared" si="77"/>
        <v>5.7807159418142029E-42</v>
      </c>
      <c r="AV83" s="882">
        <f t="shared" si="78"/>
        <v>0.99236515638310197</v>
      </c>
      <c r="AW83" s="896">
        <f t="shared" si="79"/>
        <v>0.99236515638310197</v>
      </c>
      <c r="AX83" s="874">
        <f t="shared" si="80"/>
        <v>7.6348436168980349E-3</v>
      </c>
      <c r="AY83" s="961">
        <f t="shared" si="81"/>
        <v>7.6348436168980349E-3</v>
      </c>
    </row>
    <row r="84" spans="13:51" x14ac:dyDescent="0.25">
      <c r="Q84" s="973"/>
      <c r="R84" s="974"/>
      <c r="U84" s="916" t="s">
        <v>671</v>
      </c>
      <c r="V84" s="916"/>
      <c r="W84" s="919"/>
      <c r="X84" s="919"/>
      <c r="Y84" s="919"/>
      <c r="Z84" s="919"/>
      <c r="AA84" s="919"/>
      <c r="AB84" s="919"/>
      <c r="AC84" s="919"/>
      <c r="AD84" s="919"/>
      <c r="AE84" s="919"/>
      <c r="AF84" s="919"/>
      <c r="AG84" s="919"/>
      <c r="AH84" s="919"/>
      <c r="AI84" s="920"/>
    </row>
    <row r="85" spans="13:51" x14ac:dyDescent="0.25">
      <c r="Q85" s="973"/>
      <c r="U85" s="975" t="s">
        <v>695</v>
      </c>
      <c r="V85" s="976">
        <f>Q83</f>
        <v>8</v>
      </c>
      <c r="W85" s="975" t="s">
        <v>696</v>
      </c>
      <c r="X85" s="976">
        <f>-Q83</f>
        <v>-8</v>
      </c>
      <c r="Y85" s="977"/>
      <c r="Z85" s="975" t="s">
        <v>304</v>
      </c>
      <c r="AA85" s="978">
        <f>O83</f>
        <v>4.4438303975805411</v>
      </c>
      <c r="AB85" s="975" t="s">
        <v>651</v>
      </c>
      <c r="AC85" s="978">
        <f>P83/AA83</f>
        <v>0.80095620664309664</v>
      </c>
      <c r="AD85" s="975" t="s">
        <v>645</v>
      </c>
      <c r="AE85" s="979">
        <f>_xlfn.NORM.DIST(V85,AA85,AC85,1)-_xlfn.NORM.DIST(X85,AA85,AC85,1)</f>
        <v>0.99999550007369142</v>
      </c>
      <c r="AF85" s="980" t="s">
        <v>697</v>
      </c>
      <c r="AG85" s="981">
        <f>1-AE85</f>
        <v>4.4999263085765406E-6</v>
      </c>
    </row>
    <row r="86" spans="13:51" x14ac:dyDescent="0.25">
      <c r="M86" s="1553" t="s">
        <v>683</v>
      </c>
      <c r="N86" s="901"/>
      <c r="O86" s="902" t="str">
        <f>'DATOS GENERALES'!C17</f>
        <v>Micropipeta</v>
      </c>
      <c r="P86" s="903" t="str">
        <f>CONCATENATE('DATOS GENERALES'!K21," a ",'DATOS GENERALES'!M21," ", 'DATOS GENERALES'!N21)</f>
        <v>100 a 1000 µL</v>
      </c>
      <c r="Q86" s="946" t="str">
        <f>'DATOS GENERALES'!F7</f>
        <v>TVO005-26A</v>
      </c>
      <c r="R86" s="905" t="s">
        <v>664</v>
      </c>
      <c r="S86" s="905"/>
      <c r="T86" s="905"/>
      <c r="U86" s="975" t="s">
        <v>695</v>
      </c>
      <c r="V86" s="976">
        <f>T83</f>
        <v>6.3868850999999998</v>
      </c>
      <c r="W86" s="975" t="s">
        <v>696</v>
      </c>
      <c r="X86" s="976">
        <f>V83</f>
        <v>-6.3868850999999998</v>
      </c>
      <c r="Y86" s="977"/>
      <c r="Z86" s="975" t="s">
        <v>304</v>
      </c>
      <c r="AA86" s="978">
        <f>AA85</f>
        <v>4.4438303975805411</v>
      </c>
      <c r="AB86" s="975" t="s">
        <v>651</v>
      </c>
      <c r="AC86" s="978">
        <f>AC85</f>
        <v>0.80095620664309664</v>
      </c>
      <c r="AD86" s="975" t="s">
        <v>645</v>
      </c>
      <c r="AE86" s="979">
        <f>_xlfn.NORM.DIST(V86,AA86,AC86,1)-_xlfn.NORM.DIST(X86,AA86,AC86,1)</f>
        <v>0.99236515638310263</v>
      </c>
      <c r="AF86" s="980" t="s">
        <v>697</v>
      </c>
      <c r="AG86" s="981">
        <f>1-AE86</f>
        <v>7.6348436168973688E-3</v>
      </c>
      <c r="AH86" s="905"/>
      <c r="AI86" s="909"/>
      <c r="AJ86" s="909"/>
      <c r="AK86" s="909"/>
      <c r="AL86" s="909"/>
      <c r="AM86" s="909"/>
      <c r="AN86" s="909"/>
      <c r="AO86" s="905"/>
      <c r="AP86" s="910"/>
    </row>
    <row r="87" spans="13:51" x14ac:dyDescent="0.25">
      <c r="M87" s="1554"/>
      <c r="N87" s="911" t="s">
        <v>660</v>
      </c>
      <c r="O87" s="912" t="s">
        <v>304</v>
      </c>
      <c r="P87" s="912" t="s">
        <v>652</v>
      </c>
      <c r="Q87" s="912" t="s">
        <v>647</v>
      </c>
      <c r="AB87" s="899">
        <f>_xlfn.NORM.DIST(V85,AA85,AC85,1)</f>
        <v>0.99999550007369142</v>
      </c>
      <c r="AC87" s="982">
        <f>_xlfn.NORM.DIST(X85,AA85,AC85,1)</f>
        <v>9.864364404203049E-55</v>
      </c>
      <c r="AF87" s="900"/>
      <c r="AG87" s="900"/>
      <c r="AM87" s="1542" t="s">
        <v>645</v>
      </c>
      <c r="AN87" s="1542"/>
      <c r="AO87" s="1543" t="s">
        <v>645</v>
      </c>
      <c r="AP87" s="1543"/>
      <c r="AR87" s="870"/>
      <c r="AS87" s="870"/>
      <c r="AT87" s="870"/>
      <c r="AU87" s="870"/>
      <c r="AV87" s="1542" t="s">
        <v>645</v>
      </c>
      <c r="AW87" s="1542"/>
      <c r="AX87" s="1543" t="s">
        <v>645</v>
      </c>
      <c r="AY87" s="1543"/>
    </row>
    <row r="88" spans="13:51" x14ac:dyDescent="0.25">
      <c r="M88" s="1554"/>
      <c r="N88" s="877" t="str">
        <f>'DATOS GENERALES'!H68</f>
        <v>µL</v>
      </c>
      <c r="O88" s="871" t="str">
        <f>N88</f>
        <v>µL</v>
      </c>
      <c r="P88" s="871" t="str">
        <f>O88</f>
        <v>µL</v>
      </c>
      <c r="Q88" s="871" t="str">
        <f>P88</f>
        <v>µL</v>
      </c>
      <c r="R88" s="890" t="s">
        <v>666</v>
      </c>
      <c r="S88" s="873" t="s">
        <v>647</v>
      </c>
      <c r="T88" s="871" t="str">
        <f>U88</f>
        <v>Tu</v>
      </c>
      <c r="U88" s="871" t="s">
        <v>648</v>
      </c>
      <c r="V88" s="871" t="str">
        <f>W88</f>
        <v>TL</v>
      </c>
      <c r="W88" s="871" t="s">
        <v>649</v>
      </c>
      <c r="X88" s="871" t="s">
        <v>650</v>
      </c>
      <c r="Y88" s="873" t="s">
        <v>652</v>
      </c>
      <c r="Z88" s="871" t="s">
        <v>662</v>
      </c>
      <c r="AA88" s="871" t="s">
        <v>653</v>
      </c>
      <c r="AB88" s="879" t="s">
        <v>654</v>
      </c>
      <c r="AC88" s="879" t="s">
        <v>655</v>
      </c>
      <c r="AD88" s="1545" t="s">
        <v>645</v>
      </c>
      <c r="AE88" s="1545"/>
      <c r="AF88" s="1546" t="s">
        <v>645</v>
      </c>
      <c r="AG88" s="1546"/>
      <c r="AI88" s="871" t="s">
        <v>656</v>
      </c>
      <c r="AJ88" s="874" t="str">
        <f>CONCATENATE("ɸ(",ROUND(AI89,2)," ) ")</f>
        <v xml:space="preserve">ɸ(-0,29 ) </v>
      </c>
      <c r="AK88" s="871" t="s">
        <v>657</v>
      </c>
      <c r="AL88" s="875" t="str">
        <f>CONCATENATE("ɸ(",ROUND(AK89,2)," ) ")</f>
        <v xml:space="preserve">ɸ(-18,93 ) </v>
      </c>
      <c r="AM88" s="891" t="str">
        <f>CONCATENATE("ɸ(",ROUND(AI89,2)," ) - ","ɸ(",ROUND(AK89,2)," ) ")</f>
        <v xml:space="preserve">ɸ(-0,29 ) - ɸ(-18,93 ) </v>
      </c>
      <c r="AN88" s="892"/>
      <c r="AO88" s="871"/>
      <c r="AP88" s="878"/>
      <c r="AR88" s="871" t="s">
        <v>656</v>
      </c>
      <c r="AS88" s="874" t="str">
        <f>CONCATENATE("ɸ(",ROUND(AR89,2)," ) ")</f>
        <v xml:space="preserve">ɸ(-0,29 ) </v>
      </c>
      <c r="AT88" s="871" t="s">
        <v>657</v>
      </c>
      <c r="AU88" s="875" t="str">
        <f>CONCATENATE("ɸ(",ROUND(AT89,2)," ) ")</f>
        <v xml:space="preserve">ɸ(-18,93 ) </v>
      </c>
      <c r="AV88" s="958" t="str">
        <f>CONCATENATE("ɸ(",ROUND(AR89,2)," ) - ","ɸ(",ROUND(AT89,2)," ) ")</f>
        <v xml:space="preserve">ɸ(-0,29 ) - ɸ(-18,93 ) </v>
      </c>
      <c r="AW88" s="892"/>
      <c r="AX88" s="871"/>
      <c r="AY88" s="878"/>
    </row>
    <row r="89" spans="13:51" x14ac:dyDescent="0.25">
      <c r="M89" s="1554"/>
      <c r="N89" s="913">
        <f>'DATOS GENERALES'!F68</f>
        <v>100</v>
      </c>
      <c r="O89" s="874">
        <f>'DATOS GENERALES'!S82</f>
        <v>3.0935875463061109</v>
      </c>
      <c r="P89" s="882">
        <f>'DATOS GENERALES'!V80</f>
        <v>0.64980120000000008</v>
      </c>
      <c r="Q89" s="871">
        <f>'DATOS GENERALES'!Q23</f>
        <v>3</v>
      </c>
      <c r="R89" s="914">
        <f>N89+O89</f>
        <v>103.09358754630611</v>
      </c>
      <c r="S89" s="871">
        <f>Q89</f>
        <v>3</v>
      </c>
      <c r="T89" s="871"/>
      <c r="U89" s="894">
        <f>N89+S89</f>
        <v>103</v>
      </c>
      <c r="V89" s="894"/>
      <c r="W89" s="894">
        <f>N89-S89</f>
        <v>97</v>
      </c>
      <c r="X89" s="894">
        <f>R89</f>
        <v>103.09358754630611</v>
      </c>
      <c r="Y89" s="882">
        <f>P89</f>
        <v>0.64980120000000008</v>
      </c>
      <c r="Z89" s="871">
        <f>Y89/AA89</f>
        <v>0.3219578490449404</v>
      </c>
      <c r="AA89" s="879">
        <f>'Certificado de calibración'!Y92</f>
        <v>2.0182803492058916</v>
      </c>
      <c r="AB89" s="879">
        <f>_xlfn.NORM.DIST(U89,X89,Z89,1)</f>
        <v>0.38564703825081348</v>
      </c>
      <c r="AC89" s="879">
        <f>_xlfn.NORM.DIST(W89,X89,Z89,1)</f>
        <v>3.439232385965835E-80</v>
      </c>
      <c r="AD89" s="879">
        <f>AB89-AC89</f>
        <v>0.38564703825081348</v>
      </c>
      <c r="AE89" s="883">
        <f>AD89</f>
        <v>0.38564703825081348</v>
      </c>
      <c r="AF89" s="879">
        <f>1-AD89</f>
        <v>0.61435296174918652</v>
      </c>
      <c r="AG89" s="884">
        <f>AF89</f>
        <v>0.61435296174918652</v>
      </c>
      <c r="AI89" s="874">
        <f>(U89-X89)/Z89</f>
        <v>-0.29068260514141864</v>
      </c>
      <c r="AJ89" s="879">
        <f>_xlfn.NORM.S.DIST(AI89,1)</f>
        <v>0.38564703825081348</v>
      </c>
      <c r="AK89" s="874">
        <f>(W89-X89)/Z89</f>
        <v>-18.926662494429632</v>
      </c>
      <c r="AL89" s="876">
        <f>_xlfn.NORM.S.DIST(AK89,1)</f>
        <v>3.439232385965835E-80</v>
      </c>
      <c r="AM89" s="882">
        <f>AJ89-AL89</f>
        <v>0.38564703825081348</v>
      </c>
      <c r="AN89" s="896">
        <f>AM89</f>
        <v>0.38564703825081348</v>
      </c>
      <c r="AO89" s="879">
        <f>1-AM89</f>
        <v>0.61435296174918652</v>
      </c>
      <c r="AP89" s="897">
        <f>AO89</f>
        <v>0.61435296174918652</v>
      </c>
      <c r="AR89" s="874">
        <f>(U89-X89)/Z89</f>
        <v>-0.29068260514141864</v>
      </c>
      <c r="AS89" s="879">
        <f>NORMSDIST(AR89)</f>
        <v>0.38564703825081348</v>
      </c>
      <c r="AT89" s="874">
        <f>(W89-X89)/Z89</f>
        <v>-18.926662494429632</v>
      </c>
      <c r="AU89" s="876">
        <f>NORMSDIST(AT89)</f>
        <v>3.439232385965835E-80</v>
      </c>
      <c r="AV89" s="882">
        <f>AS89-AU89</f>
        <v>0.38564703825081348</v>
      </c>
      <c r="AW89" s="896">
        <f>AV89</f>
        <v>0.38564703825081348</v>
      </c>
      <c r="AX89" s="874">
        <f>1-AV89</f>
        <v>0.61435296174918652</v>
      </c>
      <c r="AY89" s="957">
        <f>AX89</f>
        <v>0.61435296174918652</v>
      </c>
    </row>
    <row r="90" spans="13:51" x14ac:dyDescent="0.25">
      <c r="M90" s="1554"/>
      <c r="N90" s="913">
        <f>'DATOS GENERALES'!F84</f>
        <v>500</v>
      </c>
      <c r="O90" s="874">
        <f>'DATOS GENERALES'!S98</f>
        <v>3.4518237993391949</v>
      </c>
      <c r="P90" s="882">
        <f>'DATOS GENERALES'!V96</f>
        <v>0.93572359999999999</v>
      </c>
      <c r="Q90" s="871">
        <f>'DATOS GENERALES'!Q23</f>
        <v>3</v>
      </c>
      <c r="R90" s="914">
        <f t="shared" ref="R90:R91" si="82">N90+O90</f>
        <v>503.45182379933919</v>
      </c>
      <c r="S90" s="871">
        <f>Q90</f>
        <v>3</v>
      </c>
      <c r="T90" s="871"/>
      <c r="U90" s="894">
        <f>N90+S90</f>
        <v>503</v>
      </c>
      <c r="V90" s="894"/>
      <c r="W90" s="894">
        <f>N90-S90</f>
        <v>497</v>
      </c>
      <c r="X90" s="894">
        <f>R90</f>
        <v>503.45182379933919</v>
      </c>
      <c r="Y90" s="882">
        <f>P90</f>
        <v>0.93572359999999999</v>
      </c>
      <c r="Z90" s="871">
        <f t="shared" ref="Z90:Z91" si="83">Y90/AA90</f>
        <v>0.46583076164789539</v>
      </c>
      <c r="AA90" s="879">
        <f>'Certificado de calibración'!Y93</f>
        <v>2.0087200696876253</v>
      </c>
      <c r="AB90" s="879">
        <f t="shared" ref="AB90:AB91" si="84">_xlfn.NORM.DIST(U90,X90,Z90,1)</f>
        <v>0.16604038830969067</v>
      </c>
      <c r="AC90" s="879">
        <f t="shared" ref="AC90:AC91" si="85">_xlfn.NORM.DIST(W90,X90,Z90,1)</f>
        <v>6.3477389512045544E-44</v>
      </c>
      <c r="AD90" s="879">
        <f t="shared" ref="AD90:AD91" si="86">AB90-AC90</f>
        <v>0.16604038830969067</v>
      </c>
      <c r="AE90" s="883">
        <f t="shared" ref="AE90:AE91" si="87">AD90</f>
        <v>0.16604038830969067</v>
      </c>
      <c r="AF90" s="879">
        <f t="shared" ref="AF90:AF91" si="88">1-AD90</f>
        <v>0.8339596116903093</v>
      </c>
      <c r="AG90" s="884">
        <f t="shared" ref="AG90:AG91" si="89">AF90</f>
        <v>0.8339596116903093</v>
      </c>
      <c r="AI90" s="874">
        <f t="shared" ref="AI90:AI91" si="90">(U90-X90)/Z90</f>
        <v>-0.96993122081686867</v>
      </c>
      <c r="AJ90" s="879">
        <f t="shared" ref="AJ90:AJ91" si="91">_xlfn.NORM.S.DIST(AI90,1)</f>
        <v>0.16604038830969067</v>
      </c>
      <c r="AK90" s="874">
        <f t="shared" ref="AK90:AK91" si="92">(W90-X90)/Z90</f>
        <v>-13.850145440192923</v>
      </c>
      <c r="AL90" s="876">
        <f t="shared" ref="AL90:AL91" si="93">_xlfn.NORM.S.DIST(AK90,1)</f>
        <v>6.3477389512045544E-44</v>
      </c>
      <c r="AM90" s="882">
        <f t="shared" ref="AM90:AM91" si="94">AJ90-AL90</f>
        <v>0.16604038830969067</v>
      </c>
      <c r="AN90" s="896">
        <f t="shared" ref="AN90:AN91" si="95">AM90</f>
        <v>0.16604038830969067</v>
      </c>
      <c r="AO90" s="879">
        <f t="shared" ref="AO90:AO91" si="96">1-AM90</f>
        <v>0.8339596116903093</v>
      </c>
      <c r="AP90" s="897">
        <f t="shared" ref="AP90:AP91" si="97">AO90</f>
        <v>0.8339596116903093</v>
      </c>
      <c r="AR90" s="874">
        <f t="shared" ref="AR90:AR91" si="98">(U90-X90)/Z90</f>
        <v>-0.96993122081686867</v>
      </c>
      <c r="AS90" s="879">
        <f t="shared" ref="AS90:AS91" si="99">NORMSDIST(AR90)</f>
        <v>0.16604038830969067</v>
      </c>
      <c r="AT90" s="874">
        <f t="shared" ref="AT90:AT91" si="100">(W90-X90)/Z90</f>
        <v>-13.850145440192923</v>
      </c>
      <c r="AU90" s="876">
        <f t="shared" ref="AU90:AU91" si="101">NORMSDIST(AT90)</f>
        <v>6.3477389512045544E-44</v>
      </c>
      <c r="AV90" s="882">
        <f t="shared" ref="AV90:AV91" si="102">AS90-AU90</f>
        <v>0.16604038830969067</v>
      </c>
      <c r="AW90" s="896">
        <f t="shared" ref="AW90:AW91" si="103">AV90</f>
        <v>0.16604038830969067</v>
      </c>
      <c r="AX90" s="874">
        <f t="shared" ref="AX90:AX91" si="104">1-AV90</f>
        <v>0.8339596116903093</v>
      </c>
      <c r="AY90" s="957">
        <f t="shared" ref="AY90:AY91" si="105">AX90</f>
        <v>0.8339596116903093</v>
      </c>
    </row>
    <row r="91" spans="13:51" x14ac:dyDescent="0.25">
      <c r="M91" s="1554"/>
      <c r="N91" s="913">
        <f>'DATOS GENERALES'!F100</f>
        <v>1000</v>
      </c>
      <c r="O91" s="874">
        <f>'DATOS GENERALES'!S114</f>
        <v>4.4438303975805411</v>
      </c>
      <c r="P91" s="882">
        <f>'DATOS GENERALES'!V112</f>
        <v>1.6131149</v>
      </c>
      <c r="Q91" s="871">
        <f>'DATOS GENERALES'!Q23</f>
        <v>3</v>
      </c>
      <c r="R91" s="914">
        <f t="shared" si="82"/>
        <v>1004.4438303975805</v>
      </c>
      <c r="S91" s="871">
        <f>Q91</f>
        <v>3</v>
      </c>
      <c r="T91" s="871"/>
      <c r="U91" s="894">
        <f>N91+S91</f>
        <v>1003</v>
      </c>
      <c r="V91" s="894"/>
      <c r="W91" s="894">
        <f>N91-S91</f>
        <v>997</v>
      </c>
      <c r="X91" s="894">
        <f>R91</f>
        <v>1004.4438303975805</v>
      </c>
      <c r="Y91" s="882">
        <f>P91</f>
        <v>1.6131149</v>
      </c>
      <c r="Z91" s="871">
        <f t="shared" si="83"/>
        <v>0.80095620664309664</v>
      </c>
      <c r="AA91" s="879">
        <f>'Certificado de calibración'!Y94</f>
        <v>2.013986391042224</v>
      </c>
      <c r="AB91" s="879">
        <f t="shared" si="84"/>
        <v>3.5722905202286617E-2</v>
      </c>
      <c r="AC91" s="879">
        <f t="shared" si="85"/>
        <v>7.452226088320583E-21</v>
      </c>
      <c r="AD91" s="879">
        <f t="shared" si="86"/>
        <v>3.5722905202286617E-2</v>
      </c>
      <c r="AE91" s="883">
        <f t="shared" si="87"/>
        <v>3.5722905202286617E-2</v>
      </c>
      <c r="AF91" s="879">
        <f t="shared" si="88"/>
        <v>0.9642770947977134</v>
      </c>
      <c r="AG91" s="884">
        <f t="shared" si="89"/>
        <v>0.9642770947977134</v>
      </c>
      <c r="AI91" s="874">
        <f t="shared" si="90"/>
        <v>-1.802633384454073</v>
      </c>
      <c r="AJ91" s="879">
        <f t="shared" si="91"/>
        <v>3.5722905202286617E-2</v>
      </c>
      <c r="AK91" s="874">
        <f t="shared" si="92"/>
        <v>-9.2936796492014526</v>
      </c>
      <c r="AL91" s="876">
        <f t="shared" si="93"/>
        <v>7.452226088320583E-21</v>
      </c>
      <c r="AM91" s="882">
        <f t="shared" si="94"/>
        <v>3.5722905202286617E-2</v>
      </c>
      <c r="AN91" s="896">
        <f t="shared" si="95"/>
        <v>3.5722905202286617E-2</v>
      </c>
      <c r="AO91" s="879">
        <f t="shared" si="96"/>
        <v>0.9642770947977134</v>
      </c>
      <c r="AP91" s="897">
        <f t="shared" si="97"/>
        <v>0.9642770947977134</v>
      </c>
      <c r="AR91" s="874">
        <f t="shared" si="98"/>
        <v>-1.802633384454073</v>
      </c>
      <c r="AS91" s="879">
        <f t="shared" si="99"/>
        <v>3.5722905202286617E-2</v>
      </c>
      <c r="AT91" s="874">
        <f t="shared" si="100"/>
        <v>-9.2936796492014526</v>
      </c>
      <c r="AU91" s="876">
        <f t="shared" si="101"/>
        <v>7.452226088320583E-21</v>
      </c>
      <c r="AV91" s="882">
        <f t="shared" si="102"/>
        <v>3.5722905202286617E-2</v>
      </c>
      <c r="AW91" s="896">
        <f t="shared" si="103"/>
        <v>3.5722905202286617E-2</v>
      </c>
      <c r="AX91" s="874">
        <f t="shared" si="104"/>
        <v>0.9642770947977134</v>
      </c>
      <c r="AY91" s="957">
        <f t="shared" si="105"/>
        <v>0.9642770947977134</v>
      </c>
    </row>
    <row r="92" spans="13:51" x14ac:dyDescent="0.25">
      <c r="M92" s="1554"/>
      <c r="AP92" s="915"/>
    </row>
    <row r="93" spans="13:51" x14ac:dyDescent="0.25">
      <c r="M93" s="1554"/>
      <c r="AP93" s="915"/>
    </row>
    <row r="94" spans="13:51" x14ac:dyDescent="0.25">
      <c r="M94" s="1554"/>
      <c r="N94" s="901"/>
      <c r="O94" s="902" t="str">
        <f>O86</f>
        <v>Micropipeta</v>
      </c>
      <c r="P94" s="902" t="str">
        <f t="shared" ref="P94:Q94" si="106">P86</f>
        <v>100 a 1000 µL</v>
      </c>
      <c r="Q94" s="902" t="str">
        <f t="shared" si="106"/>
        <v>TVO005-26A</v>
      </c>
      <c r="R94" s="864" t="s">
        <v>667</v>
      </c>
      <c r="U94" s="916" t="s">
        <v>668</v>
      </c>
      <c r="V94" s="916"/>
      <c r="W94" s="916"/>
      <c r="X94" s="916"/>
      <c r="Y94" s="916"/>
      <c r="Z94" s="916"/>
      <c r="AP94" s="915"/>
    </row>
    <row r="95" spans="13:51" x14ac:dyDescent="0.25">
      <c r="M95" s="1554"/>
      <c r="N95" s="911" t="s">
        <v>660</v>
      </c>
      <c r="O95" s="912" t="s">
        <v>304</v>
      </c>
      <c r="P95" s="912" t="s">
        <v>652</v>
      </c>
      <c r="Q95" s="912" t="s">
        <v>647</v>
      </c>
      <c r="AM95" s="1542" t="s">
        <v>645</v>
      </c>
      <c r="AN95" s="1542"/>
      <c r="AO95" s="1543" t="s">
        <v>645</v>
      </c>
      <c r="AP95" s="1543"/>
      <c r="AR95" s="870"/>
      <c r="AS95" s="870"/>
      <c r="AT95" s="870"/>
      <c r="AU95" s="870"/>
      <c r="AV95" s="1542" t="s">
        <v>645</v>
      </c>
      <c r="AW95" s="1542"/>
      <c r="AX95" s="1543" t="s">
        <v>645</v>
      </c>
      <c r="AY95" s="1543"/>
    </row>
    <row r="96" spans="13:51" x14ac:dyDescent="0.25">
      <c r="M96" s="1554"/>
      <c r="N96" s="877" t="str">
        <f>N88</f>
        <v>µL</v>
      </c>
      <c r="O96" s="871" t="str">
        <f>O88</f>
        <v>µL</v>
      </c>
      <c r="P96" s="871" t="str">
        <f t="shared" ref="P96:Q96" si="107">P88</f>
        <v>µL</v>
      </c>
      <c r="Q96" s="871" t="str">
        <f t="shared" si="107"/>
        <v>µL</v>
      </c>
      <c r="R96" s="890" t="s">
        <v>666</v>
      </c>
      <c r="S96" s="873" t="s">
        <v>647</v>
      </c>
      <c r="T96" s="871" t="str">
        <f>U96</f>
        <v>Tu</v>
      </c>
      <c r="U96" s="871" t="s">
        <v>648</v>
      </c>
      <c r="V96" s="871" t="str">
        <f>W96</f>
        <v>TL</v>
      </c>
      <c r="W96" s="871" t="s">
        <v>649</v>
      </c>
      <c r="X96" s="871" t="s">
        <v>650</v>
      </c>
      <c r="Y96" s="873" t="s">
        <v>652</v>
      </c>
      <c r="Z96" s="871" t="s">
        <v>662</v>
      </c>
      <c r="AA96" s="871" t="s">
        <v>653</v>
      </c>
      <c r="AB96" s="879" t="s">
        <v>654</v>
      </c>
      <c r="AC96" s="879" t="s">
        <v>655</v>
      </c>
      <c r="AD96" s="1542" t="s">
        <v>645</v>
      </c>
      <c r="AE96" s="1542"/>
      <c r="AF96" s="1544" t="s">
        <v>645</v>
      </c>
      <c r="AG96" s="1544"/>
      <c r="AI96" s="871" t="s">
        <v>656</v>
      </c>
      <c r="AJ96" s="874" t="str">
        <f>CONCATENATE("ɸ(",ROUND(AI97,2)," ) ")</f>
        <v xml:space="preserve">ɸ(-2,31 ) </v>
      </c>
      <c r="AK96" s="871" t="s">
        <v>657</v>
      </c>
      <c r="AL96" s="875" t="str">
        <f>CONCATENATE("ɸ(",ROUND(AK97,2)," ) ")</f>
        <v xml:space="preserve">ɸ(-16,91 ) </v>
      </c>
      <c r="AM96" s="891" t="str">
        <f>CONCATENATE("ɸ(",ROUND(AI97,2)," ) - ","ɸ(",ROUND(AK97,2)," ) ")</f>
        <v xml:space="preserve">ɸ(-2,31 ) - ɸ(-16,91 ) </v>
      </c>
      <c r="AN96" s="892"/>
      <c r="AO96" s="871"/>
      <c r="AP96" s="878"/>
      <c r="AR96" s="871" t="s">
        <v>656</v>
      </c>
      <c r="AS96" s="874" t="str">
        <f>CONCATENATE("ɸ(",ROUND(AR97,2)," ) ")</f>
        <v xml:space="preserve">ɸ(-2,31 ) </v>
      </c>
      <c r="AT96" s="871" t="s">
        <v>657</v>
      </c>
      <c r="AU96" s="875" t="str">
        <f>CONCATENATE("ɸ(",ROUND(AT97,2)," ) ")</f>
        <v xml:space="preserve">ɸ(-16,91 ) </v>
      </c>
      <c r="AV96" s="958" t="str">
        <f>CONCATENATE("ɸ(",ROUND(AR97,2)," ) - ","ɸ(",ROUND(AT97,2)," ) ")</f>
        <v xml:space="preserve">ɸ(-2,31 ) - ɸ(-16,91 ) </v>
      </c>
      <c r="AW96" s="892"/>
      <c r="AX96" s="871"/>
      <c r="AY96" s="878"/>
    </row>
    <row r="97" spans="13:51" x14ac:dyDescent="0.25">
      <c r="M97" s="1554"/>
      <c r="N97" s="913">
        <f>N89</f>
        <v>100</v>
      </c>
      <c r="O97" s="921">
        <f t="shared" ref="O97:Q97" si="108">O89</f>
        <v>3.0935875463061109</v>
      </c>
      <c r="P97" s="921">
        <f t="shared" si="108"/>
        <v>0.64980120000000008</v>
      </c>
      <c r="Q97" s="945">
        <f t="shared" si="108"/>
        <v>3</v>
      </c>
      <c r="R97" s="914">
        <f>N97+O97</f>
        <v>103.09358754630611</v>
      </c>
      <c r="S97" s="871">
        <f>Q97</f>
        <v>3</v>
      </c>
      <c r="T97" s="871"/>
      <c r="U97" s="894">
        <f>N97+S97-P97</f>
        <v>102.3501988</v>
      </c>
      <c r="V97" s="894"/>
      <c r="W97" s="894">
        <f>N97-S97+P97</f>
        <v>97.649801199999999</v>
      </c>
      <c r="X97" s="894">
        <f>R97</f>
        <v>103.09358754630611</v>
      </c>
      <c r="Y97" s="882">
        <f>P97</f>
        <v>0.64980120000000008</v>
      </c>
      <c r="Z97" s="871">
        <f>Y97/AA97</f>
        <v>0.3219578490449404</v>
      </c>
      <c r="AA97" s="879">
        <f>'Certificado de calibración'!Y92</f>
        <v>2.0182803492058916</v>
      </c>
      <c r="AB97" s="879">
        <f>_xlfn.NORM.DIST(U97,X97,Z97,1)</f>
        <v>1.0472818518091754E-2</v>
      </c>
      <c r="AC97" s="879">
        <f>_xlfn.NORM.DIST(W97,X97,Z97,1)</f>
        <v>1.9513799994686141E-64</v>
      </c>
      <c r="AD97" s="879">
        <f>AB97-AC97</f>
        <v>1.0472818518091754E-2</v>
      </c>
      <c r="AE97" s="883">
        <f>AD97</f>
        <v>1.0472818518091754E-2</v>
      </c>
      <c r="AF97" s="879">
        <f>1-AD97</f>
        <v>0.98952718148190821</v>
      </c>
      <c r="AG97" s="943">
        <f>AF97</f>
        <v>0.98952718148190821</v>
      </c>
      <c r="AI97" s="874">
        <f>(U97-X97)/Z97</f>
        <v>-2.3089629543473067</v>
      </c>
      <c r="AJ97" s="879">
        <f>_xlfn.NORM.S.DIST(AI97,1)</f>
        <v>1.0472818518091754E-2</v>
      </c>
      <c r="AK97" s="874">
        <f>(W97-X97)/Z97</f>
        <v>-16.908382145223744</v>
      </c>
      <c r="AL97" s="876">
        <f>_xlfn.NORM.S.DIST(AK97,1)</f>
        <v>1.9513799994686141E-64</v>
      </c>
      <c r="AM97" s="882">
        <f>AJ97-AL97</f>
        <v>1.0472818518091754E-2</v>
      </c>
      <c r="AN97" s="896">
        <f>AM97</f>
        <v>1.0472818518091754E-2</v>
      </c>
      <c r="AO97" s="879">
        <f>1-AM97</f>
        <v>0.98952718148190821</v>
      </c>
      <c r="AP97" s="897">
        <f>AO97</f>
        <v>0.98952718148190821</v>
      </c>
      <c r="AR97" s="874">
        <f>(U97-X97)/Z97</f>
        <v>-2.3089629543473067</v>
      </c>
      <c r="AS97" s="879">
        <f>NORMSDIST(AR97)</f>
        <v>1.0472818518091754E-2</v>
      </c>
      <c r="AT97" s="874">
        <f>(W97-X97)/Z97</f>
        <v>-16.908382145223744</v>
      </c>
      <c r="AU97" s="876">
        <f>NORMSDIST(AT97)</f>
        <v>1.9513799994686141E-64</v>
      </c>
      <c r="AV97" s="882">
        <f>AS97-AU97</f>
        <v>1.0472818518091754E-2</v>
      </c>
      <c r="AW97" s="896">
        <f>AV97</f>
        <v>1.0472818518091754E-2</v>
      </c>
      <c r="AX97" s="874">
        <f>1-AV97</f>
        <v>0.98952718148190821</v>
      </c>
      <c r="AY97" s="957">
        <f>AX97</f>
        <v>0.98952718148190821</v>
      </c>
    </row>
    <row r="98" spans="13:51" x14ac:dyDescent="0.25">
      <c r="M98" s="1554"/>
      <c r="N98" s="913">
        <f t="shared" ref="N98:Q98" si="109">N90</f>
        <v>500</v>
      </c>
      <c r="O98" s="921">
        <f t="shared" si="109"/>
        <v>3.4518237993391949</v>
      </c>
      <c r="P98" s="921">
        <f t="shared" si="109"/>
        <v>0.93572359999999999</v>
      </c>
      <c r="Q98" s="945">
        <f t="shared" si="109"/>
        <v>3</v>
      </c>
      <c r="R98" s="914">
        <f t="shared" ref="R98:R99" si="110">N98+O98</f>
        <v>503.45182379933919</v>
      </c>
      <c r="S98" s="871">
        <f>Q98</f>
        <v>3</v>
      </c>
      <c r="T98" s="871"/>
      <c r="U98" s="894">
        <f>N98+S98-P98</f>
        <v>502.06427639999998</v>
      </c>
      <c r="V98" s="894"/>
      <c r="W98" s="894">
        <f>N98-S98+P98</f>
        <v>497.93572360000002</v>
      </c>
      <c r="X98" s="894">
        <f>R98</f>
        <v>503.45182379933919</v>
      </c>
      <c r="Y98" s="882">
        <f>P98</f>
        <v>0.93572359999999999</v>
      </c>
      <c r="Z98" s="871">
        <f t="shared" ref="Z98:Z99" si="111">Y98/AA98</f>
        <v>0.46583076164789539</v>
      </c>
      <c r="AA98" s="879">
        <f>'Certificado de calibración'!Y93</f>
        <v>2.0087200696876253</v>
      </c>
      <c r="AB98" s="879">
        <f t="shared" ref="AB98:AB99" si="112">_xlfn.NORM.DIST(U98,X98,Z98,1)</f>
        <v>1.4476003054187828E-3</v>
      </c>
      <c r="AC98" s="879">
        <f t="shared" ref="AC98:AC99" si="113">_xlfn.NORM.DIST(W98,X98,Z98,1)</f>
        <v>1.1918351256548219E-32</v>
      </c>
      <c r="AD98" s="879">
        <f t="shared" ref="AD98:AD99" si="114">AB98-AC98</f>
        <v>1.4476003054187828E-3</v>
      </c>
      <c r="AE98" s="883">
        <f t="shared" ref="AE98:AE99" si="115">AD98</f>
        <v>1.4476003054187828E-3</v>
      </c>
      <c r="AF98" s="879">
        <f t="shared" ref="AF98:AF99" si="116">1-AD98</f>
        <v>0.99855239969458121</v>
      </c>
      <c r="AG98" s="943">
        <f t="shared" ref="AG98:AG99" si="117">AF98</f>
        <v>0.99855239969458121</v>
      </c>
      <c r="AI98" s="874">
        <f t="shared" ref="AI98:AI99" si="118">(U98-X98)/Z98</f>
        <v>-2.9786512905045308</v>
      </c>
      <c r="AJ98" s="879">
        <f t="shared" ref="AJ98:AJ99" si="119">_xlfn.NORM.S.DIST(AI98,1)</f>
        <v>1.4476003054187828E-3</v>
      </c>
      <c r="AK98" s="874">
        <f t="shared" ref="AK98:AK99" si="120">(W98-X98)/Z98</f>
        <v>-11.841425370505261</v>
      </c>
      <c r="AL98" s="876">
        <f t="shared" ref="AL98:AL99" si="121">_xlfn.NORM.S.DIST(AK98,1)</f>
        <v>1.1918351256548219E-32</v>
      </c>
      <c r="AM98" s="882">
        <f t="shared" ref="AM98:AM99" si="122">AJ98-AL98</f>
        <v>1.4476003054187828E-3</v>
      </c>
      <c r="AN98" s="896">
        <f t="shared" ref="AN98:AN99" si="123">AM98</f>
        <v>1.4476003054187828E-3</v>
      </c>
      <c r="AO98" s="879">
        <f t="shared" ref="AO98:AO99" si="124">1-AM98</f>
        <v>0.99855239969458121</v>
      </c>
      <c r="AP98" s="897">
        <f t="shared" ref="AP98:AP99" si="125">AO98</f>
        <v>0.99855239969458121</v>
      </c>
      <c r="AR98" s="874">
        <f t="shared" ref="AR98:AR99" si="126">(U98-X98)/Z98</f>
        <v>-2.9786512905045308</v>
      </c>
      <c r="AS98" s="879">
        <f t="shared" ref="AS98:AS99" si="127">NORMSDIST(AR98)</f>
        <v>1.4476003054187828E-3</v>
      </c>
      <c r="AT98" s="874">
        <f t="shared" ref="AT98:AT99" si="128">(W98-X98)/Z98</f>
        <v>-11.841425370505261</v>
      </c>
      <c r="AU98" s="876">
        <f t="shared" ref="AU98:AU99" si="129">NORMSDIST(AT98)</f>
        <v>1.1918351256548219E-32</v>
      </c>
      <c r="AV98" s="882">
        <f t="shared" ref="AV98:AV99" si="130">AS98-AU98</f>
        <v>1.4476003054187828E-3</v>
      </c>
      <c r="AW98" s="896">
        <f t="shared" ref="AW98:AW99" si="131">AV98</f>
        <v>1.4476003054187828E-3</v>
      </c>
      <c r="AX98" s="874">
        <f t="shared" ref="AX98:AX99" si="132">1-AV98</f>
        <v>0.99855239969458121</v>
      </c>
      <c r="AY98" s="957">
        <f t="shared" ref="AY98:AY99" si="133">AX98</f>
        <v>0.99855239969458121</v>
      </c>
    </row>
    <row r="99" spans="13:51" x14ac:dyDescent="0.25">
      <c r="M99" s="1555"/>
      <c r="N99" s="913">
        <f t="shared" ref="N99:Q99" si="134">N91</f>
        <v>1000</v>
      </c>
      <c r="O99" s="921">
        <f t="shared" si="134"/>
        <v>4.4438303975805411</v>
      </c>
      <c r="P99" s="921">
        <f t="shared" si="134"/>
        <v>1.6131149</v>
      </c>
      <c r="Q99" s="945">
        <f t="shared" si="134"/>
        <v>3</v>
      </c>
      <c r="R99" s="914">
        <f t="shared" si="110"/>
        <v>1004.4438303975805</v>
      </c>
      <c r="S99" s="871">
        <f>Q99</f>
        <v>3</v>
      </c>
      <c r="T99" s="871"/>
      <c r="U99" s="894">
        <f>N99+S99-P99</f>
        <v>1001.3868851</v>
      </c>
      <c r="V99" s="894"/>
      <c r="W99" s="894">
        <f>N99-S99+P99</f>
        <v>998.61311490000003</v>
      </c>
      <c r="X99" s="894">
        <f>R99</f>
        <v>1004.4438303975805</v>
      </c>
      <c r="Y99" s="882">
        <f>P99</f>
        <v>1.6131149</v>
      </c>
      <c r="Z99" s="871">
        <f t="shared" si="111"/>
        <v>0.80095620664309664</v>
      </c>
      <c r="AA99" s="879">
        <f>'Certificado de calibración'!Y94</f>
        <v>2.013986391042224</v>
      </c>
      <c r="AB99" s="879">
        <f t="shared" si="112"/>
        <v>6.764620671272686E-5</v>
      </c>
      <c r="AC99" s="879">
        <f t="shared" si="113"/>
        <v>1.6729002531090904E-13</v>
      </c>
      <c r="AD99" s="879">
        <f t="shared" si="114"/>
        <v>6.7646206545436837E-5</v>
      </c>
      <c r="AE99" s="883">
        <f t="shared" si="115"/>
        <v>6.7646206545436837E-5</v>
      </c>
      <c r="AF99" s="879">
        <f t="shared" si="116"/>
        <v>0.99993235379345458</v>
      </c>
      <c r="AG99" s="943">
        <f t="shared" si="117"/>
        <v>0.99993235379345458</v>
      </c>
      <c r="AH99" s="918"/>
      <c r="AI99" s="874">
        <f t="shared" si="118"/>
        <v>-3.8166197754963318</v>
      </c>
      <c r="AJ99" s="879">
        <f t="shared" si="119"/>
        <v>6.764620671272686E-5</v>
      </c>
      <c r="AK99" s="874">
        <f t="shared" si="120"/>
        <v>-7.2796932581591944</v>
      </c>
      <c r="AL99" s="876">
        <f t="shared" si="121"/>
        <v>1.6729002531090904E-13</v>
      </c>
      <c r="AM99" s="882">
        <f t="shared" si="122"/>
        <v>6.7646206545436837E-5</v>
      </c>
      <c r="AN99" s="896">
        <f t="shared" si="123"/>
        <v>6.7646206545436837E-5</v>
      </c>
      <c r="AO99" s="879">
        <f t="shared" si="124"/>
        <v>0.99993235379345458</v>
      </c>
      <c r="AP99" s="897">
        <f t="shared" si="125"/>
        <v>0.99993235379345458</v>
      </c>
      <c r="AR99" s="874">
        <f t="shared" si="126"/>
        <v>-3.8166197754963318</v>
      </c>
      <c r="AS99" s="879">
        <f t="shared" si="127"/>
        <v>6.764620671272686E-5</v>
      </c>
      <c r="AT99" s="874">
        <f t="shared" si="128"/>
        <v>-7.2796932581591944</v>
      </c>
      <c r="AU99" s="876">
        <f t="shared" si="129"/>
        <v>1.6729002531090904E-13</v>
      </c>
      <c r="AV99" s="882">
        <f t="shared" si="130"/>
        <v>6.7646206545436837E-5</v>
      </c>
      <c r="AW99" s="896">
        <f t="shared" si="131"/>
        <v>6.7646206545436837E-5</v>
      </c>
      <c r="AX99" s="874">
        <f t="shared" si="132"/>
        <v>0.99993235379345458</v>
      </c>
      <c r="AY99" s="964">
        <f t="shared" si="133"/>
        <v>0.99993235379345458</v>
      </c>
    </row>
    <row r="102" spans="13:51" hidden="1" x14ac:dyDescent="0.25">
      <c r="M102" s="1550">
        <v>3</v>
      </c>
      <c r="N102" s="901"/>
      <c r="O102" s="902" t="s">
        <v>561</v>
      </c>
      <c r="P102" s="903" t="s">
        <v>663</v>
      </c>
      <c r="Q102" s="904" t="s">
        <v>672</v>
      </c>
      <c r="R102" s="905" t="s">
        <v>664</v>
      </c>
      <c r="S102" s="905"/>
      <c r="T102" s="905"/>
      <c r="U102" s="905"/>
      <c r="V102" s="905"/>
      <c r="W102" s="905"/>
      <c r="X102" s="905"/>
      <c r="Y102" s="905"/>
      <c r="Z102" s="905"/>
      <c r="AA102" s="905"/>
      <c r="AB102" s="906"/>
      <c r="AC102" s="906"/>
      <c r="AD102" s="907"/>
      <c r="AE102" s="907"/>
      <c r="AF102" s="908"/>
      <c r="AG102" s="908"/>
      <c r="AH102" s="905"/>
      <c r="AI102" s="909"/>
      <c r="AJ102" s="909"/>
      <c r="AK102" s="909"/>
      <c r="AL102" s="909"/>
      <c r="AM102" s="909"/>
      <c r="AN102" s="909"/>
      <c r="AO102" s="905"/>
      <c r="AP102" s="910"/>
    </row>
    <row r="103" spans="13:51" hidden="1" x14ac:dyDescent="0.25">
      <c r="M103" s="1551"/>
      <c r="N103" s="911" t="s">
        <v>660</v>
      </c>
      <c r="O103" s="912" t="s">
        <v>304</v>
      </c>
      <c r="P103" s="912" t="s">
        <v>652</v>
      </c>
      <c r="Q103" s="912" t="s">
        <v>647</v>
      </c>
      <c r="AB103" s="898"/>
      <c r="AC103" s="898"/>
      <c r="AD103" s="899"/>
      <c r="AE103" s="899"/>
      <c r="AF103" s="900"/>
      <c r="AG103" s="900"/>
      <c r="AM103" s="1542" t="s">
        <v>645</v>
      </c>
      <c r="AN103" s="1542"/>
      <c r="AO103" s="1543" t="s">
        <v>645</v>
      </c>
      <c r="AP103" s="1543"/>
    </row>
    <row r="104" spans="13:51" hidden="1" x14ac:dyDescent="0.25">
      <c r="M104" s="1551"/>
      <c r="N104" s="877" t="s">
        <v>665</v>
      </c>
      <c r="O104" s="871" t="s">
        <v>665</v>
      </c>
      <c r="P104" s="871" t="s">
        <v>665</v>
      </c>
      <c r="Q104" s="871" t="s">
        <v>665</v>
      </c>
      <c r="R104" s="890" t="s">
        <v>666</v>
      </c>
      <c r="S104" s="873" t="s">
        <v>647</v>
      </c>
      <c r="T104" s="873"/>
      <c r="U104" s="871" t="s">
        <v>648</v>
      </c>
      <c r="V104" s="871"/>
      <c r="W104" s="871" t="s">
        <v>649</v>
      </c>
      <c r="X104" s="871" t="s">
        <v>650</v>
      </c>
      <c r="Y104" s="873" t="s">
        <v>652</v>
      </c>
      <c r="Z104" s="871" t="s">
        <v>662</v>
      </c>
      <c r="AA104" s="871" t="s">
        <v>653</v>
      </c>
      <c r="AB104" s="879" t="s">
        <v>654</v>
      </c>
      <c r="AC104" s="879" t="s">
        <v>655</v>
      </c>
      <c r="AD104" s="1545" t="s">
        <v>645</v>
      </c>
      <c r="AE104" s="1545"/>
      <c r="AF104" s="1546" t="s">
        <v>645</v>
      </c>
      <c r="AG104" s="1546"/>
      <c r="AI104" s="871" t="s">
        <v>656</v>
      </c>
      <c r="AJ104" s="874" t="str">
        <f>CONCATENATE("ɸ(",ROUND(AI105,2)," ) ")</f>
        <v xml:space="preserve">ɸ(1,24 ) </v>
      </c>
      <c r="AK104" s="871" t="s">
        <v>657</v>
      </c>
      <c r="AL104" s="875" t="str">
        <f>CONCATENATE("ɸ(",ROUND(AK105,2)," ) ")</f>
        <v xml:space="preserve">ɸ(-2,57 ) </v>
      </c>
      <c r="AM104" s="891" t="str">
        <f>CONCATENATE("ɸ(",ROUND(AI105,2)," ) - ","ɸ(",ROUND(AK105,2)," ) ")</f>
        <v xml:space="preserve">ɸ(1,24 ) - ɸ(-2,57 ) </v>
      </c>
      <c r="AN104" s="892"/>
      <c r="AO104" s="871"/>
      <c r="AP104" s="878"/>
    </row>
    <row r="105" spans="13:51" hidden="1" x14ac:dyDescent="0.25">
      <c r="M105" s="1551"/>
      <c r="N105" s="913">
        <v>10</v>
      </c>
      <c r="O105" s="874">
        <v>0.28000000000000003</v>
      </c>
      <c r="P105" s="882">
        <v>0.42</v>
      </c>
      <c r="Q105" s="871">
        <v>0.8</v>
      </c>
      <c r="R105" s="914">
        <f>N105+O105</f>
        <v>10.28</v>
      </c>
      <c r="S105" s="871">
        <f>Q105</f>
        <v>0.8</v>
      </c>
      <c r="T105" s="871"/>
      <c r="U105" s="894">
        <f>N105+S105</f>
        <v>10.8</v>
      </c>
      <c r="V105" s="894"/>
      <c r="W105" s="894">
        <f>N105-S105</f>
        <v>9.1999999999999993</v>
      </c>
      <c r="X105" s="894">
        <f>R105</f>
        <v>10.28</v>
      </c>
      <c r="Y105" s="882">
        <f>P105</f>
        <v>0.42</v>
      </c>
      <c r="Z105" s="871">
        <f>Y105/AA105</f>
        <v>0.20895522388059704</v>
      </c>
      <c r="AA105" s="871">
        <v>2.0099999999999998</v>
      </c>
      <c r="AB105" s="879">
        <f>_xlfn.NORM.DIST(U105,X105,Z105,1)</f>
        <v>0.99358712648119785</v>
      </c>
      <c r="AC105" s="879">
        <f>_xlfn.NORM.DIST(W105,X105,Z105,1)</f>
        <v>1.1794506649311355E-7</v>
      </c>
      <c r="AD105" s="879">
        <f>AB105-AC105</f>
        <v>0.99358700853613136</v>
      </c>
      <c r="AE105" s="883">
        <f>AD105</f>
        <v>0.99358700853613136</v>
      </c>
      <c r="AF105" s="879">
        <f>1-AD105</f>
        <v>6.4129914638686447E-3</v>
      </c>
      <c r="AG105" s="922">
        <f>AF105</f>
        <v>6.4129914638686447E-3</v>
      </c>
      <c r="AI105" s="874">
        <f>(U105-X105)/Y105</f>
        <v>1.2380952380952412</v>
      </c>
      <c r="AJ105" s="879">
        <f>_xlfn.NORM.S.DIST(AI105,1)</f>
        <v>0.89215962531949322</v>
      </c>
      <c r="AK105" s="874">
        <f>(W105-X105)/Y105</f>
        <v>-2.5714285714285716</v>
      </c>
      <c r="AL105" s="876">
        <f>_xlfn.NORM.S.DIST(AK105,1)</f>
        <v>5.0639952746953255E-3</v>
      </c>
      <c r="AM105" s="882">
        <f>AJ105-AL105</f>
        <v>0.88709563004479786</v>
      </c>
      <c r="AN105" s="896">
        <f>AM105</f>
        <v>0.88709563004479786</v>
      </c>
      <c r="AO105" s="879">
        <f>1-AM105</f>
        <v>0.11290436995520214</v>
      </c>
      <c r="AP105" s="897">
        <f>AO105</f>
        <v>0.11290436995520214</v>
      </c>
    </row>
    <row r="106" spans="13:51" hidden="1" x14ac:dyDescent="0.25">
      <c r="M106" s="1551"/>
      <c r="N106" s="913">
        <v>50</v>
      </c>
      <c r="O106" s="874">
        <v>0.2</v>
      </c>
      <c r="P106" s="882">
        <v>0.42</v>
      </c>
      <c r="Q106" s="871">
        <v>0.8</v>
      </c>
      <c r="R106" s="914">
        <f t="shared" ref="R106:R107" si="135">N106+O106</f>
        <v>50.2</v>
      </c>
      <c r="S106" s="871">
        <f>Q106</f>
        <v>0.8</v>
      </c>
      <c r="T106" s="871"/>
      <c r="U106" s="894">
        <f>N106+S106</f>
        <v>50.8</v>
      </c>
      <c r="V106" s="894"/>
      <c r="W106" s="894">
        <f>N106-S106</f>
        <v>49.2</v>
      </c>
      <c r="X106" s="894">
        <f>R106</f>
        <v>50.2</v>
      </c>
      <c r="Y106" s="882">
        <f>P106</f>
        <v>0.42</v>
      </c>
      <c r="Z106" s="871">
        <f t="shared" ref="Z106:Z107" si="136">Y106/AA106</f>
        <v>0.20895522388059704</v>
      </c>
      <c r="AA106" s="871">
        <v>2.0099999999999998</v>
      </c>
      <c r="AB106" s="879">
        <f t="shared" ref="AB106:AB107" si="137">_xlfn.NORM.DIST(U106,X106,Z106,1)</f>
        <v>0.99795689441430224</v>
      </c>
      <c r="AC106" s="879">
        <f t="shared" ref="AC106:AC107" si="138">_xlfn.NORM.DIST(W106,X106,Z106,1)</f>
        <v>8.5190145946131897E-7</v>
      </c>
      <c r="AD106" s="879">
        <f t="shared" ref="AD106:AD107" si="139">AB106-AC106</f>
        <v>0.99795604251284276</v>
      </c>
      <c r="AE106" s="883">
        <f t="shared" ref="AE106:AE107" si="140">AD106</f>
        <v>0.99795604251284276</v>
      </c>
      <c r="AF106" s="879">
        <f t="shared" ref="AF106:AF107" si="141">1-AD106</f>
        <v>2.0439574871572441E-3</v>
      </c>
      <c r="AG106" s="922">
        <f t="shared" ref="AG106:AG107" si="142">AF106</f>
        <v>2.0439574871572441E-3</v>
      </c>
      <c r="AI106" s="874">
        <f t="shared" ref="AI106:AI107" si="143">(U106-X106)/Y106</f>
        <v>1.4285714285714151</v>
      </c>
      <c r="AJ106" s="879">
        <f t="shared" ref="AJ106:AJ107" si="144">_xlfn.NORM.S.DIST(AI106,1)</f>
        <v>0.9234362744901633</v>
      </c>
      <c r="AK106" s="874">
        <f t="shared" ref="AK106:AK107" si="145">(W106-X106)/Y106</f>
        <v>-2.3809523809523809</v>
      </c>
      <c r="AL106" s="876">
        <f t="shared" ref="AL106:AL107" si="146">_xlfn.NORM.S.DIST(AK106,1)</f>
        <v>8.6339719980878023E-3</v>
      </c>
      <c r="AM106" s="882">
        <f t="shared" ref="AM106:AM107" si="147">AJ106-AL106</f>
        <v>0.9148023024920755</v>
      </c>
      <c r="AN106" s="896">
        <f t="shared" ref="AN106:AN107" si="148">AM106</f>
        <v>0.9148023024920755</v>
      </c>
      <c r="AO106" s="879">
        <f t="shared" ref="AO106:AO107" si="149">1-AM106</f>
        <v>8.5197697507924497E-2</v>
      </c>
      <c r="AP106" s="897">
        <f t="shared" ref="AP106:AP107" si="150">AO106</f>
        <v>8.5197697507924497E-2</v>
      </c>
    </row>
    <row r="107" spans="13:51" hidden="1" x14ac:dyDescent="0.25">
      <c r="M107" s="1551"/>
      <c r="N107" s="913">
        <v>100</v>
      </c>
      <c r="O107" s="874">
        <v>0.39</v>
      </c>
      <c r="P107" s="882">
        <v>0.42</v>
      </c>
      <c r="Q107" s="871">
        <v>0.8</v>
      </c>
      <c r="R107" s="914">
        <f t="shared" si="135"/>
        <v>100.39</v>
      </c>
      <c r="S107" s="871">
        <f>Q107</f>
        <v>0.8</v>
      </c>
      <c r="T107" s="871"/>
      <c r="U107" s="894">
        <f>N107+S107</f>
        <v>100.8</v>
      </c>
      <c r="V107" s="894"/>
      <c r="W107" s="894">
        <f>N107-S107</f>
        <v>99.2</v>
      </c>
      <c r="X107" s="894">
        <f>R107</f>
        <v>100.39</v>
      </c>
      <c r="Y107" s="882">
        <f>P107</f>
        <v>0.42</v>
      </c>
      <c r="Z107" s="871">
        <f t="shared" si="136"/>
        <v>0.20895522388059704</v>
      </c>
      <c r="AA107" s="871">
        <v>2.0099999999999998</v>
      </c>
      <c r="AB107" s="879">
        <f t="shared" si="137"/>
        <v>0.97512707273478272</v>
      </c>
      <c r="AC107" s="879">
        <f t="shared" si="138"/>
        <v>6.1685960564337876E-9</v>
      </c>
      <c r="AD107" s="879">
        <f t="shared" si="139"/>
        <v>0.97512706656618664</v>
      </c>
      <c r="AE107" s="883">
        <f t="shared" si="140"/>
        <v>0.97512706656618664</v>
      </c>
      <c r="AF107" s="879">
        <f t="shared" si="141"/>
        <v>2.487293343381336E-2</v>
      </c>
      <c r="AG107" s="922">
        <f t="shared" si="142"/>
        <v>2.487293343381336E-2</v>
      </c>
      <c r="AI107" s="874">
        <f t="shared" si="143"/>
        <v>0.97619047619046806</v>
      </c>
      <c r="AJ107" s="879">
        <f t="shared" si="144"/>
        <v>0.83551495904625261</v>
      </c>
      <c r="AK107" s="874">
        <f t="shared" si="145"/>
        <v>-2.8333333333333282</v>
      </c>
      <c r="AL107" s="876">
        <f t="shared" si="146"/>
        <v>2.303266131695922E-3</v>
      </c>
      <c r="AM107" s="882">
        <f t="shared" si="147"/>
        <v>0.83321169291455666</v>
      </c>
      <c r="AN107" s="896">
        <f t="shared" si="148"/>
        <v>0.83321169291455666</v>
      </c>
      <c r="AO107" s="879">
        <f t="shared" si="149"/>
        <v>0.16678830708544334</v>
      </c>
      <c r="AP107" s="897">
        <f t="shared" si="150"/>
        <v>0.16678830708544334</v>
      </c>
    </row>
    <row r="108" spans="13:51" hidden="1" x14ac:dyDescent="0.25">
      <c r="M108" s="1551"/>
      <c r="AP108" s="915"/>
    </row>
    <row r="109" spans="13:51" hidden="1" x14ac:dyDescent="0.25">
      <c r="M109" s="1551"/>
      <c r="AP109" s="915"/>
    </row>
    <row r="110" spans="13:51" hidden="1" x14ac:dyDescent="0.25">
      <c r="M110" s="1551"/>
      <c r="N110" s="901"/>
      <c r="O110" s="902" t="s">
        <v>561</v>
      </c>
      <c r="P110" s="903" t="s">
        <v>663</v>
      </c>
      <c r="Q110" s="904" t="s">
        <v>672</v>
      </c>
      <c r="R110" s="864" t="s">
        <v>667</v>
      </c>
      <c r="AP110" s="915"/>
    </row>
    <row r="111" spans="13:51" hidden="1" x14ac:dyDescent="0.25">
      <c r="M111" s="1551"/>
      <c r="N111" s="911" t="s">
        <v>660</v>
      </c>
      <c r="O111" s="912" t="s">
        <v>304</v>
      </c>
      <c r="P111" s="912" t="s">
        <v>652</v>
      </c>
      <c r="Q111" s="912" t="s">
        <v>647</v>
      </c>
      <c r="AM111" s="1542" t="s">
        <v>645</v>
      </c>
      <c r="AN111" s="1542"/>
      <c r="AO111" s="1543" t="s">
        <v>645</v>
      </c>
      <c r="AP111" s="1543"/>
    </row>
    <row r="112" spans="13:51" hidden="1" x14ac:dyDescent="0.25">
      <c r="M112" s="1551"/>
      <c r="N112" s="877" t="s">
        <v>665</v>
      </c>
      <c r="O112" s="871" t="s">
        <v>665</v>
      </c>
      <c r="P112" s="871" t="s">
        <v>665</v>
      </c>
      <c r="Q112" s="871" t="s">
        <v>665</v>
      </c>
      <c r="R112" s="890" t="s">
        <v>666</v>
      </c>
      <c r="S112" s="873" t="s">
        <v>647</v>
      </c>
      <c r="T112" s="873"/>
      <c r="U112" s="871" t="s">
        <v>669</v>
      </c>
      <c r="V112" s="871"/>
      <c r="W112" s="871" t="s">
        <v>670</v>
      </c>
      <c r="X112" s="871" t="s">
        <v>650</v>
      </c>
      <c r="Y112" s="873" t="s">
        <v>652</v>
      </c>
      <c r="Z112" s="871" t="s">
        <v>662</v>
      </c>
      <c r="AA112" s="871" t="s">
        <v>653</v>
      </c>
      <c r="AB112" s="879" t="s">
        <v>654</v>
      </c>
      <c r="AC112" s="879" t="s">
        <v>655</v>
      </c>
      <c r="AD112" s="1542" t="s">
        <v>645</v>
      </c>
      <c r="AE112" s="1542"/>
      <c r="AF112" s="1544" t="s">
        <v>645</v>
      </c>
      <c r="AG112" s="1544"/>
      <c r="AI112" s="871" t="s">
        <v>656</v>
      </c>
      <c r="AJ112" s="874" t="str">
        <f>CONCATENATE("ɸ(",ROUND(AI113,2)," ) ")</f>
        <v xml:space="preserve">ɸ(0,24 ) </v>
      </c>
      <c r="AK112" s="871" t="s">
        <v>657</v>
      </c>
      <c r="AL112" s="875" t="str">
        <f>CONCATENATE("ɸ(",ROUND(AK113,2)," ) ")</f>
        <v xml:space="preserve">ɸ(-1,57 ) </v>
      </c>
      <c r="AM112" s="891" t="str">
        <f>CONCATENATE("ɸ(",ROUND(AI113,2)," ) - ","ɸ(",ROUND(AK113,2)," ) ")</f>
        <v xml:space="preserve">ɸ(0,24 ) - ɸ(-1,57 ) </v>
      </c>
      <c r="AN112" s="892"/>
      <c r="AO112" s="871"/>
      <c r="AP112" s="878"/>
    </row>
    <row r="113" spans="13:42" hidden="1" x14ac:dyDescent="0.25">
      <c r="M113" s="1551"/>
      <c r="N113" s="913">
        <v>10</v>
      </c>
      <c r="O113" s="874">
        <v>0.28000000000000003</v>
      </c>
      <c r="P113" s="882">
        <v>0.42</v>
      </c>
      <c r="Q113" s="871">
        <v>0.8</v>
      </c>
      <c r="R113" s="914">
        <f>N113+O113</f>
        <v>10.28</v>
      </c>
      <c r="S113" s="871">
        <f>Q113</f>
        <v>0.8</v>
      </c>
      <c r="T113" s="871"/>
      <c r="U113" s="894">
        <f>N113+S113-P113</f>
        <v>10.38</v>
      </c>
      <c r="V113" s="894"/>
      <c r="W113" s="894">
        <f>N113-S113+P113</f>
        <v>9.6199999999999992</v>
      </c>
      <c r="X113" s="894">
        <f>R113</f>
        <v>10.28</v>
      </c>
      <c r="Y113" s="882">
        <f>P113</f>
        <v>0.42</v>
      </c>
      <c r="Z113" s="871">
        <f>Y113/AA113</f>
        <v>0.20895522388059704</v>
      </c>
      <c r="AA113" s="871">
        <v>2.0099999999999998</v>
      </c>
      <c r="AB113" s="879">
        <f>_xlfn.NORM.DIST(U113,X113,Z113,1)</f>
        <v>0.68387822586628233</v>
      </c>
      <c r="AC113" s="879">
        <f>_xlfn.NORM.DIST(W113,X113,Z113,1)</f>
        <v>7.9272225894500079E-4</v>
      </c>
      <c r="AD113" s="879">
        <f>AB113-AC113</f>
        <v>0.68308550360733733</v>
      </c>
      <c r="AE113" s="883">
        <f>AD113</f>
        <v>0.68308550360733733</v>
      </c>
      <c r="AF113" s="879">
        <f>1-AD113</f>
        <v>0.31691449639266267</v>
      </c>
      <c r="AG113" s="917">
        <f>AF113</f>
        <v>0.31691449639266267</v>
      </c>
      <c r="AI113" s="874">
        <f>(U113-X113)/Y113</f>
        <v>0.2380952380952415</v>
      </c>
      <c r="AJ113" s="879">
        <f>_xlfn.NORM.S.DIST(AI113,1)</f>
        <v>0.59409638599828485</v>
      </c>
      <c r="AK113" s="874">
        <f>(W113-X113)/Y113</f>
        <v>-1.5714285714285718</v>
      </c>
      <c r="AL113" s="876">
        <f>_xlfn.NORM.S.DIST(AK113,1)</f>
        <v>5.8041566869327432E-2</v>
      </c>
      <c r="AM113" s="882">
        <f>AJ113-AL113</f>
        <v>0.53605481912895736</v>
      </c>
      <c r="AN113" s="896">
        <f>AM113</f>
        <v>0.53605481912895736</v>
      </c>
      <c r="AO113" s="879">
        <f>1-AM113</f>
        <v>0.46394518087104264</v>
      </c>
      <c r="AP113" s="897">
        <f>AO113</f>
        <v>0.46394518087104264</v>
      </c>
    </row>
    <row r="114" spans="13:42" hidden="1" x14ac:dyDescent="0.25">
      <c r="M114" s="1551"/>
      <c r="N114" s="913">
        <v>50</v>
      </c>
      <c r="O114" s="874">
        <v>0.2</v>
      </c>
      <c r="P114" s="882">
        <v>0.42</v>
      </c>
      <c r="Q114" s="871">
        <v>0.8</v>
      </c>
      <c r="R114" s="914">
        <f t="shared" ref="R114:R115" si="151">N114+O114</f>
        <v>50.2</v>
      </c>
      <c r="S114" s="871">
        <f>Q114</f>
        <v>0.8</v>
      </c>
      <c r="T114" s="871"/>
      <c r="U114" s="894">
        <f>N114+S114-P114</f>
        <v>50.379999999999995</v>
      </c>
      <c r="V114" s="894"/>
      <c r="W114" s="894">
        <f>N114-S114+P114</f>
        <v>49.620000000000005</v>
      </c>
      <c r="X114" s="894">
        <f>R114</f>
        <v>50.2</v>
      </c>
      <c r="Y114" s="882">
        <f>P114</f>
        <v>0.42</v>
      </c>
      <c r="Z114" s="871">
        <f t="shared" ref="Z114:Z115" si="152">Y114/AA114</f>
        <v>0.20895522388059704</v>
      </c>
      <c r="AA114" s="871">
        <v>2.0099999999999998</v>
      </c>
      <c r="AB114" s="879">
        <f t="shared" ref="AB114:AB115" si="153">_xlfn.NORM.DIST(U114,X114,Z114,1)</f>
        <v>0.80549897719740304</v>
      </c>
      <c r="AC114" s="879">
        <f t="shared" ref="AC114:AC115" si="154">_xlfn.NORM.DIST(W114,X114,Z114,1)</f>
        <v>2.7540294427364775E-3</v>
      </c>
      <c r="AD114" s="879">
        <f t="shared" ref="AD114:AD115" si="155">AB114-AC114</f>
        <v>0.80274494775466654</v>
      </c>
      <c r="AE114" s="883">
        <f t="shared" ref="AE114:AE115" si="156">AD114</f>
        <v>0.80274494775466654</v>
      </c>
      <c r="AF114" s="879">
        <f t="shared" ref="AF114:AF115" si="157">1-AD114</f>
        <v>0.19725505224533346</v>
      </c>
      <c r="AG114" s="917">
        <f t="shared" ref="AG114:AG115" si="158">AF114</f>
        <v>0.19725505224533346</v>
      </c>
      <c r="AI114" s="874">
        <f t="shared" ref="AI114:AI115" si="159">(U114-X114)/Y114</f>
        <v>0.42857142857141101</v>
      </c>
      <c r="AJ114" s="879">
        <f t="shared" ref="AJ114:AJ115" si="160">_xlfn.NORM.S.DIST(AI114,1)</f>
        <v>0.66588242910236894</v>
      </c>
      <c r="AK114" s="874">
        <f t="shared" ref="AK114:AK115" si="161">(W114-X114)/Y114</f>
        <v>-1.3809523809523769</v>
      </c>
      <c r="AL114" s="876">
        <f t="shared" ref="AL114:AL115" si="162">_xlfn.NORM.S.DIST(AK114,1)</f>
        <v>8.3646801327584605E-2</v>
      </c>
      <c r="AM114" s="882">
        <f t="shared" ref="AM114:AM115" si="163">AJ114-AL114</f>
        <v>0.58223562777478433</v>
      </c>
      <c r="AN114" s="896">
        <f t="shared" ref="AN114:AN115" si="164">AM114</f>
        <v>0.58223562777478433</v>
      </c>
      <c r="AO114" s="879">
        <f t="shared" ref="AO114:AO115" si="165">1-AM114</f>
        <v>0.41776437222521567</v>
      </c>
      <c r="AP114" s="897">
        <f t="shared" ref="AP114:AP115" si="166">AO114</f>
        <v>0.41776437222521567</v>
      </c>
    </row>
    <row r="115" spans="13:42" hidden="1" x14ac:dyDescent="0.25">
      <c r="M115" s="1552"/>
      <c r="N115" s="913">
        <v>100</v>
      </c>
      <c r="O115" s="874">
        <v>0.39</v>
      </c>
      <c r="P115" s="882">
        <v>0.42</v>
      </c>
      <c r="Q115" s="871">
        <v>0.8</v>
      </c>
      <c r="R115" s="914">
        <f t="shared" si="151"/>
        <v>100.39</v>
      </c>
      <c r="S115" s="871">
        <f>Q115</f>
        <v>0.8</v>
      </c>
      <c r="T115" s="871"/>
      <c r="U115" s="894">
        <f>N115+S115-P115</f>
        <v>100.38</v>
      </c>
      <c r="V115" s="894"/>
      <c r="W115" s="894">
        <f>N115-S115+P115</f>
        <v>99.62</v>
      </c>
      <c r="X115" s="894">
        <f>R115</f>
        <v>100.39</v>
      </c>
      <c r="Y115" s="882">
        <f>P115</f>
        <v>0.42</v>
      </c>
      <c r="Z115" s="871">
        <f t="shared" si="152"/>
        <v>0.20895522388059704</v>
      </c>
      <c r="AA115" s="871">
        <v>2.0099999999999998</v>
      </c>
      <c r="AB115" s="879">
        <f t="shared" si="153"/>
        <v>0.4809150476368555</v>
      </c>
      <c r="AC115" s="879">
        <f t="shared" si="154"/>
        <v>1.1435132019094487E-4</v>
      </c>
      <c r="AD115" s="879">
        <f t="shared" si="155"/>
        <v>0.48080069631666456</v>
      </c>
      <c r="AE115" s="883">
        <f t="shared" si="156"/>
        <v>0.48080069631666456</v>
      </c>
      <c r="AF115" s="879">
        <f t="shared" si="157"/>
        <v>0.51919930368333544</v>
      </c>
      <c r="AG115" s="917">
        <f t="shared" si="158"/>
        <v>0.51919930368333544</v>
      </c>
      <c r="AH115" s="918"/>
      <c r="AI115" s="874">
        <f t="shared" si="159"/>
        <v>-2.3809523809535989E-2</v>
      </c>
      <c r="AJ115" s="879">
        <f t="shared" si="160"/>
        <v>0.49050227165125282</v>
      </c>
      <c r="AK115" s="874">
        <f t="shared" si="161"/>
        <v>-1.8333333333333239</v>
      </c>
      <c r="AL115" s="876">
        <f t="shared" si="162"/>
        <v>3.337650758481793E-2</v>
      </c>
      <c r="AM115" s="882">
        <f t="shared" si="163"/>
        <v>0.4571257640664349</v>
      </c>
      <c r="AN115" s="896">
        <f t="shared" si="164"/>
        <v>0.4571257640664349</v>
      </c>
      <c r="AO115" s="879">
        <f t="shared" si="165"/>
        <v>0.5428742359335651</v>
      </c>
      <c r="AP115" s="897">
        <f t="shared" si="166"/>
        <v>0.5428742359335651</v>
      </c>
    </row>
    <row r="116" spans="13:42" hidden="1" x14ac:dyDescent="0.25">
      <c r="M116" s="865"/>
      <c r="N116" s="923"/>
      <c r="O116" s="924"/>
      <c r="P116" s="925"/>
      <c r="Q116" s="869"/>
      <c r="R116" s="926"/>
      <c r="S116" s="869"/>
      <c r="T116" s="869"/>
      <c r="U116" s="923"/>
      <c r="V116" s="923"/>
      <c r="W116" s="923"/>
      <c r="X116" s="923"/>
      <c r="Y116" s="925"/>
      <c r="Z116" s="869"/>
      <c r="AA116" s="869"/>
      <c r="AB116" s="869"/>
      <c r="AC116" s="869"/>
      <c r="AD116" s="899"/>
      <c r="AE116" s="927"/>
      <c r="AF116" s="899"/>
      <c r="AG116" s="927"/>
      <c r="AI116" s="924"/>
      <c r="AJ116" s="899"/>
      <c r="AK116" s="924"/>
      <c r="AL116" s="928"/>
      <c r="AM116" s="925"/>
      <c r="AN116" s="929"/>
      <c r="AO116" s="899"/>
      <c r="AP116" s="930"/>
    </row>
    <row r="117" spans="13:42" hidden="1" x14ac:dyDescent="0.25"/>
    <row r="118" spans="13:42" hidden="1" x14ac:dyDescent="0.25">
      <c r="M118" s="1547">
        <v>4</v>
      </c>
      <c r="N118" s="901"/>
      <c r="O118" s="902" t="s">
        <v>673</v>
      </c>
      <c r="P118" s="903" t="s">
        <v>674</v>
      </c>
      <c r="Q118" s="904" t="s">
        <v>675</v>
      </c>
      <c r="R118" s="905" t="s">
        <v>664</v>
      </c>
      <c r="S118" s="905"/>
      <c r="T118" s="905"/>
      <c r="U118" s="905"/>
      <c r="V118" s="905"/>
      <c r="W118" s="905"/>
      <c r="X118" s="905"/>
      <c r="Y118" s="905"/>
      <c r="Z118" s="905"/>
      <c r="AA118" s="905"/>
      <c r="AB118" s="906"/>
      <c r="AC118" s="906"/>
      <c r="AD118" s="907"/>
      <c r="AE118" s="907"/>
      <c r="AF118" s="908"/>
      <c r="AG118" s="908"/>
      <c r="AH118" s="905"/>
      <c r="AI118" s="909"/>
      <c r="AJ118" s="909"/>
      <c r="AK118" s="909"/>
      <c r="AL118" s="909"/>
      <c r="AM118" s="909"/>
      <c r="AN118" s="909"/>
      <c r="AO118" s="905"/>
      <c r="AP118" s="910"/>
    </row>
    <row r="119" spans="13:42" hidden="1" x14ac:dyDescent="0.25">
      <c r="M119" s="1548"/>
      <c r="N119" s="911" t="s">
        <v>660</v>
      </c>
      <c r="O119" s="912" t="s">
        <v>304</v>
      </c>
      <c r="P119" s="912" t="s">
        <v>652</v>
      </c>
      <c r="Q119" s="912" t="s">
        <v>647</v>
      </c>
      <c r="AB119" s="898"/>
      <c r="AC119" s="898"/>
      <c r="AD119" s="899"/>
      <c r="AE119" s="899"/>
      <c r="AF119" s="900"/>
      <c r="AG119" s="900"/>
      <c r="AM119" s="1542" t="s">
        <v>645</v>
      </c>
      <c r="AN119" s="1542"/>
      <c r="AO119" s="1543" t="s">
        <v>645</v>
      </c>
      <c r="AP119" s="1543"/>
    </row>
    <row r="120" spans="13:42" hidden="1" x14ac:dyDescent="0.25">
      <c r="M120" s="1548"/>
      <c r="N120" s="877" t="s">
        <v>177</v>
      </c>
      <c r="O120" s="877" t="s">
        <v>177</v>
      </c>
      <c r="P120" s="877" t="s">
        <v>177</v>
      </c>
      <c r="Q120" s="877" t="s">
        <v>177</v>
      </c>
      <c r="R120" s="890" t="s">
        <v>666</v>
      </c>
      <c r="S120" s="873" t="s">
        <v>647</v>
      </c>
      <c r="T120" s="873"/>
      <c r="U120" s="871" t="s">
        <v>648</v>
      </c>
      <c r="V120" s="871"/>
      <c r="W120" s="871" t="s">
        <v>649</v>
      </c>
      <c r="X120" s="871" t="s">
        <v>650</v>
      </c>
      <c r="Y120" s="873" t="s">
        <v>652</v>
      </c>
      <c r="Z120" s="871" t="s">
        <v>662</v>
      </c>
      <c r="AA120" s="871" t="s">
        <v>653</v>
      </c>
      <c r="AB120" s="879" t="s">
        <v>654</v>
      </c>
      <c r="AC120" s="879" t="s">
        <v>655</v>
      </c>
      <c r="AD120" s="1545" t="s">
        <v>645</v>
      </c>
      <c r="AE120" s="1545"/>
      <c r="AF120" s="1546" t="s">
        <v>645</v>
      </c>
      <c r="AG120" s="1546"/>
      <c r="AI120" s="871" t="s">
        <v>656</v>
      </c>
      <c r="AJ120" s="874" t="str">
        <f>CONCATENATE("ɸ(",ROUND(AI121,2)," ) ")</f>
        <v xml:space="preserve">ɸ(60 ) </v>
      </c>
      <c r="AK120" s="871" t="s">
        <v>657</v>
      </c>
      <c r="AL120" s="875" t="str">
        <f>CONCATENATE("ɸ(",ROUND(AK121,2)," ) ")</f>
        <v xml:space="preserve">ɸ(-20 ) </v>
      </c>
      <c r="AM120" s="891" t="str">
        <f>CONCATENATE("ɸ(",ROUND(AI121,2)," ) - ","ɸ(",ROUND(AK121,2)," ) ")</f>
        <v xml:space="preserve">ɸ(60 ) - ɸ(-20 ) </v>
      </c>
      <c r="AN120" s="892"/>
      <c r="AO120" s="871"/>
      <c r="AP120" s="878"/>
    </row>
    <row r="121" spans="13:42" hidden="1" x14ac:dyDescent="0.25">
      <c r="M121" s="1548"/>
      <c r="N121" s="913">
        <v>0.5</v>
      </c>
      <c r="O121" s="879">
        <v>-0.02</v>
      </c>
      <c r="P121" s="894">
        <v>1E-3</v>
      </c>
      <c r="Q121" s="871">
        <v>0.04</v>
      </c>
      <c r="R121" s="914">
        <f>N121+O121</f>
        <v>0.48</v>
      </c>
      <c r="S121" s="871">
        <f>Q121</f>
        <v>0.04</v>
      </c>
      <c r="T121" s="871"/>
      <c r="U121" s="894">
        <f>N121+S121</f>
        <v>0.54</v>
      </c>
      <c r="V121" s="894"/>
      <c r="W121" s="894">
        <f>N121-S121</f>
        <v>0.46</v>
      </c>
      <c r="X121" s="894">
        <f>R121</f>
        <v>0.48</v>
      </c>
      <c r="Y121" s="882">
        <f>P121</f>
        <v>1E-3</v>
      </c>
      <c r="Z121" s="871">
        <f>Y121/AA121</f>
        <v>4.9751243781094535E-4</v>
      </c>
      <c r="AA121" s="871">
        <v>2.0099999999999998</v>
      </c>
      <c r="AB121" s="879">
        <f>_xlfn.NORM.DIST(U121,X121,Z121,1)</f>
        <v>1</v>
      </c>
      <c r="AC121" s="879">
        <f>_xlfn.NORM.DIST(W121,X121,Z121,1)</f>
        <v>0</v>
      </c>
      <c r="AD121" s="879">
        <f>AB121-AC121</f>
        <v>1</v>
      </c>
      <c r="AE121" s="883">
        <f>AD121</f>
        <v>1</v>
      </c>
      <c r="AF121" s="879">
        <f>1-AD121</f>
        <v>0</v>
      </c>
      <c r="AG121" s="922">
        <f>AF121</f>
        <v>0</v>
      </c>
      <c r="AI121" s="874">
        <f>(U121-X121)/Y121</f>
        <v>60.00000000000005</v>
      </c>
      <c r="AJ121" s="879">
        <f>_xlfn.NORM.S.DIST(AI121,1)</f>
        <v>1</v>
      </c>
      <c r="AK121" s="874">
        <f>(W121-X121)/Y121</f>
        <v>-19.999999999999961</v>
      </c>
      <c r="AL121" s="876">
        <f>_xlfn.NORM.S.DIST(AK121,1)</f>
        <v>2.753624118608275E-89</v>
      </c>
      <c r="AM121" s="882">
        <f>AJ121-AL121</f>
        <v>1</v>
      </c>
      <c r="AN121" s="896">
        <f>AM121</f>
        <v>1</v>
      </c>
      <c r="AO121" s="879">
        <f>1-AM121</f>
        <v>0</v>
      </c>
      <c r="AP121" s="897">
        <f>AO121</f>
        <v>0</v>
      </c>
    </row>
    <row r="122" spans="13:42" hidden="1" x14ac:dyDescent="0.25">
      <c r="M122" s="1548"/>
      <c r="N122" s="913">
        <v>2.5</v>
      </c>
      <c r="O122" s="879">
        <v>0</v>
      </c>
      <c r="P122" s="894">
        <v>1E-3</v>
      </c>
      <c r="Q122" s="871">
        <v>0.04</v>
      </c>
      <c r="R122" s="914">
        <f t="shared" ref="R122:R123" si="167">N122+O122</f>
        <v>2.5</v>
      </c>
      <c r="S122" s="871">
        <f>Q122</f>
        <v>0.04</v>
      </c>
      <c r="T122" s="871"/>
      <c r="U122" s="894">
        <f>N122+S122</f>
        <v>2.54</v>
      </c>
      <c r="V122" s="894"/>
      <c r="W122" s="894">
        <f>N122-S122</f>
        <v>2.46</v>
      </c>
      <c r="X122" s="894">
        <f>R122</f>
        <v>2.5</v>
      </c>
      <c r="Y122" s="882">
        <f>P122</f>
        <v>1E-3</v>
      </c>
      <c r="Z122" s="871">
        <f t="shared" ref="Z122:Z123" si="168">Y122/AA122</f>
        <v>4.9751243781094535E-4</v>
      </c>
      <c r="AA122" s="871">
        <v>2.0099999999999998</v>
      </c>
      <c r="AB122" s="879">
        <f t="shared" ref="AB122:AB123" si="169">_xlfn.NORM.DIST(U122,X122,Z122,1)</f>
        <v>1</v>
      </c>
      <c r="AC122" s="879">
        <f t="shared" ref="AC122:AC123" si="170">_xlfn.NORM.DIST(W122,X122,Z122,1)</f>
        <v>0</v>
      </c>
      <c r="AD122" s="879">
        <f t="shared" ref="AD122:AD123" si="171">AB122-AC122</f>
        <v>1</v>
      </c>
      <c r="AE122" s="883">
        <f t="shared" ref="AE122:AE123" si="172">AD122</f>
        <v>1</v>
      </c>
      <c r="AF122" s="879">
        <f t="shared" ref="AF122:AF123" si="173">1-AD122</f>
        <v>0</v>
      </c>
      <c r="AG122" s="922">
        <f t="shared" ref="AG122:AG123" si="174">AF122</f>
        <v>0</v>
      </c>
      <c r="AI122" s="874">
        <f t="shared" ref="AI122:AI123" si="175">(U122-X122)/Y122</f>
        <v>40.000000000000036</v>
      </c>
      <c r="AJ122" s="879">
        <f t="shared" ref="AJ122:AJ123" si="176">_xlfn.NORM.S.DIST(AI122,1)</f>
        <v>1</v>
      </c>
      <c r="AK122" s="874">
        <f t="shared" ref="AK122:AK123" si="177">(W122-X122)/Y122</f>
        <v>-40.000000000000036</v>
      </c>
      <c r="AL122" s="876">
        <f t="shared" ref="AL122:AL123" si="178">_xlfn.NORM.S.DIST(AK122,1)</f>
        <v>0</v>
      </c>
      <c r="AM122" s="882">
        <f t="shared" ref="AM122:AM123" si="179">AJ122-AL122</f>
        <v>1</v>
      </c>
      <c r="AN122" s="896">
        <f t="shared" ref="AN122:AN123" si="180">AM122</f>
        <v>1</v>
      </c>
      <c r="AO122" s="879">
        <f t="shared" ref="AO122:AO123" si="181">1-AM122</f>
        <v>0</v>
      </c>
      <c r="AP122" s="897">
        <f t="shared" ref="AP122:AP123" si="182">AO122</f>
        <v>0</v>
      </c>
    </row>
    <row r="123" spans="13:42" hidden="1" x14ac:dyDescent="0.25">
      <c r="M123" s="1548"/>
      <c r="N123" s="913">
        <v>5</v>
      </c>
      <c r="O123" s="879">
        <v>0.01</v>
      </c>
      <c r="P123" s="894">
        <v>1.1000000000000001E-3</v>
      </c>
      <c r="Q123" s="871">
        <v>0.04</v>
      </c>
      <c r="R123" s="914">
        <f t="shared" si="167"/>
        <v>5.01</v>
      </c>
      <c r="S123" s="871">
        <f>Q123</f>
        <v>0.04</v>
      </c>
      <c r="T123" s="871"/>
      <c r="U123" s="894">
        <f>N123+S123</f>
        <v>5.04</v>
      </c>
      <c r="V123" s="894"/>
      <c r="W123" s="894">
        <f>N123-S123</f>
        <v>4.96</v>
      </c>
      <c r="X123" s="894">
        <f>R123</f>
        <v>5.01</v>
      </c>
      <c r="Y123" s="882">
        <f>P123</f>
        <v>1.1000000000000001E-3</v>
      </c>
      <c r="Z123" s="871">
        <f t="shared" si="168"/>
        <v>5.4726368159203984E-4</v>
      </c>
      <c r="AA123" s="871">
        <v>2.0099999999999998</v>
      </c>
      <c r="AB123" s="879">
        <f t="shared" si="169"/>
        <v>1</v>
      </c>
      <c r="AC123" s="879">
        <f t="shared" si="170"/>
        <v>0</v>
      </c>
      <c r="AD123" s="879">
        <f t="shared" si="171"/>
        <v>1</v>
      </c>
      <c r="AE123" s="883">
        <f t="shared" si="172"/>
        <v>1</v>
      </c>
      <c r="AF123" s="879">
        <f t="shared" si="173"/>
        <v>0</v>
      </c>
      <c r="AG123" s="922">
        <f t="shared" si="174"/>
        <v>0</v>
      </c>
      <c r="AI123" s="874">
        <f t="shared" si="175"/>
        <v>27.272727272727497</v>
      </c>
      <c r="AJ123" s="879">
        <f t="shared" si="176"/>
        <v>1</v>
      </c>
      <c r="AK123" s="874">
        <f t="shared" si="177"/>
        <v>-45.45454545454529</v>
      </c>
      <c r="AL123" s="876">
        <f t="shared" si="178"/>
        <v>0</v>
      </c>
      <c r="AM123" s="882">
        <f t="shared" si="179"/>
        <v>1</v>
      </c>
      <c r="AN123" s="896">
        <f t="shared" si="180"/>
        <v>1</v>
      </c>
      <c r="AO123" s="879">
        <f t="shared" si="181"/>
        <v>0</v>
      </c>
      <c r="AP123" s="897">
        <f t="shared" si="182"/>
        <v>0</v>
      </c>
    </row>
    <row r="124" spans="13:42" hidden="1" x14ac:dyDescent="0.25">
      <c r="M124" s="1548"/>
      <c r="AP124" s="915"/>
    </row>
    <row r="125" spans="13:42" hidden="1" x14ac:dyDescent="0.25">
      <c r="M125" s="1548"/>
      <c r="AP125" s="915"/>
    </row>
    <row r="126" spans="13:42" hidden="1" x14ac:dyDescent="0.25">
      <c r="M126" s="1548"/>
      <c r="N126" s="901"/>
      <c r="O126" s="902" t="s">
        <v>673</v>
      </c>
      <c r="P126" s="903" t="s">
        <v>674</v>
      </c>
      <c r="Q126" s="904" t="s">
        <v>675</v>
      </c>
      <c r="R126" s="864" t="s">
        <v>667</v>
      </c>
      <c r="AP126" s="915"/>
    </row>
    <row r="127" spans="13:42" hidden="1" x14ac:dyDescent="0.25">
      <c r="M127" s="1548"/>
      <c r="N127" s="911" t="s">
        <v>660</v>
      </c>
      <c r="O127" s="912" t="s">
        <v>304</v>
      </c>
      <c r="P127" s="912" t="s">
        <v>652</v>
      </c>
      <c r="Q127" s="912" t="s">
        <v>647</v>
      </c>
      <c r="AM127" s="1542" t="s">
        <v>645</v>
      </c>
      <c r="AN127" s="1542"/>
      <c r="AO127" s="1543" t="s">
        <v>645</v>
      </c>
      <c r="AP127" s="1543"/>
    </row>
    <row r="128" spans="13:42" hidden="1" x14ac:dyDescent="0.25">
      <c r="M128" s="1548"/>
      <c r="N128" s="877" t="s">
        <v>177</v>
      </c>
      <c r="O128" s="877" t="s">
        <v>177</v>
      </c>
      <c r="P128" s="877" t="s">
        <v>177</v>
      </c>
      <c r="Q128" s="877" t="s">
        <v>177</v>
      </c>
      <c r="R128" s="890" t="s">
        <v>666</v>
      </c>
      <c r="S128" s="873" t="s">
        <v>647</v>
      </c>
      <c r="T128" s="873"/>
      <c r="U128" s="871" t="s">
        <v>669</v>
      </c>
      <c r="V128" s="871"/>
      <c r="W128" s="871" t="s">
        <v>670</v>
      </c>
      <c r="X128" s="871" t="s">
        <v>650</v>
      </c>
      <c r="Y128" s="873" t="s">
        <v>652</v>
      </c>
      <c r="Z128" s="871" t="s">
        <v>662</v>
      </c>
      <c r="AA128" s="871" t="s">
        <v>653</v>
      </c>
      <c r="AB128" s="879" t="s">
        <v>654</v>
      </c>
      <c r="AC128" s="879" t="s">
        <v>655</v>
      </c>
      <c r="AD128" s="1542" t="s">
        <v>645</v>
      </c>
      <c r="AE128" s="1542"/>
      <c r="AF128" s="1544" t="s">
        <v>645</v>
      </c>
      <c r="AG128" s="1544"/>
      <c r="AI128" s="871" t="s">
        <v>656</v>
      </c>
      <c r="AJ128" s="874" t="str">
        <f>CONCATENATE("ɸ(",ROUND(AI129,2)," ) ")</f>
        <v xml:space="preserve">ɸ(59 ) </v>
      </c>
      <c r="AK128" s="871" t="s">
        <v>657</v>
      </c>
      <c r="AL128" s="875" t="str">
        <f>CONCATENATE("ɸ(",ROUND(AK129,2)," ) ")</f>
        <v xml:space="preserve">ɸ(-19 ) </v>
      </c>
      <c r="AM128" s="891" t="str">
        <f>CONCATENATE("ɸ(",ROUND(AI129,2)," ) - ","ɸ(",ROUND(AK129,2)," ) ")</f>
        <v xml:space="preserve">ɸ(59 ) - ɸ(-19 ) </v>
      </c>
      <c r="AN128" s="892"/>
      <c r="AO128" s="871"/>
      <c r="AP128" s="878"/>
    </row>
    <row r="129" spans="10:42" hidden="1" x14ac:dyDescent="0.25">
      <c r="M129" s="1548"/>
      <c r="N129" s="913">
        <v>0.5</v>
      </c>
      <c r="O129" s="879">
        <v>-0.02</v>
      </c>
      <c r="P129" s="894">
        <v>1E-3</v>
      </c>
      <c r="Q129" s="871">
        <v>0.04</v>
      </c>
      <c r="R129" s="931">
        <f>N129+O129</f>
        <v>0.48</v>
      </c>
      <c r="S129" s="871">
        <f>Q129</f>
        <v>0.04</v>
      </c>
      <c r="T129" s="871"/>
      <c r="U129" s="894">
        <f>N129+S129-P129</f>
        <v>0.53900000000000003</v>
      </c>
      <c r="V129" s="894"/>
      <c r="W129" s="894">
        <f>N129-S129+P129</f>
        <v>0.46100000000000002</v>
      </c>
      <c r="X129" s="894">
        <f>R129</f>
        <v>0.48</v>
      </c>
      <c r="Y129" s="882">
        <f>P129</f>
        <v>1E-3</v>
      </c>
      <c r="Z129" s="871">
        <f>Y129/AA129</f>
        <v>4.9751243781094535E-4</v>
      </c>
      <c r="AA129" s="871">
        <v>2.0099999999999998</v>
      </c>
      <c r="AB129" s="879">
        <f>_xlfn.NORM.DIST(U129,X129,Z129,1)</f>
        <v>1</v>
      </c>
      <c r="AC129" s="879">
        <f>_xlfn.NORM.DIST(W129,X129,Z129,1)</f>
        <v>0</v>
      </c>
      <c r="AD129" s="879">
        <f>AB129-AC129</f>
        <v>1</v>
      </c>
      <c r="AE129" s="883">
        <f>AD129</f>
        <v>1</v>
      </c>
      <c r="AF129" s="879">
        <f>1-AD129</f>
        <v>0</v>
      </c>
      <c r="AG129" s="883">
        <f>AF129</f>
        <v>0</v>
      </c>
      <c r="AI129" s="874">
        <f>(U129-X129)/Y129</f>
        <v>59.00000000000005</v>
      </c>
      <c r="AJ129" s="879">
        <f>_xlfn.NORM.S.DIST(AI129,1)</f>
        <v>1</v>
      </c>
      <c r="AK129" s="874">
        <f>(W129-X129)/Y129</f>
        <v>-18.999999999999961</v>
      </c>
      <c r="AL129" s="876">
        <f>_xlfn.NORM.S.DIST(AK129,1)</f>
        <v>8.5272239526370503E-81</v>
      </c>
      <c r="AM129" s="882">
        <f>AJ129-AL129</f>
        <v>1</v>
      </c>
      <c r="AN129" s="896">
        <f>AM129</f>
        <v>1</v>
      </c>
      <c r="AO129" s="879">
        <f>1-AM129</f>
        <v>0</v>
      </c>
      <c r="AP129" s="897">
        <f>AO129</f>
        <v>0</v>
      </c>
    </row>
    <row r="130" spans="10:42" hidden="1" x14ac:dyDescent="0.25">
      <c r="M130" s="1548"/>
      <c r="N130" s="913">
        <v>2.5</v>
      </c>
      <c r="O130" s="879">
        <v>0</v>
      </c>
      <c r="P130" s="894">
        <v>1E-3</v>
      </c>
      <c r="Q130" s="871">
        <v>0.04</v>
      </c>
      <c r="R130" s="931">
        <f t="shared" ref="R130:R131" si="183">N130+O130</f>
        <v>2.5</v>
      </c>
      <c r="S130" s="871">
        <f>Q130</f>
        <v>0.04</v>
      </c>
      <c r="T130" s="871"/>
      <c r="U130" s="894">
        <f>N130+S130-P130</f>
        <v>2.5390000000000001</v>
      </c>
      <c r="V130" s="894"/>
      <c r="W130" s="894">
        <f>N130-S130+P130</f>
        <v>2.4609999999999999</v>
      </c>
      <c r="X130" s="894">
        <f>R130</f>
        <v>2.5</v>
      </c>
      <c r="Y130" s="882">
        <f>P130</f>
        <v>1E-3</v>
      </c>
      <c r="Z130" s="871">
        <f t="shared" ref="Z130:Z131" si="184">Y130/AA130</f>
        <v>4.9751243781094535E-4</v>
      </c>
      <c r="AA130" s="871">
        <v>2.0099999999999998</v>
      </c>
      <c r="AB130" s="879">
        <f t="shared" ref="AB130:AB131" si="185">_xlfn.NORM.DIST(U130,X130,Z130,1)</f>
        <v>1</v>
      </c>
      <c r="AC130" s="879">
        <f t="shared" ref="AC130:AC131" si="186">_xlfn.NORM.DIST(W130,X130,Z130,1)</f>
        <v>0</v>
      </c>
      <c r="AD130" s="879">
        <f t="shared" ref="AD130:AD131" si="187">AB130-AC130</f>
        <v>1</v>
      </c>
      <c r="AE130" s="883">
        <f t="shared" ref="AE130:AE131" si="188">AD130</f>
        <v>1</v>
      </c>
      <c r="AF130" s="879">
        <f t="shared" ref="AF130:AF131" si="189">1-AD130</f>
        <v>0</v>
      </c>
      <c r="AG130" s="883">
        <f t="shared" ref="AG130:AG131" si="190">AF130</f>
        <v>0</v>
      </c>
      <c r="AI130" s="874">
        <f t="shared" ref="AI130:AI131" si="191">(U130-X130)/Y130</f>
        <v>39.000000000000142</v>
      </c>
      <c r="AJ130" s="879">
        <f t="shared" ref="AJ130:AJ131" si="192">_xlfn.NORM.S.DIST(AI130,1)</f>
        <v>1</v>
      </c>
      <c r="AK130" s="874">
        <f t="shared" ref="AK130:AK131" si="193">(W130-X130)/Y130</f>
        <v>-39.000000000000142</v>
      </c>
      <c r="AL130" s="876">
        <f t="shared" ref="AL130:AL131" si="194">_xlfn.NORM.S.DIST(AK130,1)</f>
        <v>0</v>
      </c>
      <c r="AM130" s="882">
        <f t="shared" ref="AM130:AM131" si="195">AJ130-AL130</f>
        <v>1</v>
      </c>
      <c r="AN130" s="896">
        <f t="shared" ref="AN130:AN131" si="196">AM130</f>
        <v>1</v>
      </c>
      <c r="AO130" s="879">
        <f t="shared" ref="AO130:AO131" si="197">1-AM130</f>
        <v>0</v>
      </c>
      <c r="AP130" s="897">
        <f t="shared" ref="AP130:AP131" si="198">AO130</f>
        <v>0</v>
      </c>
    </row>
    <row r="131" spans="10:42" hidden="1" x14ac:dyDescent="0.25">
      <c r="M131" s="1549"/>
      <c r="N131" s="913">
        <v>5</v>
      </c>
      <c r="O131" s="879">
        <v>0.01</v>
      </c>
      <c r="P131" s="894">
        <v>1.1000000000000001E-3</v>
      </c>
      <c r="Q131" s="871">
        <v>0.04</v>
      </c>
      <c r="R131" s="931">
        <f t="shared" si="183"/>
        <v>5.01</v>
      </c>
      <c r="S131" s="871">
        <f>Q131</f>
        <v>0.04</v>
      </c>
      <c r="T131" s="871"/>
      <c r="U131" s="894">
        <f>N131+S131-P131</f>
        <v>5.0388999999999999</v>
      </c>
      <c r="V131" s="894"/>
      <c r="W131" s="894">
        <f>N131-S131+P131</f>
        <v>4.9611000000000001</v>
      </c>
      <c r="X131" s="894">
        <f>R131</f>
        <v>5.01</v>
      </c>
      <c r="Y131" s="882">
        <f>P131</f>
        <v>1.1000000000000001E-3</v>
      </c>
      <c r="Z131" s="871">
        <f t="shared" si="184"/>
        <v>5.4726368159203984E-4</v>
      </c>
      <c r="AA131" s="871">
        <v>2.0099999999999998</v>
      </c>
      <c r="AB131" s="879">
        <f t="shared" si="185"/>
        <v>1</v>
      </c>
      <c r="AC131" s="879">
        <f t="shared" si="186"/>
        <v>0</v>
      </c>
      <c r="AD131" s="879">
        <f t="shared" si="187"/>
        <v>1</v>
      </c>
      <c r="AE131" s="883">
        <f t="shared" si="188"/>
        <v>1</v>
      </c>
      <c r="AF131" s="879">
        <f t="shared" si="189"/>
        <v>0</v>
      </c>
      <c r="AG131" s="883">
        <f t="shared" si="190"/>
        <v>0</v>
      </c>
      <c r="AH131" s="918"/>
      <c r="AI131" s="874">
        <f t="shared" si="191"/>
        <v>26.272727272727405</v>
      </c>
      <c r="AJ131" s="879">
        <f t="shared" si="192"/>
        <v>1</v>
      </c>
      <c r="AK131" s="874">
        <f t="shared" si="193"/>
        <v>-44.454545454545197</v>
      </c>
      <c r="AL131" s="876">
        <f t="shared" si="194"/>
        <v>0</v>
      </c>
      <c r="AM131" s="882">
        <f t="shared" si="195"/>
        <v>1</v>
      </c>
      <c r="AN131" s="896">
        <f t="shared" si="196"/>
        <v>1</v>
      </c>
      <c r="AO131" s="879">
        <f t="shared" si="197"/>
        <v>0</v>
      </c>
      <c r="AP131" s="897">
        <f t="shared" si="198"/>
        <v>0</v>
      </c>
    </row>
    <row r="132" spans="10:42" hidden="1" x14ac:dyDescent="0.25">
      <c r="M132" s="865"/>
      <c r="N132" s="923"/>
      <c r="O132" s="924"/>
      <c r="P132" s="925"/>
      <c r="Q132" s="869"/>
      <c r="R132" s="926"/>
      <c r="S132" s="869"/>
      <c r="T132" s="869"/>
      <c r="U132" s="923"/>
      <c r="V132" s="923"/>
      <c r="W132" s="923"/>
      <c r="X132" s="923"/>
      <c r="Y132" s="925"/>
      <c r="Z132" s="869"/>
      <c r="AA132" s="869"/>
      <c r="AB132" s="869"/>
      <c r="AC132" s="869"/>
      <c r="AD132" s="899"/>
      <c r="AE132" s="927"/>
      <c r="AF132" s="899"/>
      <c r="AG132" s="927"/>
      <c r="AI132" s="924"/>
      <c r="AJ132" s="899"/>
      <c r="AK132" s="924"/>
      <c r="AL132" s="928"/>
      <c r="AM132" s="925"/>
      <c r="AN132" s="929"/>
      <c r="AO132" s="899"/>
      <c r="AP132" s="930"/>
    </row>
    <row r="133" spans="10:42" hidden="1" x14ac:dyDescent="0.25"/>
    <row r="134" spans="10:42" hidden="1" x14ac:dyDescent="0.25">
      <c r="M134" s="932"/>
      <c r="N134" s="933"/>
      <c r="O134" s="902"/>
      <c r="P134" s="903"/>
      <c r="Q134" s="904"/>
      <c r="R134" s="905" t="s">
        <v>664</v>
      </c>
      <c r="S134" s="905"/>
      <c r="T134" s="905"/>
      <c r="U134" s="905"/>
      <c r="V134" s="905"/>
      <c r="W134" s="905"/>
      <c r="X134" s="905"/>
      <c r="Y134" s="905"/>
      <c r="Z134" s="905"/>
      <c r="AA134" s="905"/>
      <c r="AB134" s="906"/>
      <c r="AC134" s="906"/>
      <c r="AD134" s="907"/>
      <c r="AE134" s="907"/>
      <c r="AF134" s="908"/>
      <c r="AG134" s="934"/>
      <c r="AH134" s="905"/>
      <c r="AI134" s="909"/>
      <c r="AJ134" s="909"/>
      <c r="AK134" s="909"/>
      <c r="AL134" s="909"/>
      <c r="AM134" s="909"/>
      <c r="AN134" s="909"/>
      <c r="AO134" s="905"/>
      <c r="AP134" s="910"/>
    </row>
    <row r="135" spans="10:42" hidden="1" x14ac:dyDescent="0.25">
      <c r="M135" s="935"/>
      <c r="N135" s="936" t="s">
        <v>660</v>
      </c>
      <c r="O135" s="912" t="s">
        <v>304</v>
      </c>
      <c r="P135" s="912" t="s">
        <v>652</v>
      </c>
      <c r="Q135" s="912" t="s">
        <v>647</v>
      </c>
      <c r="AB135" s="898"/>
      <c r="AC135" s="898"/>
      <c r="AD135" s="899"/>
      <c r="AE135" s="899"/>
      <c r="AF135" s="900"/>
      <c r="AG135" s="937"/>
      <c r="AM135" s="1542" t="s">
        <v>645</v>
      </c>
      <c r="AN135" s="1542"/>
      <c r="AO135" s="1543" t="s">
        <v>645</v>
      </c>
      <c r="AP135" s="1543"/>
    </row>
    <row r="136" spans="10:42" hidden="1" x14ac:dyDescent="0.25">
      <c r="M136" s="935"/>
      <c r="N136" s="871" t="s">
        <v>177</v>
      </c>
      <c r="O136" s="871" t="s">
        <v>177</v>
      </c>
      <c r="P136" s="871" t="s">
        <v>177</v>
      </c>
      <c r="Q136" s="871" t="s">
        <v>177</v>
      </c>
      <c r="R136" s="890" t="s">
        <v>666</v>
      </c>
      <c r="S136" s="873" t="s">
        <v>647</v>
      </c>
      <c r="T136" s="873"/>
      <c r="U136" s="871" t="s">
        <v>648</v>
      </c>
      <c r="V136" s="871"/>
      <c r="W136" s="871" t="s">
        <v>649</v>
      </c>
      <c r="X136" s="871" t="s">
        <v>650</v>
      </c>
      <c r="Y136" s="873" t="s">
        <v>652</v>
      </c>
      <c r="Z136" s="871" t="s">
        <v>662</v>
      </c>
      <c r="AA136" s="871" t="s">
        <v>653</v>
      </c>
      <c r="AB136" s="879" t="s">
        <v>654</v>
      </c>
      <c r="AC136" s="879" t="s">
        <v>655</v>
      </c>
      <c r="AD136" s="1545" t="s">
        <v>645</v>
      </c>
      <c r="AE136" s="1545"/>
      <c r="AF136" s="1546" t="s">
        <v>645</v>
      </c>
      <c r="AG136" s="1546"/>
      <c r="AI136" s="871" t="s">
        <v>656</v>
      </c>
      <c r="AJ136" s="874" t="str">
        <f>CONCATENATE("ɸ(",ROUND(AI137,2)," ) ")</f>
        <v xml:space="preserve">ɸ(3,78 ) </v>
      </c>
      <c r="AK136" s="871" t="s">
        <v>657</v>
      </c>
      <c r="AL136" s="875" t="str">
        <f>CONCATENATE("ɸ(",ROUND(AK137,2)," ) ")</f>
        <v xml:space="preserve">ɸ(-2,47 ) </v>
      </c>
      <c r="AM136" s="891" t="str">
        <f>CONCATENATE("ɸ(",ROUND(AI137,2)," ) - ","ɸ(",ROUND(AK137,2)," ) ")</f>
        <v xml:space="preserve">ɸ(3,78 ) - ɸ(-2,47 ) </v>
      </c>
      <c r="AN136" s="892"/>
      <c r="AO136" s="871"/>
      <c r="AP136" s="878"/>
    </row>
    <row r="137" spans="10:42" hidden="1" x14ac:dyDescent="0.25">
      <c r="J137" s="864" t="s">
        <v>676</v>
      </c>
      <c r="K137" s="864" t="s">
        <v>677</v>
      </c>
      <c r="M137" s="938">
        <v>5</v>
      </c>
      <c r="N137" s="874">
        <v>100</v>
      </c>
      <c r="O137" s="874">
        <v>-2.1000000000000001E-2</v>
      </c>
      <c r="P137" s="882">
        <v>3.2000000000000001E-2</v>
      </c>
      <c r="Q137" s="871">
        <v>0.1</v>
      </c>
      <c r="R137" s="939">
        <f>N137+O137</f>
        <v>99.978999999999999</v>
      </c>
      <c r="S137" s="871">
        <f>Q137</f>
        <v>0.1</v>
      </c>
      <c r="T137" s="871"/>
      <c r="U137" s="894">
        <f>N137+S137</f>
        <v>100.1</v>
      </c>
      <c r="V137" s="894"/>
      <c r="W137" s="894">
        <f>N137-S137</f>
        <v>99.9</v>
      </c>
      <c r="X137" s="894">
        <f>R137</f>
        <v>99.978999999999999</v>
      </c>
      <c r="Y137" s="882">
        <f>P137</f>
        <v>3.2000000000000001E-2</v>
      </c>
      <c r="Z137" s="871">
        <f>Y137/AA137</f>
        <v>1.6161616161616162E-2</v>
      </c>
      <c r="AA137" s="871">
        <v>1.98</v>
      </c>
      <c r="AB137" s="879">
        <f>_xlfn.NORM.DIST(U137,X137,Z137,1)</f>
        <v>0.99999999999996469</v>
      </c>
      <c r="AC137" s="879">
        <f>_xlfn.NORM.DIST(W137,X137,Z137,1)</f>
        <v>5.0900444081163632E-7</v>
      </c>
      <c r="AD137" s="879">
        <f>AB137-AC137</f>
        <v>0.99999949099552388</v>
      </c>
      <c r="AE137" s="884">
        <f>AD137</f>
        <v>0.99999949099552388</v>
      </c>
      <c r="AF137" s="879">
        <f>1-AD137</f>
        <v>5.0900447612356459E-7</v>
      </c>
      <c r="AG137" s="884">
        <f>AF137</f>
        <v>5.0900447612356459E-7</v>
      </c>
      <c r="AI137" s="874">
        <f>(U137-X137)/Y137</f>
        <v>3.7812499999998472</v>
      </c>
      <c r="AJ137" s="879">
        <f>_xlfn.NORM.S.DIST(AI137,1)</f>
        <v>0.99992197856294562</v>
      </c>
      <c r="AK137" s="874">
        <f>(W137-X137)/Y137</f>
        <v>-2.4687499999997975</v>
      </c>
      <c r="AL137" s="876">
        <f>_xlfn.NORM.S.DIST(AK137,1)</f>
        <v>6.7792953020483927E-3</v>
      </c>
      <c r="AM137" s="882">
        <f>AJ137-AL137</f>
        <v>0.99314268326089727</v>
      </c>
      <c r="AN137" s="896">
        <f>AM137</f>
        <v>0.99314268326089727</v>
      </c>
      <c r="AO137" s="879">
        <f>1-AM137</f>
        <v>6.8573167391027257E-3</v>
      </c>
      <c r="AP137" s="897">
        <f>AO137</f>
        <v>6.8573167391027257E-3</v>
      </c>
    </row>
    <row r="138" spans="10:42" hidden="1" x14ac:dyDescent="0.25">
      <c r="J138" s="864" t="s">
        <v>678</v>
      </c>
      <c r="K138" s="864" t="s">
        <v>679</v>
      </c>
      <c r="M138" s="940">
        <v>6</v>
      </c>
      <c r="N138" s="874">
        <v>100</v>
      </c>
      <c r="O138" s="874">
        <v>-4.5999999999999999E-2</v>
      </c>
      <c r="P138" s="882">
        <v>3.2000000000000001E-2</v>
      </c>
      <c r="Q138" s="871">
        <v>0.1</v>
      </c>
      <c r="R138" s="939">
        <f t="shared" ref="R138:R139" si="199">N138+O138</f>
        <v>99.953999999999994</v>
      </c>
      <c r="S138" s="871">
        <f>Q138</f>
        <v>0.1</v>
      </c>
      <c r="T138" s="871"/>
      <c r="U138" s="894">
        <f>N138+S138</f>
        <v>100.1</v>
      </c>
      <c r="V138" s="894"/>
      <c r="W138" s="894">
        <f>N138-S138</f>
        <v>99.9</v>
      </c>
      <c r="X138" s="894">
        <f>R138</f>
        <v>99.953999999999994</v>
      </c>
      <c r="Y138" s="882">
        <f>P138</f>
        <v>3.2000000000000001E-2</v>
      </c>
      <c r="Z138" s="871">
        <f t="shared" ref="Z138:Z139" si="200">Y138/AA138</f>
        <v>1.6161616161616162E-2</v>
      </c>
      <c r="AA138" s="871">
        <v>1.98</v>
      </c>
      <c r="AB138" s="879">
        <f t="shared" ref="AB138:AB139" si="201">_xlfn.NORM.DIST(U138,X138,Z138,1)</f>
        <v>1</v>
      </c>
      <c r="AC138" s="879">
        <f t="shared" ref="AC138:AC139" si="202">_xlfn.NORM.DIST(W138,X138,Z138,1)</f>
        <v>4.1701044205310521E-4</v>
      </c>
      <c r="AD138" s="879">
        <f t="shared" ref="AD138:AD139" si="203">AB138-AC138</f>
        <v>0.99958298955794689</v>
      </c>
      <c r="AE138" s="884">
        <f t="shared" ref="AE138:AE139" si="204">AD138</f>
        <v>0.99958298955794689</v>
      </c>
      <c r="AF138" s="879">
        <f t="shared" ref="AF138:AF139" si="205">1-AD138</f>
        <v>4.1701044205311177E-4</v>
      </c>
      <c r="AG138" s="884">
        <f t="shared" ref="AG138:AG139" si="206">AF138</f>
        <v>4.1701044205311177E-4</v>
      </c>
      <c r="AI138" s="874">
        <f t="shared" ref="AI138:AI139" si="207">(U138-X138)/Y138</f>
        <v>4.5625000000000249</v>
      </c>
      <c r="AJ138" s="879">
        <f t="shared" ref="AJ138:AJ139" si="208">_xlfn.NORM.S.DIST(AI138,1)</f>
        <v>0.99999747259531824</v>
      </c>
      <c r="AK138" s="874">
        <f t="shared" ref="AK138:AK139" si="209">(W138-X138)/Y138</f>
        <v>-1.6874999999996199</v>
      </c>
      <c r="AL138" s="876">
        <f t="shared" ref="AL138:AL139" si="210">_xlfn.NORM.S.DIST(AK138,1)</f>
        <v>4.5753624961777623E-2</v>
      </c>
      <c r="AM138" s="882">
        <f t="shared" ref="AM138:AM139" si="211">AJ138-AL138</f>
        <v>0.95424384763354064</v>
      </c>
      <c r="AN138" s="896">
        <f t="shared" ref="AN138:AN139" si="212">AM138</f>
        <v>0.95424384763354064</v>
      </c>
      <c r="AO138" s="879">
        <f t="shared" ref="AO138:AO139" si="213">1-AM138</f>
        <v>4.5756152366459357E-2</v>
      </c>
      <c r="AP138" s="897">
        <f t="shared" ref="AP138:AP139" si="214">AO138</f>
        <v>4.5756152366459357E-2</v>
      </c>
    </row>
    <row r="139" spans="10:42" hidden="1" x14ac:dyDescent="0.25">
      <c r="J139" s="864" t="s">
        <v>676</v>
      </c>
      <c r="K139" s="864" t="s">
        <v>680</v>
      </c>
      <c r="M139" s="941">
        <v>7</v>
      </c>
      <c r="N139" s="874">
        <v>2000</v>
      </c>
      <c r="O139" s="874">
        <v>0.28999999999999998</v>
      </c>
      <c r="P139" s="882">
        <v>0.19</v>
      </c>
      <c r="Q139" s="871">
        <v>0.6</v>
      </c>
      <c r="R139" s="939">
        <f t="shared" si="199"/>
        <v>2000.29</v>
      </c>
      <c r="S139" s="871">
        <f>Q139</f>
        <v>0.6</v>
      </c>
      <c r="T139" s="871"/>
      <c r="U139" s="894">
        <f>N139+S139</f>
        <v>2000.6</v>
      </c>
      <c r="V139" s="894"/>
      <c r="W139" s="894">
        <f>N139-S139</f>
        <v>1999.4</v>
      </c>
      <c r="X139" s="894">
        <f>R139</f>
        <v>2000.29</v>
      </c>
      <c r="Y139" s="882">
        <f>P139</f>
        <v>0.19</v>
      </c>
      <c r="Z139" s="871">
        <f t="shared" si="200"/>
        <v>9.5959595959595967E-2</v>
      </c>
      <c r="AA139" s="871">
        <v>1.98</v>
      </c>
      <c r="AB139" s="879">
        <f t="shared" si="201"/>
        <v>0.99938218735419948</v>
      </c>
      <c r="AC139" s="879">
        <f t="shared" si="202"/>
        <v>8.9029018640976855E-21</v>
      </c>
      <c r="AD139" s="879">
        <f t="shared" si="203"/>
        <v>0.99938218735419948</v>
      </c>
      <c r="AE139" s="883">
        <f t="shared" si="204"/>
        <v>0.99938218735419948</v>
      </c>
      <c r="AF139" s="879">
        <f t="shared" si="205"/>
        <v>6.1781264580051953E-4</v>
      </c>
      <c r="AG139" s="884">
        <f t="shared" si="206"/>
        <v>6.1781264580051953E-4</v>
      </c>
      <c r="AI139" s="874">
        <f t="shared" si="207"/>
        <v>1.6315789473681339</v>
      </c>
      <c r="AJ139" s="879">
        <f t="shared" si="208"/>
        <v>0.94861589190481166</v>
      </c>
      <c r="AK139" s="874">
        <f t="shared" si="209"/>
        <v>-4.6842105263151197</v>
      </c>
      <c r="AL139" s="876">
        <f t="shared" si="210"/>
        <v>1.4052051822983285E-6</v>
      </c>
      <c r="AM139" s="882">
        <f t="shared" si="211"/>
        <v>0.94861448669962933</v>
      </c>
      <c r="AN139" s="896">
        <f t="shared" si="212"/>
        <v>0.94861448669962933</v>
      </c>
      <c r="AO139" s="879">
        <f t="shared" si="213"/>
        <v>5.1385513300370667E-2</v>
      </c>
      <c r="AP139" s="897">
        <f t="shared" si="214"/>
        <v>5.1385513300370667E-2</v>
      </c>
    </row>
    <row r="140" spans="10:42" hidden="1" x14ac:dyDescent="0.25">
      <c r="M140" s="942"/>
      <c r="AG140" s="915"/>
      <c r="AP140" s="915"/>
    </row>
    <row r="141" spans="10:42" hidden="1" x14ac:dyDescent="0.25">
      <c r="M141" s="942"/>
      <c r="AG141" s="915"/>
      <c r="AP141" s="915"/>
    </row>
    <row r="142" spans="10:42" hidden="1" x14ac:dyDescent="0.25">
      <c r="M142" s="942"/>
      <c r="N142" s="933"/>
      <c r="O142" s="902"/>
      <c r="P142" s="903"/>
      <c r="Q142" s="904"/>
      <c r="R142" s="864" t="s">
        <v>667</v>
      </c>
      <c r="AG142" s="915"/>
      <c r="AP142" s="915"/>
    </row>
    <row r="143" spans="10:42" hidden="1" x14ac:dyDescent="0.25">
      <c r="M143" s="942"/>
      <c r="N143" s="936" t="s">
        <v>660</v>
      </c>
      <c r="O143" s="912" t="s">
        <v>304</v>
      </c>
      <c r="P143" s="912" t="s">
        <v>652</v>
      </c>
      <c r="Q143" s="912" t="s">
        <v>647</v>
      </c>
      <c r="AG143" s="915"/>
      <c r="AM143" s="1542" t="s">
        <v>645</v>
      </c>
      <c r="AN143" s="1542"/>
      <c r="AO143" s="1543" t="s">
        <v>645</v>
      </c>
      <c r="AP143" s="1543"/>
    </row>
    <row r="144" spans="10:42" hidden="1" x14ac:dyDescent="0.25">
      <c r="M144" s="942"/>
      <c r="N144" s="871" t="str">
        <f>N136</f>
        <v>mL</v>
      </c>
      <c r="O144" s="871" t="str">
        <f t="shared" ref="O144:Q145" si="215">O136</f>
        <v>mL</v>
      </c>
      <c r="P144" s="871" t="str">
        <f t="shared" si="215"/>
        <v>mL</v>
      </c>
      <c r="Q144" s="871" t="str">
        <f t="shared" si="215"/>
        <v>mL</v>
      </c>
      <c r="R144" s="890" t="s">
        <v>666</v>
      </c>
      <c r="S144" s="873" t="s">
        <v>647</v>
      </c>
      <c r="T144" s="873"/>
      <c r="U144" s="871" t="s">
        <v>669</v>
      </c>
      <c r="V144" s="871"/>
      <c r="W144" s="871" t="s">
        <v>670</v>
      </c>
      <c r="X144" s="871" t="s">
        <v>650</v>
      </c>
      <c r="Y144" s="873" t="s">
        <v>652</v>
      </c>
      <c r="Z144" s="871" t="s">
        <v>662</v>
      </c>
      <c r="AA144" s="871" t="s">
        <v>653</v>
      </c>
      <c r="AB144" s="879" t="s">
        <v>654</v>
      </c>
      <c r="AC144" s="879" t="s">
        <v>655</v>
      </c>
      <c r="AD144" s="1542" t="s">
        <v>645</v>
      </c>
      <c r="AE144" s="1542"/>
      <c r="AF144" s="1544" t="s">
        <v>645</v>
      </c>
      <c r="AG144" s="1544"/>
      <c r="AI144" s="871" t="s">
        <v>656</v>
      </c>
      <c r="AJ144" s="874" t="str">
        <f>CONCATENATE("ɸ(",ROUND(AI145,2)," ) ")</f>
        <v xml:space="preserve">ɸ(2,12 ) </v>
      </c>
      <c r="AK144" s="871" t="s">
        <v>657</v>
      </c>
      <c r="AL144" s="875" t="str">
        <f>CONCATENATE("ɸ(",ROUND(AK145,2)," ) ")</f>
        <v xml:space="preserve">ɸ(-2,12 ) </v>
      </c>
      <c r="AM144" s="891" t="str">
        <f>CONCATENATE("ɸ(",ROUND(AI145,2)," ) - ","ɸ(",ROUND(AK145,2)," ) ")</f>
        <v xml:space="preserve">ɸ(2,12 ) - ɸ(-2,12 ) </v>
      </c>
      <c r="AN144" s="892"/>
      <c r="AO144" s="871"/>
      <c r="AP144" s="878"/>
    </row>
    <row r="145" spans="10:42" hidden="1" x14ac:dyDescent="0.25">
      <c r="J145" s="864" t="str">
        <f>J137</f>
        <v>MATRAZ 100 ml</v>
      </c>
      <c r="K145" s="864" t="str">
        <f>K137</f>
        <v>TVO318-24A</v>
      </c>
      <c r="M145" s="938">
        <f>M137</f>
        <v>5</v>
      </c>
      <c r="N145" s="874">
        <f>N137</f>
        <v>100</v>
      </c>
      <c r="O145" s="874">
        <f t="shared" si="215"/>
        <v>-2.1000000000000001E-2</v>
      </c>
      <c r="P145" s="874">
        <f t="shared" si="215"/>
        <v>3.2000000000000001E-2</v>
      </c>
      <c r="Q145" s="874">
        <f t="shared" si="215"/>
        <v>0.1</v>
      </c>
      <c r="R145" s="939">
        <f>N145+O145</f>
        <v>99.978999999999999</v>
      </c>
      <c r="S145" s="871">
        <f>Q145</f>
        <v>0.1</v>
      </c>
      <c r="T145" s="871"/>
      <c r="U145" s="894">
        <f>R145+S145-P145</f>
        <v>100.047</v>
      </c>
      <c r="V145" s="894"/>
      <c r="W145" s="894">
        <f>R145-S145+P145</f>
        <v>99.911000000000001</v>
      </c>
      <c r="X145" s="894">
        <f>R145</f>
        <v>99.978999999999999</v>
      </c>
      <c r="Y145" s="882">
        <f>P145</f>
        <v>3.2000000000000001E-2</v>
      </c>
      <c r="Z145" s="871">
        <f>Y145/AA145</f>
        <v>1.6161616161616162E-2</v>
      </c>
      <c r="AA145" s="871">
        <v>1.98</v>
      </c>
      <c r="AB145" s="879">
        <f>_xlfn.NORM.DIST(U145,X145,Z145,1)</f>
        <v>0.99998708942983039</v>
      </c>
      <c r="AC145" s="879">
        <f>_xlfn.NORM.DIST(W145,X145,Z145,1)</f>
        <v>1.2910570169622008E-5</v>
      </c>
      <c r="AD145" s="879">
        <f>AB145-AC145</f>
        <v>0.99997417885966078</v>
      </c>
      <c r="AE145" s="884">
        <f>AD145</f>
        <v>0.99997417885966078</v>
      </c>
      <c r="AF145" s="879">
        <f>1-AD145</f>
        <v>2.5821140339221671E-5</v>
      </c>
      <c r="AG145" s="943">
        <f>AF145</f>
        <v>2.5821140339221671E-5</v>
      </c>
      <c r="AI145" s="874">
        <f>(U145-X145)/Y145</f>
        <v>2.1249999999999325</v>
      </c>
      <c r="AJ145" s="879">
        <f>_xlfn.NORM.S.DIST(AI145,1)</f>
        <v>0.98320669355154844</v>
      </c>
      <c r="AK145" s="874">
        <f>(W145-X145)/Y145</f>
        <v>-2.1249999999999325</v>
      </c>
      <c r="AL145" s="876">
        <f>_xlfn.NORM.S.DIST(AK145,1)</f>
        <v>1.6793306448451614E-2</v>
      </c>
      <c r="AM145" s="882">
        <f>AJ145-AL145</f>
        <v>0.96641338710309688</v>
      </c>
      <c r="AN145" s="896">
        <f>AM145</f>
        <v>0.96641338710309688</v>
      </c>
      <c r="AO145" s="879">
        <f>1-AM145</f>
        <v>3.3586612896903123E-2</v>
      </c>
      <c r="AP145" s="897">
        <f>AO145</f>
        <v>3.3586612896903123E-2</v>
      </c>
    </row>
    <row r="146" spans="10:42" hidden="1" x14ac:dyDescent="0.25">
      <c r="J146" s="864" t="str">
        <f t="shared" ref="J146:J147" si="216">J138</f>
        <v>MATRAZ 2000 ml</v>
      </c>
      <c r="K146" s="864" t="str">
        <f>K138</f>
        <v>TVO467-24A</v>
      </c>
      <c r="M146" s="940">
        <f t="shared" ref="M146:Q147" si="217">M138</f>
        <v>6</v>
      </c>
      <c r="N146" s="874">
        <f t="shared" si="217"/>
        <v>100</v>
      </c>
      <c r="O146" s="874">
        <f t="shared" si="217"/>
        <v>-4.5999999999999999E-2</v>
      </c>
      <c r="P146" s="874">
        <f t="shared" si="217"/>
        <v>3.2000000000000001E-2</v>
      </c>
      <c r="Q146" s="874">
        <f t="shared" si="217"/>
        <v>0.1</v>
      </c>
      <c r="R146" s="939">
        <f t="shared" ref="R146:R147" si="218">N146+O146</f>
        <v>99.953999999999994</v>
      </c>
      <c r="S146" s="871">
        <f>Q146</f>
        <v>0.1</v>
      </c>
      <c r="T146" s="871"/>
      <c r="U146" s="894">
        <f>R146+S146-P146</f>
        <v>100.02199999999999</v>
      </c>
      <c r="V146" s="894"/>
      <c r="W146" s="894">
        <f>R146-S146+P146</f>
        <v>99.885999999999996</v>
      </c>
      <c r="X146" s="894">
        <f>R146</f>
        <v>99.953999999999994</v>
      </c>
      <c r="Y146" s="882">
        <f>P146</f>
        <v>3.2000000000000001E-2</v>
      </c>
      <c r="Z146" s="871">
        <f t="shared" ref="Z146:Z147" si="219">Y146/AA146</f>
        <v>1.6161616161616162E-2</v>
      </c>
      <c r="AA146" s="871">
        <v>1.98</v>
      </c>
      <c r="AB146" s="879">
        <f t="shared" ref="AB146:AB147" si="220">_xlfn.NORM.DIST(U146,X146,Z146,1)</f>
        <v>0.99998708942983039</v>
      </c>
      <c r="AC146" s="879">
        <f t="shared" ref="AC146:AC147" si="221">_xlfn.NORM.DIST(W146,X146,Z146,1)</f>
        <v>1.2910570169622008E-5</v>
      </c>
      <c r="AD146" s="879">
        <f t="shared" ref="AD146:AD147" si="222">AB146-AC146</f>
        <v>0.99997417885966078</v>
      </c>
      <c r="AE146" s="884">
        <f t="shared" ref="AE146:AE147" si="223">AD146</f>
        <v>0.99997417885966078</v>
      </c>
      <c r="AF146" s="879">
        <f t="shared" ref="AF146:AF147" si="224">1-AD146</f>
        <v>2.5821140339221671E-5</v>
      </c>
      <c r="AG146" s="943">
        <f t="shared" ref="AG146:AG147" si="225">AF146</f>
        <v>2.5821140339221671E-5</v>
      </c>
      <c r="AI146" s="874">
        <f t="shared" ref="AI146:AI147" si="226">(U146-X146)/Y146</f>
        <v>2.1249999999999325</v>
      </c>
      <c r="AJ146" s="879">
        <f t="shared" ref="AJ146:AJ147" si="227">_xlfn.NORM.S.DIST(AI146,1)</f>
        <v>0.98320669355154844</v>
      </c>
      <c r="AK146" s="874">
        <f t="shared" ref="AK146:AK147" si="228">(W146-X146)/Y146</f>
        <v>-2.1249999999999325</v>
      </c>
      <c r="AL146" s="876">
        <f t="shared" ref="AL146:AL147" si="229">_xlfn.NORM.S.DIST(AK146,1)</f>
        <v>1.6793306448451614E-2</v>
      </c>
      <c r="AM146" s="882">
        <f t="shared" ref="AM146:AM147" si="230">AJ146-AL146</f>
        <v>0.96641338710309688</v>
      </c>
      <c r="AN146" s="896">
        <f t="shared" ref="AN146:AN147" si="231">AM146</f>
        <v>0.96641338710309688</v>
      </c>
      <c r="AO146" s="879">
        <f t="shared" ref="AO146:AO147" si="232">1-AM146</f>
        <v>3.3586612896903123E-2</v>
      </c>
      <c r="AP146" s="897">
        <f t="shared" ref="AP146:AP147" si="233">AO146</f>
        <v>3.3586612896903123E-2</v>
      </c>
    </row>
    <row r="147" spans="10:42" hidden="1" x14ac:dyDescent="0.25">
      <c r="J147" s="864" t="str">
        <f t="shared" si="216"/>
        <v>MATRAZ 100 ml</v>
      </c>
      <c r="K147" s="864" t="str">
        <f>K139</f>
        <v>TVO430-24A</v>
      </c>
      <c r="M147" s="944">
        <f t="shared" si="217"/>
        <v>7</v>
      </c>
      <c r="N147" s="874">
        <f t="shared" si="217"/>
        <v>2000</v>
      </c>
      <c r="O147" s="874">
        <f t="shared" si="217"/>
        <v>0.28999999999999998</v>
      </c>
      <c r="P147" s="874">
        <f t="shared" si="217"/>
        <v>0.19</v>
      </c>
      <c r="Q147" s="874">
        <f t="shared" si="217"/>
        <v>0.6</v>
      </c>
      <c r="R147" s="939">
        <f t="shared" si="218"/>
        <v>2000.29</v>
      </c>
      <c r="S147" s="871">
        <f>Q147</f>
        <v>0.6</v>
      </c>
      <c r="T147" s="871"/>
      <c r="U147" s="894">
        <f>R147+S147-P147</f>
        <v>2000.6999999999998</v>
      </c>
      <c r="V147" s="894"/>
      <c r="W147" s="894">
        <f>R147-S147+P147</f>
        <v>1999.88</v>
      </c>
      <c r="X147" s="894">
        <f>R147</f>
        <v>2000.29</v>
      </c>
      <c r="Y147" s="882">
        <f>P147</f>
        <v>0.19</v>
      </c>
      <c r="Z147" s="871">
        <f t="shared" si="219"/>
        <v>9.5959595959595967E-2</v>
      </c>
      <c r="AA147" s="871">
        <v>1.98</v>
      </c>
      <c r="AB147" s="879">
        <f t="shared" si="220"/>
        <v>0.99999034102544582</v>
      </c>
      <c r="AC147" s="879">
        <f t="shared" si="221"/>
        <v>9.6589745541721789E-6</v>
      </c>
      <c r="AD147" s="879">
        <f t="shared" si="222"/>
        <v>0.99998068205089163</v>
      </c>
      <c r="AE147" s="883">
        <f t="shared" si="223"/>
        <v>0.99998068205089163</v>
      </c>
      <c r="AF147" s="879">
        <f t="shared" si="224"/>
        <v>1.931794910836615E-5</v>
      </c>
      <c r="AG147" s="943">
        <f t="shared" si="225"/>
        <v>1.931794910836615E-5</v>
      </c>
      <c r="AH147" s="918"/>
      <c r="AI147" s="874">
        <f t="shared" si="226"/>
        <v>2.1578947368413393</v>
      </c>
      <c r="AJ147" s="879">
        <f t="shared" si="227"/>
        <v>0.98453199159882954</v>
      </c>
      <c r="AK147" s="874">
        <f t="shared" si="228"/>
        <v>-2.1578947368413393</v>
      </c>
      <c r="AL147" s="876">
        <f t="shared" si="229"/>
        <v>1.5468008401170512E-2</v>
      </c>
      <c r="AM147" s="882">
        <f t="shared" si="230"/>
        <v>0.96906398319765907</v>
      </c>
      <c r="AN147" s="896">
        <f t="shared" si="231"/>
        <v>0.96906398319765907</v>
      </c>
      <c r="AO147" s="879">
        <f t="shared" si="232"/>
        <v>3.0936016802340927E-2</v>
      </c>
      <c r="AP147" s="897">
        <f t="shared" si="233"/>
        <v>3.0936016802340927E-2</v>
      </c>
    </row>
  </sheetData>
  <sheetProtection algorithmName="SHA-512" hashValue="+xExO0ep3YKB+KPLyccV+Cd9D1DZYyTpv/YygxMLdppTA6s5ODjw7RhiBlcwtyIQiPQQLLLVJHLOfasV/QUkZA==" saltValue="DNg1Mc5IGYJZENptbB7SXQ==" spinCount="100000" sheet="1" objects="1" scenarios="1"/>
  <mergeCells count="64">
    <mergeCell ref="AF42:AG42"/>
    <mergeCell ref="AH42:AI42"/>
    <mergeCell ref="W43:X43"/>
    <mergeCell ref="Y43:Z43"/>
    <mergeCell ref="AF43:AG43"/>
    <mergeCell ref="AH43:AI43"/>
    <mergeCell ref="W46:X46"/>
    <mergeCell ref="Y46:Z46"/>
    <mergeCell ref="AM55:AN55"/>
    <mergeCell ref="AO55:AP55"/>
    <mergeCell ref="AD56:AE56"/>
    <mergeCell ref="AF56:AG56"/>
    <mergeCell ref="M70:M83"/>
    <mergeCell ref="AM71:AN71"/>
    <mergeCell ref="AO71:AP71"/>
    <mergeCell ref="AD72:AE72"/>
    <mergeCell ref="AF72:AG72"/>
    <mergeCell ref="AM79:AN79"/>
    <mergeCell ref="AO79:AP79"/>
    <mergeCell ref="AD80:AE80"/>
    <mergeCell ref="AF80:AG80"/>
    <mergeCell ref="M86:M99"/>
    <mergeCell ref="AM87:AN87"/>
    <mergeCell ref="AO87:AP87"/>
    <mergeCell ref="AD88:AE88"/>
    <mergeCell ref="AF88:AG88"/>
    <mergeCell ref="AM95:AN95"/>
    <mergeCell ref="AO95:AP95"/>
    <mergeCell ref="AD96:AE96"/>
    <mergeCell ref="AF96:AG96"/>
    <mergeCell ref="M102:M115"/>
    <mergeCell ref="AM103:AN103"/>
    <mergeCell ref="AO103:AP103"/>
    <mergeCell ref="AD104:AE104"/>
    <mergeCell ref="AF104:AG104"/>
    <mergeCell ref="AM111:AN111"/>
    <mergeCell ref="AO111:AP111"/>
    <mergeCell ref="AD112:AE112"/>
    <mergeCell ref="AF112:AG112"/>
    <mergeCell ref="M118:M131"/>
    <mergeCell ref="AM119:AN119"/>
    <mergeCell ref="AO119:AP119"/>
    <mergeCell ref="AD120:AE120"/>
    <mergeCell ref="AF120:AG120"/>
    <mergeCell ref="AM127:AN127"/>
    <mergeCell ref="AO127:AP127"/>
    <mergeCell ref="AD128:AE128"/>
    <mergeCell ref="AF128:AG128"/>
    <mergeCell ref="AD144:AE144"/>
    <mergeCell ref="AF144:AG144"/>
    <mergeCell ref="AM135:AN135"/>
    <mergeCell ref="AO135:AP135"/>
    <mergeCell ref="AD136:AE136"/>
    <mergeCell ref="AF136:AG136"/>
    <mergeCell ref="AM143:AN143"/>
    <mergeCell ref="AO143:AP143"/>
    <mergeCell ref="AV87:AW87"/>
    <mergeCell ref="AX87:AY87"/>
    <mergeCell ref="AV95:AW95"/>
    <mergeCell ref="AX95:AY95"/>
    <mergeCell ref="AV71:AW71"/>
    <mergeCell ref="AX71:AY71"/>
    <mergeCell ref="AV79:AW79"/>
    <mergeCell ref="AX79:AY79"/>
  </mergeCells>
  <hyperlinks>
    <hyperlink ref="X3" r:id="rId1" xr:uid="{00000000-0004-0000-0300-000000000000}"/>
  </hyperlinks>
  <pageMargins left="0.7" right="0.7" top="0.75" bottom="0.75" header="0.3" footer="0.3"/>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331"/>
  <sheetViews>
    <sheetView showGridLines="0" view="pageBreakPreview" zoomScale="90" zoomScaleNormal="70" zoomScaleSheetLayoutView="90" workbookViewId="0">
      <selection activeCell="A7" sqref="A7:P7"/>
    </sheetView>
  </sheetViews>
  <sheetFormatPr baseColWidth="10" defaultRowHeight="12.75" x14ac:dyDescent="0.2"/>
  <cols>
    <col min="3" max="3" width="26" customWidth="1"/>
    <col min="4" max="4" width="34.42578125" customWidth="1"/>
    <col min="5" max="5" width="14.42578125" customWidth="1"/>
    <col min="7" max="7" width="12.42578125" bestFit="1" customWidth="1"/>
    <col min="8" max="8" width="15.85546875" customWidth="1"/>
    <col min="9" max="9" width="18.140625" customWidth="1"/>
    <col min="10" max="10" width="3" customWidth="1"/>
    <col min="12" max="12" width="15.5703125" bestFit="1" customWidth="1"/>
    <col min="13" max="13" width="14" customWidth="1"/>
    <col min="14" max="14" width="12.42578125" customWidth="1"/>
    <col min="15" max="15" width="11.5703125" bestFit="1" customWidth="1"/>
    <col min="16" max="16" width="17.5703125" customWidth="1"/>
    <col min="17" max="17" width="19.42578125" customWidth="1"/>
    <col min="18" max="18" width="14.5703125" customWidth="1"/>
    <col min="19" max="19" width="13.28515625" customWidth="1"/>
    <col min="20" max="20" width="11.42578125" customWidth="1"/>
    <col min="21" max="21" width="24.42578125" customWidth="1"/>
    <col min="40" max="40" width="11.42578125" customWidth="1"/>
  </cols>
  <sheetData>
    <row r="1" spans="1:24" s="475" customFormat="1" ht="27" customHeight="1" x14ac:dyDescent="0.35">
      <c r="A1" s="1584" t="s">
        <v>771</v>
      </c>
      <c r="B1" s="1584"/>
      <c r="C1" s="1584"/>
      <c r="D1" s="1584"/>
      <c r="E1" s="1584"/>
      <c r="F1" s="1584"/>
      <c r="G1" s="1584"/>
      <c r="H1" s="1584"/>
      <c r="I1" s="1584"/>
      <c r="J1" s="1584"/>
      <c r="K1" s="1584"/>
      <c r="L1" s="1584"/>
      <c r="M1" s="1584"/>
      <c r="N1" s="1584"/>
      <c r="O1" s="1584"/>
      <c r="P1" s="1584"/>
      <c r="Q1" s="1585"/>
      <c r="R1" s="1586"/>
      <c r="S1" s="1586"/>
      <c r="T1" s="1586"/>
      <c r="U1" s="1586"/>
      <c r="V1" s="1586"/>
      <c r="W1" s="1586"/>
      <c r="X1" s="1587"/>
    </row>
    <row r="2" spans="1:24" s="475" customFormat="1" ht="19.5" customHeight="1" x14ac:dyDescent="0.35">
      <c r="A2" s="1072"/>
      <c r="B2" s="1072"/>
      <c r="C2" s="1072"/>
      <c r="D2" s="1560" t="s">
        <v>772</v>
      </c>
      <c r="E2" s="1560"/>
      <c r="F2" s="1560"/>
      <c r="G2" s="1560"/>
      <c r="H2" s="1560"/>
      <c r="I2" s="1560"/>
      <c r="J2" s="1560"/>
      <c r="K2" s="1560"/>
      <c r="L2" s="1560"/>
      <c r="M2" s="1560"/>
      <c r="N2" s="1560"/>
      <c r="O2" s="1560"/>
      <c r="P2" s="1560"/>
      <c r="Q2" s="1588"/>
      <c r="R2" s="1589"/>
      <c r="S2" s="1589"/>
      <c r="T2" s="1589"/>
      <c r="U2" s="1589"/>
      <c r="V2" s="1589"/>
      <c r="W2" s="1589"/>
      <c r="X2" s="1590"/>
    </row>
    <row r="3" spans="1:24" s="475" customFormat="1" ht="19.5" customHeight="1" x14ac:dyDescent="0.35">
      <c r="A3" s="1073"/>
      <c r="B3" s="1073"/>
      <c r="C3" s="1073"/>
      <c r="D3" s="1073"/>
      <c r="E3" s="1073"/>
      <c r="F3" s="1074"/>
      <c r="G3" s="1074"/>
      <c r="H3" s="1073"/>
      <c r="I3" s="1073"/>
      <c r="J3" s="1075"/>
      <c r="K3" s="1075"/>
      <c r="L3" s="1075"/>
      <c r="M3" s="1075"/>
      <c r="N3" s="1075"/>
      <c r="O3" s="1075"/>
      <c r="P3" s="1075"/>
      <c r="Q3" s="1588"/>
      <c r="R3" s="1589"/>
      <c r="S3" s="1589"/>
      <c r="T3" s="1589"/>
      <c r="U3" s="1589"/>
      <c r="V3" s="1589"/>
      <c r="W3" s="1589"/>
      <c r="X3" s="1590"/>
    </row>
    <row r="4" spans="1:24" s="475" customFormat="1" ht="19.5" customHeight="1" x14ac:dyDescent="0.35">
      <c r="A4" s="1561" t="s">
        <v>773</v>
      </c>
      <c r="B4" s="1561"/>
      <c r="C4" s="1561"/>
      <c r="D4" s="1561"/>
      <c r="E4" s="1561"/>
      <c r="F4" s="1561"/>
      <c r="G4" s="1561"/>
      <c r="H4" s="1561"/>
      <c r="I4" s="1561"/>
      <c r="J4" s="1561"/>
      <c r="K4" s="1561"/>
      <c r="L4" s="1561"/>
      <c r="M4" s="1561"/>
      <c r="N4" s="1561"/>
      <c r="O4" s="1561"/>
      <c r="P4" s="1562"/>
      <c r="Q4" s="1591"/>
      <c r="R4" s="1592"/>
      <c r="S4" s="1592"/>
      <c r="T4" s="1592"/>
      <c r="U4" s="1592"/>
      <c r="V4" s="1592"/>
      <c r="W4" s="1592"/>
      <c r="X4" s="1593"/>
    </row>
    <row r="5" spans="1:24" s="475" customFormat="1" ht="21" x14ac:dyDescent="0.35"/>
    <row r="6" spans="1:24" s="475" customFormat="1" ht="21" x14ac:dyDescent="0.35">
      <c r="A6" s="1580" t="str">
        <f>CONCATENATE("PRESUPUESTO PARA ",'Certificado de calibración'!A1," ",'Certificado de calibración'!D2," v",'Certificado de calibración'!K2)</f>
        <v>PRESUPUESTO PARA CALIBRACIÓN DE EQUIPOS VOLUMÉTRICOS ACCIONADOS POR PISTON, LC-FR-60 V13  v</v>
      </c>
      <c r="B6" s="1580"/>
      <c r="C6" s="1580"/>
      <c r="D6" s="1580"/>
      <c r="E6" s="1580"/>
      <c r="F6" s="1580"/>
      <c r="G6" s="1580"/>
      <c r="H6" s="1580"/>
      <c r="I6" s="1580"/>
      <c r="J6" s="1580"/>
      <c r="K6" s="1580"/>
      <c r="L6" s="1580"/>
      <c r="M6" s="1580"/>
      <c r="N6" s="1580"/>
      <c r="O6" s="1580"/>
      <c r="P6" s="1580"/>
    </row>
    <row r="7" spans="1:24" ht="32.25" customHeight="1" x14ac:dyDescent="0.2">
      <c r="A7" s="1581" t="s">
        <v>183</v>
      </c>
      <c r="B7" s="1581"/>
      <c r="C7" s="1581"/>
      <c r="D7" s="1581"/>
      <c r="E7" s="1581"/>
      <c r="F7" s="1581"/>
      <c r="G7" s="1581"/>
      <c r="H7" s="1581"/>
      <c r="I7" s="1581"/>
      <c r="J7" s="1581"/>
      <c r="K7" s="1581"/>
      <c r="L7" s="1581"/>
      <c r="M7" s="1581"/>
      <c r="N7" s="1581"/>
      <c r="O7" s="1581"/>
      <c r="P7" s="1581"/>
    </row>
    <row r="8" spans="1:24" ht="57.75" customHeight="1" thickBot="1" x14ac:dyDescent="0.25">
      <c r="A8" s="202" t="s">
        <v>184</v>
      </c>
      <c r="B8" s="1572" t="s">
        <v>381</v>
      </c>
      <c r="C8" s="1572"/>
      <c r="D8" s="203" t="s">
        <v>195</v>
      </c>
      <c r="E8" s="204" t="s">
        <v>185</v>
      </c>
      <c r="F8" s="204" t="s">
        <v>22</v>
      </c>
      <c r="G8" s="204" t="s">
        <v>187</v>
      </c>
      <c r="H8" s="203" t="s">
        <v>188</v>
      </c>
      <c r="I8" s="1572" t="s">
        <v>340</v>
      </c>
      <c r="J8" s="1572"/>
      <c r="K8" s="1572" t="s">
        <v>339</v>
      </c>
      <c r="L8" s="1572"/>
      <c r="M8" s="203" t="s">
        <v>193</v>
      </c>
      <c r="N8" s="203" t="s">
        <v>191</v>
      </c>
      <c r="O8" s="203" t="s">
        <v>192</v>
      </c>
      <c r="P8" s="203" t="s">
        <v>194</v>
      </c>
      <c r="Q8" s="402">
        <v>1</v>
      </c>
      <c r="R8" s="1573" t="s">
        <v>312</v>
      </c>
      <c r="S8" s="1574"/>
      <c r="U8" s="579">
        <v>1</v>
      </c>
    </row>
    <row r="9" spans="1:24" x14ac:dyDescent="0.2">
      <c r="A9" s="315">
        <v>0</v>
      </c>
      <c r="B9" s="592" t="s">
        <v>196</v>
      </c>
      <c r="C9" s="592"/>
      <c r="D9" s="580">
        <f>'DATOS GENERALES'!F68</f>
        <v>100</v>
      </c>
      <c r="E9" s="316"/>
      <c r="F9" s="316"/>
      <c r="G9" s="316"/>
      <c r="H9" s="316"/>
      <c r="I9" s="316"/>
      <c r="J9" s="316"/>
      <c r="K9" s="316"/>
      <c r="L9" s="316"/>
      <c r="M9" s="316"/>
      <c r="N9" s="316"/>
      <c r="O9" s="316"/>
      <c r="P9" s="317"/>
      <c r="Q9" s="1"/>
      <c r="R9" s="90" t="s">
        <v>163</v>
      </c>
      <c r="S9" s="1014">
        <f>3.4847858/10</f>
        <v>0.34847857999999998</v>
      </c>
    </row>
    <row r="10" spans="1:24" x14ac:dyDescent="0.2">
      <c r="A10" s="219">
        <v>1</v>
      </c>
      <c r="B10" s="593" t="s">
        <v>197</v>
      </c>
      <c r="C10" s="593"/>
      <c r="D10" s="862">
        <f>'DATOS CORRECCIONES EQUIPOS EMPL'!BB26</f>
        <v>0.10281222545637156</v>
      </c>
      <c r="E10" s="232"/>
      <c r="F10" s="232"/>
      <c r="G10" s="232"/>
      <c r="H10" s="232"/>
      <c r="I10" s="232"/>
      <c r="J10" s="232"/>
      <c r="K10" s="232"/>
      <c r="L10" s="232"/>
      <c r="M10" s="232"/>
      <c r="N10" s="232"/>
      <c r="O10" s="232"/>
      <c r="P10" s="318"/>
      <c r="Q10" s="120"/>
      <c r="R10" s="90" t="s">
        <v>85</v>
      </c>
      <c r="S10" s="1015">
        <f>9.1748/1000</f>
        <v>9.1747999999999986E-3</v>
      </c>
      <c r="U10" s="308"/>
    </row>
    <row r="11" spans="1:24" x14ac:dyDescent="0.2">
      <c r="A11" s="98" t="s">
        <v>200</v>
      </c>
      <c r="B11" s="1"/>
      <c r="C11" s="278" t="s">
        <v>198</v>
      </c>
      <c r="D11" s="821">
        <f>AVERAGE('DATOS CORRECCIONES EQUIPOS EMPL'!C14:C23)</f>
        <v>25.783284680043788</v>
      </c>
      <c r="E11" s="1"/>
      <c r="F11" s="102"/>
      <c r="G11" s="1"/>
      <c r="H11" s="102"/>
      <c r="I11" s="1"/>
      <c r="J11" s="1"/>
      <c r="K11" s="104"/>
      <c r="L11" s="1"/>
      <c r="M11" s="1"/>
      <c r="N11" s="1"/>
      <c r="O11" s="1"/>
      <c r="P11" s="319"/>
      <c r="Q11" s="53"/>
      <c r="R11" s="90" t="s">
        <v>86</v>
      </c>
      <c r="S11" s="1015">
        <f>6.2492/100</f>
        <v>6.2491999999999999E-2</v>
      </c>
    </row>
    <row r="12" spans="1:24" x14ac:dyDescent="0.2">
      <c r="A12" s="219"/>
      <c r="B12" s="232"/>
      <c r="C12" s="211" t="s">
        <v>182</v>
      </c>
      <c r="D12" s="232"/>
      <c r="E12" s="232" t="s">
        <v>65</v>
      </c>
      <c r="F12" s="213" t="s">
        <v>67</v>
      </c>
      <c r="G12" s="232">
        <f>'Chequeo Balanza '!$F$12</f>
        <v>1.0000000000000001E-5</v>
      </c>
      <c r="H12" s="213" t="s">
        <v>228</v>
      </c>
      <c r="I12" s="320">
        <f>G12/SQRT(12)</f>
        <v>2.8867513459481293E-6</v>
      </c>
      <c r="J12" s="232"/>
      <c r="K12" s="213" t="s">
        <v>228</v>
      </c>
      <c r="L12" s="441">
        <f>+('DATOS GENERALES'!$Q$80/1000)/(D11-D13)</f>
        <v>1.0025431484402456</v>
      </c>
      <c r="M12" s="283">
        <f>I12*L12</f>
        <v>2.8940927831309544E-6</v>
      </c>
      <c r="N12" s="234">
        <f>M12^2</f>
        <v>8.3757730373706732E-12</v>
      </c>
      <c r="O12" s="232">
        <v>100</v>
      </c>
      <c r="P12" s="321">
        <f>N12^2/O12</f>
        <v>7.0153573973545557E-25</v>
      </c>
      <c r="Q12" s="307" t="s">
        <v>629</v>
      </c>
      <c r="R12" s="90" t="s">
        <v>88</v>
      </c>
      <c r="S12" s="1016">
        <f>- 5.23/100000</f>
        <v>-5.2300000000000004E-5</v>
      </c>
      <c r="U12" s="57"/>
    </row>
    <row r="13" spans="1:24" x14ac:dyDescent="0.2">
      <c r="A13" s="98" t="s">
        <v>201</v>
      </c>
      <c r="B13" s="1"/>
      <c r="C13" s="1" t="s">
        <v>199</v>
      </c>
      <c r="D13" s="821">
        <f>AVERAGE('DATOS CORRECCIONES EQUIPOS EMPL'!A14:A23)</f>
        <v>25.680452609716742</v>
      </c>
      <c r="E13" s="1"/>
      <c r="F13" s="102"/>
      <c r="G13" s="1"/>
      <c r="H13" s="102"/>
      <c r="I13" s="1"/>
      <c r="J13" s="1"/>
      <c r="K13" s="102"/>
      <c r="L13" s="322"/>
      <c r="M13" s="1"/>
      <c r="N13" s="1"/>
      <c r="O13" s="1"/>
      <c r="P13" s="319"/>
      <c r="Q13" s="51" t="s">
        <v>630</v>
      </c>
      <c r="R13" s="90" t="s">
        <v>240</v>
      </c>
      <c r="S13" s="56">
        <v>273.14999999999998</v>
      </c>
      <c r="U13" s="57"/>
    </row>
    <row r="14" spans="1:24" ht="13.5" thickBot="1" x14ac:dyDescent="0.25">
      <c r="A14" s="219"/>
      <c r="B14" s="232"/>
      <c r="C14" s="211" t="s">
        <v>182</v>
      </c>
      <c r="D14" s="232"/>
      <c r="E14" s="232" t="s">
        <v>65</v>
      </c>
      <c r="F14" s="213" t="s">
        <v>67</v>
      </c>
      <c r="G14" s="311">
        <f>'Chequeo Balanza '!$F$13</f>
        <v>1.0000000000000001E-5</v>
      </c>
      <c r="H14" s="213" t="s">
        <v>228</v>
      </c>
      <c r="I14" s="234">
        <f>G14/SQRT(12)</f>
        <v>2.8867513459481293E-6</v>
      </c>
      <c r="J14" s="232"/>
      <c r="K14" s="213" t="s">
        <v>228</v>
      </c>
      <c r="L14" s="441">
        <f>+L12</f>
        <v>1.0025431484402456</v>
      </c>
      <c r="M14" s="283">
        <f>I14*L14</f>
        <v>2.8940927831309544E-6</v>
      </c>
      <c r="N14" s="234">
        <f>M14^2</f>
        <v>8.3757730373706732E-12</v>
      </c>
      <c r="O14" s="232">
        <v>100</v>
      </c>
      <c r="P14" s="321">
        <f>N14^2/O14</f>
        <v>7.0153573973545557E-25</v>
      </c>
      <c r="Q14" s="307"/>
      <c r="R14" s="90" t="s">
        <v>241</v>
      </c>
      <c r="S14" s="1015">
        <f>+S11*D25+S12*D33</f>
        <v>-4.7610997793841828E-2</v>
      </c>
      <c r="U14" s="57"/>
    </row>
    <row r="15" spans="1:24" ht="13.5" thickBot="1" x14ac:dyDescent="0.25">
      <c r="A15" s="834"/>
      <c r="B15" s="834"/>
      <c r="C15" s="835"/>
      <c r="D15" s="836"/>
      <c r="E15" s="835"/>
      <c r="F15" s="836"/>
      <c r="G15" s="837"/>
      <c r="H15" s="836"/>
      <c r="I15" s="838"/>
      <c r="J15" s="835"/>
      <c r="K15" s="839"/>
      <c r="L15" s="844"/>
      <c r="M15" s="840"/>
      <c r="N15" s="841"/>
      <c r="O15" s="842"/>
      <c r="P15" s="843"/>
      <c r="Q15" s="620"/>
      <c r="R15" s="90" t="s">
        <v>242</v>
      </c>
      <c r="S15" s="1017">
        <f>+EXP(S14)</f>
        <v>0.95350463034819055</v>
      </c>
      <c r="U15" s="57"/>
    </row>
    <row r="16" spans="1:24" x14ac:dyDescent="0.2">
      <c r="A16" s="219">
        <v>1.3</v>
      </c>
      <c r="B16" s="232"/>
      <c r="C16" s="211" t="s">
        <v>355</v>
      </c>
      <c r="D16" s="232"/>
      <c r="E16" s="232" t="s">
        <v>66</v>
      </c>
      <c r="F16" s="213" t="s">
        <v>67</v>
      </c>
      <c r="G16" s="232">
        <f>IF('Chequeo Balanza '!$N$5='Chequeo Balanza '!$L$6,VLOOKUP('Chequeo Balanza '!$K$12,'INCERTIDUMBRE DE LA MEDIDA'!$R$31:$T$42,3,TRUE),VLOOKUP('Chequeo Balanza '!$K$12,'INCERTIDUMBRE DE LA MEDIDA'!$R$20:$T$30,3,TRUE))</f>
        <v>5.3000000000000001E-5</v>
      </c>
      <c r="H16" s="213" t="s">
        <v>229</v>
      </c>
      <c r="I16" s="323">
        <f>G16/2</f>
        <v>2.65E-5</v>
      </c>
      <c r="J16" s="232"/>
      <c r="K16" s="215" t="s">
        <v>233</v>
      </c>
      <c r="L16" s="441">
        <f>+L12</f>
        <v>1.0025431484402456</v>
      </c>
      <c r="M16" s="323">
        <f>I16*L16</f>
        <v>2.656739343366651E-5</v>
      </c>
      <c r="N16" s="234">
        <f>M16^2</f>
        <v>7.0582639385922643E-10</v>
      </c>
      <c r="O16" s="232">
        <v>50</v>
      </c>
      <c r="P16" s="321">
        <f>N16^2/O16</f>
        <v>9.9638179653663968E-21</v>
      </c>
      <c r="Q16" s="50"/>
      <c r="R16" s="90" t="s">
        <v>243</v>
      </c>
      <c r="S16" s="1018">
        <f>273.15+D25</f>
        <v>273.14999999999998</v>
      </c>
      <c r="U16" s="57"/>
    </row>
    <row r="17" spans="1:21" x14ac:dyDescent="0.2">
      <c r="A17" s="219">
        <v>1.4</v>
      </c>
      <c r="B17" s="232"/>
      <c r="C17" s="211" t="s">
        <v>356</v>
      </c>
      <c r="D17" s="232"/>
      <c r="E17" s="232" t="s">
        <v>66</v>
      </c>
      <c r="F17" s="213" t="s">
        <v>67</v>
      </c>
      <c r="G17" s="232">
        <f>IF('Chequeo Balanza '!$N$5='Chequeo Balanza '!$L$6,VLOOKUP('Chequeo Balanza '!$K$13,'INCERTIDUMBRE DE LA MEDIDA'!$R$31:$T$42,3,TRUE),VLOOKUP('Chequeo Balanza '!$K$13,'INCERTIDUMBRE DE LA MEDIDA'!$R$20:$T$30,3,TRUE))</f>
        <v>9.1000000000000003E-5</v>
      </c>
      <c r="H17" s="213" t="s">
        <v>229</v>
      </c>
      <c r="I17" s="323">
        <f>G17/2</f>
        <v>4.5500000000000001E-5</v>
      </c>
      <c r="J17" s="232"/>
      <c r="K17" s="215" t="s">
        <v>233</v>
      </c>
      <c r="L17" s="441">
        <f>+L12</f>
        <v>1.0025431484402456</v>
      </c>
      <c r="M17" s="323">
        <f>I17*L17</f>
        <v>4.5615713254031178E-5</v>
      </c>
      <c r="N17" s="234">
        <f>M17^2</f>
        <v>2.0807932956739956E-9</v>
      </c>
      <c r="O17" s="232">
        <v>50</v>
      </c>
      <c r="P17" s="321">
        <f>N17^2/O17</f>
        <v>8.6594014786436964E-20</v>
      </c>
      <c r="Q17" s="51"/>
      <c r="U17" s="57"/>
    </row>
    <row r="18" spans="1:21" ht="13.5" thickBot="1" x14ac:dyDescent="0.25">
      <c r="A18" s="219">
        <v>1.5</v>
      </c>
      <c r="B18" s="232"/>
      <c r="C18" s="211" t="s">
        <v>347</v>
      </c>
      <c r="D18" s="232"/>
      <c r="E18" s="232" t="s">
        <v>349</v>
      </c>
      <c r="F18" s="213" t="s">
        <v>67</v>
      </c>
      <c r="G18" s="232">
        <f>+'DATOS GENERALES'!$D$37</f>
        <v>2.0000000000000001E-4</v>
      </c>
      <c r="H18" s="213" t="s">
        <v>228</v>
      </c>
      <c r="I18" s="323">
        <f>G18/SQRT(12)</f>
        <v>5.7735026918962585E-5</v>
      </c>
      <c r="J18" s="232"/>
      <c r="K18" s="213" t="s">
        <v>228</v>
      </c>
      <c r="L18" s="441">
        <f>+L16</f>
        <v>1.0025431484402456</v>
      </c>
      <c r="M18" s="323">
        <f>I18*L18</f>
        <v>5.7881855662619085E-5</v>
      </c>
      <c r="N18" s="234">
        <f>M18^2</f>
        <v>3.3503092149482691E-9</v>
      </c>
      <c r="O18" s="232">
        <v>50</v>
      </c>
      <c r="P18" s="321">
        <f>N18^2/O18</f>
        <v>2.2449143671534574E-19</v>
      </c>
      <c r="Q18" s="415" t="s">
        <v>558</v>
      </c>
      <c r="U18" s="57"/>
    </row>
    <row r="19" spans="1:21" x14ac:dyDescent="0.2">
      <c r="A19" s="215">
        <v>1.6</v>
      </c>
      <c r="B19" s="232"/>
      <c r="C19" s="211" t="s">
        <v>348</v>
      </c>
      <c r="D19" s="232"/>
      <c r="E19" s="232" t="s">
        <v>349</v>
      </c>
      <c r="F19" s="213" t="s">
        <v>67</v>
      </c>
      <c r="G19" s="283">
        <f>+'DATOS GENERALES'!$D$39</f>
        <v>1E-4</v>
      </c>
      <c r="H19" s="213" t="s">
        <v>228</v>
      </c>
      <c r="I19" s="323">
        <f>G19/SQRT(12)</f>
        <v>2.8867513459481293E-5</v>
      </c>
      <c r="J19" s="232"/>
      <c r="K19" s="213" t="s">
        <v>228</v>
      </c>
      <c r="L19" s="441">
        <f>+L16</f>
        <v>1.0025431484402456</v>
      </c>
      <c r="M19" s="323">
        <f>I19*L19</f>
        <v>2.8940927831309542E-5</v>
      </c>
      <c r="N19" s="234">
        <f>M19^2</f>
        <v>8.3757730373706726E-10</v>
      </c>
      <c r="O19" s="232">
        <v>50</v>
      </c>
      <c r="P19" s="321">
        <f>N19^2/O19</f>
        <v>1.4030714794709109E-20</v>
      </c>
      <c r="Q19" s="414">
        <f>+(0.0632693-(2*(0.00852329*'DATOS GENERALES'!$E$80))+(3*(0.00006943248*0.00852329*'DATOS GENERALES'!$E$80^2))-(4*(0.0000003821216*'DATOS GENERALES'!$E$80^3)))/1000</f>
        <v>-3.0455158885754011E-4</v>
      </c>
      <c r="R19" s="1006" t="s">
        <v>181</v>
      </c>
      <c r="S19" s="1007" t="s">
        <v>304</v>
      </c>
      <c r="T19" s="1008" t="s">
        <v>303</v>
      </c>
      <c r="U19" s="57"/>
    </row>
    <row r="20" spans="1:21" ht="13.5" thickBot="1" x14ac:dyDescent="0.25">
      <c r="A20" s="220">
        <v>1.7</v>
      </c>
      <c r="B20" s="222"/>
      <c r="C20" s="223" t="s">
        <v>352</v>
      </c>
      <c r="D20" s="222"/>
      <c r="E20" s="232" t="s">
        <v>353</v>
      </c>
      <c r="F20" s="213" t="s">
        <v>67</v>
      </c>
      <c r="G20" s="209">
        <f>+G16</f>
        <v>5.3000000000000001E-5</v>
      </c>
      <c r="H20" s="213" t="s">
        <v>228</v>
      </c>
      <c r="I20" s="323">
        <f>G20/SQRT(12)</f>
        <v>1.5299782133525084E-5</v>
      </c>
      <c r="J20" s="209"/>
      <c r="K20" s="213" t="s">
        <v>228</v>
      </c>
      <c r="L20" s="441">
        <f>+L19</f>
        <v>1.0025431484402456</v>
      </c>
      <c r="M20" s="323">
        <f>I20*L20</f>
        <v>1.5338691750594057E-5</v>
      </c>
      <c r="N20" s="234">
        <f>M20^2</f>
        <v>2.3527546461974218E-10</v>
      </c>
      <c r="O20" s="232">
        <v>51</v>
      </c>
      <c r="P20" s="321">
        <f>N20^2/O20</f>
        <v>1.0853832206281481E-21</v>
      </c>
      <c r="Q20" s="306"/>
      <c r="R20" s="1001">
        <f>'Chequeo Balanza '!U11</f>
        <v>0</v>
      </c>
      <c r="S20" s="996">
        <f>'Chequeo Balanza '!V11</f>
        <v>0</v>
      </c>
      <c r="T20" s="1002">
        <f>'Chequeo Balanza '!W11</f>
        <v>1.5999999999999999E-5</v>
      </c>
      <c r="U20" s="57"/>
    </row>
    <row r="21" spans="1:21" ht="21" customHeight="1" x14ac:dyDescent="0.2">
      <c r="A21" s="241">
        <v>2</v>
      </c>
      <c r="B21" s="822"/>
      <c r="C21" s="822" t="s">
        <v>628</v>
      </c>
      <c r="D21" s="823">
        <f>'DATOS GENERALES'!M80</f>
        <v>1.0724138706030522E-3</v>
      </c>
      <c r="E21" s="227"/>
      <c r="F21" s="327"/>
      <c r="G21" s="227"/>
      <c r="H21" s="327"/>
      <c r="I21" s="328"/>
      <c r="J21" s="227"/>
      <c r="K21" s="329"/>
      <c r="L21" s="827"/>
      <c r="M21" s="227"/>
      <c r="N21" s="227"/>
      <c r="O21" s="227"/>
      <c r="P21" s="330"/>
      <c r="Q21" s="1"/>
      <c r="R21" s="1001">
        <f>'Chequeo Balanza '!U12</f>
        <v>1</v>
      </c>
      <c r="S21" s="996">
        <f>'Chequeo Balanza '!V12</f>
        <v>8.0000000000000007E-5</v>
      </c>
      <c r="T21" s="1002">
        <f>'Chequeo Balanza '!W12</f>
        <v>2.0999999999999999E-5</v>
      </c>
      <c r="U21" s="57"/>
    </row>
    <row r="22" spans="1:21" x14ac:dyDescent="0.2">
      <c r="A22" s="232"/>
      <c r="B22" s="353" t="s">
        <v>346</v>
      </c>
      <c r="C22" s="353"/>
      <c r="D22" s="818">
        <f>AVERAGE('DATOS CORRECCIONES EQUIPOS EMPL'!G14:G23)</f>
        <v>20.983065402808371</v>
      </c>
      <c r="E22" s="232"/>
      <c r="F22" s="213"/>
      <c r="G22" s="233"/>
      <c r="H22" s="213"/>
      <c r="I22" s="234"/>
      <c r="J22" s="232"/>
      <c r="K22" s="215"/>
      <c r="L22" s="828"/>
      <c r="M22" s="234"/>
      <c r="N22" s="323"/>
      <c r="O22" s="232"/>
      <c r="P22" s="326"/>
      <c r="Q22" s="120"/>
      <c r="R22" s="1001">
        <f>'Chequeo Balanza '!U13</f>
        <v>2</v>
      </c>
      <c r="S22" s="996">
        <f>'Chequeo Balanza '!V13</f>
        <v>-1.2999999999999999E-5</v>
      </c>
      <c r="T22" s="1002">
        <f>'Chequeo Balanza '!W13</f>
        <v>2.5000000000000001E-5</v>
      </c>
      <c r="U22" s="57"/>
    </row>
    <row r="23" spans="1:21" x14ac:dyDescent="0.2">
      <c r="A23" s="1"/>
      <c r="C23" s="1"/>
      <c r="E23" s="1"/>
      <c r="F23" s="102"/>
      <c r="G23" s="333"/>
      <c r="H23" s="102"/>
      <c r="I23" s="114"/>
      <c r="J23" s="1"/>
      <c r="K23" s="104"/>
      <c r="L23" s="829"/>
      <c r="M23" s="125"/>
      <c r="N23" s="126"/>
      <c r="O23" s="1"/>
      <c r="P23" s="331"/>
      <c r="R23" s="1001">
        <f>'Chequeo Balanza '!U14</f>
        <v>3</v>
      </c>
      <c r="S23" s="996">
        <f>'Chequeo Balanza '!V14</f>
        <v>6.9999999999999999E-6</v>
      </c>
      <c r="T23" s="1002">
        <f>'Chequeo Balanza '!W14</f>
        <v>3.8000000000000002E-5</v>
      </c>
      <c r="U23" s="57"/>
    </row>
    <row r="24" spans="1:21" x14ac:dyDescent="0.2">
      <c r="A24" s="219" t="s">
        <v>206</v>
      </c>
      <c r="B24" s="232"/>
      <c r="C24" s="232" t="s">
        <v>202</v>
      </c>
      <c r="D24" s="232">
        <f>0.00068</f>
        <v>6.8000000000000005E-4</v>
      </c>
      <c r="E24" s="232" t="s">
        <v>636</v>
      </c>
      <c r="F24" s="213" t="s">
        <v>171</v>
      </c>
      <c r="G24" s="283">
        <f>D21*D24</f>
        <v>7.2924143201007555E-7</v>
      </c>
      <c r="H24" s="213" t="s">
        <v>255</v>
      </c>
      <c r="I24" s="283">
        <f>D24/SQRT(3)</f>
        <v>3.9259818304894555E-4</v>
      </c>
      <c r="J24" s="232"/>
      <c r="K24" s="215"/>
      <c r="L24" s="323">
        <f>('DATOS GENERALES'!$Q$80/1000)*((1/('INCERTIDUMBRE DE LA MEDIDA'!D37-'INCERTIDUMBRE DE LA MEDIDA'!D21))-((1/('INCERTIDUMBRE DE LA MEDIDA'!D43-'INCERTIDUMBRE DE LA MEDIDA'!D21))))</f>
        <v>9.0451000482533364E-2</v>
      </c>
      <c r="M24" s="323">
        <f>I24*L24</f>
        <v>3.5510898444401894E-5</v>
      </c>
      <c r="N24" s="234">
        <f>M24^2</f>
        <v>1.2610239083286248E-9</v>
      </c>
      <c r="O24" s="232">
        <v>100</v>
      </c>
      <c r="P24" s="332">
        <f>N24^2/O24</f>
        <v>1.5901812973764001E-20</v>
      </c>
      <c r="Q24" s="621"/>
      <c r="R24" s="1001">
        <f>'Chequeo Balanza '!U15</f>
        <v>4</v>
      </c>
      <c r="S24" s="996">
        <f>'Chequeo Balanza '!V15</f>
        <v>1.1E-5</v>
      </c>
      <c r="T24" s="1002">
        <f>'Chequeo Balanza '!W15</f>
        <v>4.3000000000000002E-5</v>
      </c>
      <c r="U24" s="57"/>
    </row>
    <row r="25" spans="1:21" x14ac:dyDescent="0.2">
      <c r="A25" s="98" t="s">
        <v>207</v>
      </c>
      <c r="B25" s="1"/>
      <c r="C25" s="100" t="s">
        <v>203</v>
      </c>
      <c r="D25" s="124"/>
      <c r="E25" s="1"/>
      <c r="F25" s="1"/>
      <c r="G25" s="1"/>
      <c r="H25" s="1"/>
      <c r="I25" s="1"/>
      <c r="J25" s="1"/>
      <c r="K25" s="1"/>
      <c r="L25" s="114"/>
      <c r="M25" s="1"/>
      <c r="N25" s="1"/>
      <c r="O25" s="1"/>
      <c r="P25" s="331"/>
      <c r="Q25" s="622"/>
      <c r="R25" s="1001">
        <f>'Chequeo Balanza '!U16</f>
        <v>5</v>
      </c>
      <c r="S25" s="996">
        <f>'Chequeo Balanza '!V16</f>
        <v>0</v>
      </c>
      <c r="T25" s="1002">
        <f>'Chequeo Balanza '!W16</f>
        <v>3.1000000000000001E-5</v>
      </c>
      <c r="U25" s="57"/>
    </row>
    <row r="26" spans="1:21" x14ac:dyDescent="0.2">
      <c r="A26" s="219"/>
      <c r="B26" s="232"/>
      <c r="C26" s="211" t="s">
        <v>204</v>
      </c>
      <c r="D26" s="232"/>
      <c r="E26" s="232" t="s">
        <v>66</v>
      </c>
      <c r="F26" s="213" t="s">
        <v>23</v>
      </c>
      <c r="G26" s="818">
        <f>'DATOS CORRECCIONES EQUIPOS EMPL'!AB26</f>
        <v>0.27974014714180928</v>
      </c>
      <c r="H26" s="213" t="s">
        <v>229</v>
      </c>
      <c r="I26" s="283">
        <f>G26/2</f>
        <v>0.13987007357090464</v>
      </c>
      <c r="J26" s="232"/>
      <c r="K26" s="215">
        <f>+K22</f>
        <v>0</v>
      </c>
      <c r="L26" s="233">
        <f>((((-0.00252*D29*(D22+273.15))-(0.34844*D33+D29*(-0.00252*D22+273.15)))/(D22+273.15)^2)/1000)*('DATOS GENERALES'!$Q$80/1000)*((1/('INCERTIDUMBRE DE LA MEDIDA'!D37-'INCERTIDUMBRE DE LA MEDIDA'!D21))-((1/('INCERTIDUMBRE DE LA MEDIDA'!D43-'INCERTIDUMBRE DE LA MEDIDA'!D21))))</f>
        <v>-1.6004372440109804E-5</v>
      </c>
      <c r="M26" s="323">
        <f>I26*L26</f>
        <v>-2.2385327506543167E-6</v>
      </c>
      <c r="N26" s="234">
        <f>M26^2</f>
        <v>5.0110288757519816E-12</v>
      </c>
      <c r="O26" s="232">
        <v>50</v>
      </c>
      <c r="P26" s="332">
        <f>N26^2/O26</f>
        <v>5.0220820787240335E-25</v>
      </c>
      <c r="Q26" s="621"/>
      <c r="R26" s="1001">
        <f>'Chequeo Balanza '!U17</f>
        <v>10</v>
      </c>
      <c r="S26" s="996">
        <f>'Chequeo Balanza '!V17</f>
        <v>-7.9999999999999996E-6</v>
      </c>
      <c r="T26" s="1002">
        <f>'Chequeo Balanza '!W17</f>
        <v>3.6999999999999998E-5</v>
      </c>
      <c r="U26" s="57"/>
    </row>
    <row r="27" spans="1:21" x14ac:dyDescent="0.2">
      <c r="A27" s="98"/>
      <c r="B27" s="1"/>
      <c r="C27" s="100" t="s">
        <v>213</v>
      </c>
      <c r="D27" s="1"/>
      <c r="E27" s="1" t="s">
        <v>220</v>
      </c>
      <c r="F27" s="102" t="s">
        <v>23</v>
      </c>
      <c r="G27" s="333">
        <f>MIN('DATOS CORRECCIONES EQUIPOS EMPL'!G14:G23)-MAX('DATOS CORRECCIONES EQUIPOS EMPL'!G14:G23)</f>
        <v>0</v>
      </c>
      <c r="H27" s="102" t="s">
        <v>228</v>
      </c>
      <c r="I27" s="114">
        <f>G27/SQRT(12)</f>
        <v>0</v>
      </c>
      <c r="J27" s="1"/>
      <c r="K27" s="104">
        <f>+K22</f>
        <v>0</v>
      </c>
      <c r="L27" s="125">
        <f>+L26</f>
        <v>-1.6004372440109804E-5</v>
      </c>
      <c r="M27" s="309">
        <f>I27*L27</f>
        <v>0</v>
      </c>
      <c r="N27" s="126">
        <f>M27^2</f>
        <v>0</v>
      </c>
      <c r="O27" s="1">
        <v>100</v>
      </c>
      <c r="P27" s="331">
        <f>N27^2/O27</f>
        <v>0</v>
      </c>
      <c r="R27" s="1001">
        <f>'Chequeo Balanza '!U18</f>
        <v>20</v>
      </c>
      <c r="S27" s="996">
        <f>'Chequeo Balanza '!V18</f>
        <v>1.5E-5</v>
      </c>
      <c r="T27" s="1002">
        <f>'Chequeo Balanza '!W18</f>
        <v>5.3000000000000001E-5</v>
      </c>
      <c r="U27" s="57"/>
    </row>
    <row r="28" spans="1:21" ht="13.5" thickBot="1" x14ac:dyDescent="0.25">
      <c r="A28" s="324"/>
      <c r="B28" s="325"/>
      <c r="C28" s="223" t="s">
        <v>182</v>
      </c>
      <c r="D28" s="325"/>
      <c r="E28" s="325" t="s">
        <v>221</v>
      </c>
      <c r="F28" s="224" t="s">
        <v>23</v>
      </c>
      <c r="G28" s="325">
        <f>Trazabilidad!AA12</f>
        <v>0.1</v>
      </c>
      <c r="H28" s="224" t="s">
        <v>228</v>
      </c>
      <c r="I28" s="334">
        <f>G28/SQRT(12)</f>
        <v>2.8867513459481291E-2</v>
      </c>
      <c r="J28" s="325"/>
      <c r="K28" s="226">
        <f>+K22</f>
        <v>0</v>
      </c>
      <c r="L28" s="442">
        <f>+L26</f>
        <v>-1.6004372440109804E-5</v>
      </c>
      <c r="M28" s="323">
        <f>I28*L28</f>
        <v>-4.620064368254212E-7</v>
      </c>
      <c r="N28" s="234">
        <f>M28^2</f>
        <v>2.134499476681219E-13</v>
      </c>
      <c r="O28" s="325">
        <v>100</v>
      </c>
      <c r="P28" s="332">
        <f t="shared" ref="P28:P36" si="0">N28^2/O28</f>
        <v>4.5560880159523974E-28</v>
      </c>
      <c r="R28" s="1001">
        <f>'Chequeo Balanza '!U19</f>
        <v>30</v>
      </c>
      <c r="S28" s="996">
        <f>'Chequeo Balanza '!V19</f>
        <v>-1.2999999999999999E-5</v>
      </c>
      <c r="T28" s="1002">
        <f>'Chequeo Balanza '!W19</f>
        <v>8.6000000000000003E-5</v>
      </c>
      <c r="U28" s="57"/>
    </row>
    <row r="29" spans="1:21" ht="24.75" customHeight="1" x14ac:dyDescent="0.2">
      <c r="A29" s="241" t="s">
        <v>208</v>
      </c>
      <c r="B29" s="227" t="s">
        <v>205</v>
      </c>
      <c r="C29" s="227"/>
      <c r="D29" s="335">
        <f>AVERAGE('DATOS CORRECCIONES EQUIPOS EMPL'!I14:I23)</f>
        <v>54.742541204483395</v>
      </c>
      <c r="E29" s="227"/>
      <c r="F29" s="327"/>
      <c r="G29" s="227"/>
      <c r="H29" s="327"/>
      <c r="I29" s="328"/>
      <c r="J29" s="227"/>
      <c r="K29" s="329"/>
      <c r="L29" s="227"/>
      <c r="M29" s="227"/>
      <c r="N29" s="227"/>
      <c r="O29" s="227"/>
      <c r="P29" s="330"/>
      <c r="R29" s="1001">
        <f>'Chequeo Balanza '!U20</f>
        <v>40</v>
      </c>
      <c r="S29" s="996">
        <f>'Chequeo Balanza '!V20</f>
        <v>-2.0000000000000002E-5</v>
      </c>
      <c r="T29" s="1002">
        <f>'Chequeo Balanza '!W20</f>
        <v>1E-4</v>
      </c>
      <c r="U29" s="57"/>
    </row>
    <row r="30" spans="1:21" ht="16.5" customHeight="1" x14ac:dyDescent="0.2">
      <c r="A30" s="219"/>
      <c r="B30" s="232"/>
      <c r="C30" s="211" t="s">
        <v>204</v>
      </c>
      <c r="D30" s="232"/>
      <c r="E30" s="232" t="s">
        <v>66</v>
      </c>
      <c r="F30" s="213" t="s">
        <v>226</v>
      </c>
      <c r="G30" s="818">
        <f>'DATOS CORRECCIONES EQUIPOS EMPL'!AI26</f>
        <v>0.76107119508634902</v>
      </c>
      <c r="H30" s="213" t="s">
        <v>229</v>
      </c>
      <c r="I30" s="323">
        <f>G30/2</f>
        <v>0.38053559754317451</v>
      </c>
      <c r="J30" s="232"/>
      <c r="K30" s="215" t="s">
        <v>235</v>
      </c>
      <c r="L30" s="283">
        <f>('DATOS GENERALES'!Q80/1000)*(((1/(D37-D21))-(1/(D43-D21))))*(((-0.00252*D22+0.020582)/(D22+273.15))/1000)</f>
        <v>-9.9313704714961969E-9</v>
      </c>
      <c r="M30" s="234">
        <f>I30*L30</f>
        <v>-3.7792399967934441E-9</v>
      </c>
      <c r="N30" s="323">
        <f>M30^2</f>
        <v>1.4282654953363311E-17</v>
      </c>
      <c r="O30" s="232">
        <v>50</v>
      </c>
      <c r="P30" s="336">
        <f>N30^2/O30</f>
        <v>4.0798846503366708E-36</v>
      </c>
      <c r="Q30" s="120"/>
      <c r="R30" s="1001">
        <f>'Chequeo Balanza '!U21</f>
        <v>50</v>
      </c>
      <c r="S30" s="996">
        <f>'Chequeo Balanza '!V21</f>
        <v>3.1000000000000001E-5</v>
      </c>
      <c r="T30" s="1002">
        <f>'Chequeo Balanza '!W21</f>
        <v>9.1000000000000003E-5</v>
      </c>
      <c r="U30" s="57"/>
    </row>
    <row r="31" spans="1:21" ht="16.5" customHeight="1" thickBot="1" x14ac:dyDescent="0.25">
      <c r="A31" s="98"/>
      <c r="B31" s="1"/>
      <c r="C31" s="100" t="s">
        <v>212</v>
      </c>
      <c r="D31" s="1"/>
      <c r="E31" s="1" t="s">
        <v>222</v>
      </c>
      <c r="F31" s="102" t="s">
        <v>226</v>
      </c>
      <c r="G31" s="333">
        <f>MIN('DATOS CORRECCIONES EQUIPOS EMPL'!I14:I23)-MAX('DATOS CORRECCIONES EQUIPOS EMPL'!I14:I23)</f>
        <v>-0.8590278038207444</v>
      </c>
      <c r="H31" s="102" t="s">
        <v>228</v>
      </c>
      <c r="I31" s="114">
        <f>G31/SQRT(12)</f>
        <v>-0.24797996688863991</v>
      </c>
      <c r="J31" s="1"/>
      <c r="K31" s="104" t="s">
        <v>235</v>
      </c>
      <c r="L31" s="114">
        <f>+L30</f>
        <v>-9.9313704714961969E-9</v>
      </c>
      <c r="M31" s="309">
        <f>I31*L31</f>
        <v>2.4627809206804429E-9</v>
      </c>
      <c r="N31" s="126">
        <f>M31^2</f>
        <v>6.0652898632676105E-18</v>
      </c>
      <c r="O31" s="1">
        <v>100</v>
      </c>
      <c r="P31" s="331">
        <f t="shared" si="0"/>
        <v>3.6787741125456828E-37</v>
      </c>
      <c r="R31" s="1003">
        <f>'Chequeo Balanza '!U22</f>
        <v>0</v>
      </c>
      <c r="S31" s="1004">
        <f>'Chequeo Balanza '!V22</f>
        <v>0</v>
      </c>
      <c r="T31" s="1005">
        <f>'Chequeo Balanza '!W22</f>
        <v>0</v>
      </c>
      <c r="U31" s="57"/>
    </row>
    <row r="32" spans="1:21" ht="16.5" customHeight="1" thickBot="1" x14ac:dyDescent="0.25">
      <c r="A32" s="324"/>
      <c r="B32" s="325"/>
      <c r="C32" s="223" t="s">
        <v>182</v>
      </c>
      <c r="D32" s="325"/>
      <c r="E32" s="325" t="s">
        <v>221</v>
      </c>
      <c r="F32" s="224" t="s">
        <v>226</v>
      </c>
      <c r="G32" s="325">
        <f>Trazabilidad!AB12</f>
        <v>0.1</v>
      </c>
      <c r="H32" s="224" t="s">
        <v>228</v>
      </c>
      <c r="I32" s="334">
        <f>G32/SQRT(12)</f>
        <v>2.8867513459481291E-2</v>
      </c>
      <c r="J32" s="325"/>
      <c r="K32" s="226" t="s">
        <v>235</v>
      </c>
      <c r="L32" s="334">
        <f>+L30</f>
        <v>-9.9313704714961969E-9</v>
      </c>
      <c r="M32" s="323">
        <f>I32*L32</f>
        <v>-2.8669397075701153E-10</v>
      </c>
      <c r="N32" s="234">
        <f t="shared" ref="N32:N36" si="1">M32^2</f>
        <v>8.2193432868422184E-20</v>
      </c>
      <c r="O32" s="325">
        <v>100</v>
      </c>
      <c r="P32" s="332">
        <f t="shared" si="0"/>
        <v>6.7557604066958236E-41</v>
      </c>
      <c r="R32" s="998">
        <f>'Chequeo Balanza '!U23</f>
        <v>51</v>
      </c>
      <c r="S32" s="999">
        <f>'Chequeo Balanza '!V23</f>
        <v>6.9999999999999994E-5</v>
      </c>
      <c r="T32" s="1000">
        <f>'Chequeo Balanza '!W23</f>
        <v>1.1E-4</v>
      </c>
      <c r="U32" s="57"/>
    </row>
    <row r="33" spans="1:22" ht="24" customHeight="1" x14ac:dyDescent="0.2">
      <c r="A33" s="241" t="s">
        <v>209</v>
      </c>
      <c r="B33" s="227" t="s">
        <v>210</v>
      </c>
      <c r="C33" s="227"/>
      <c r="D33" s="337">
        <f>AVERAGE('DATOS CORRECCIONES EQUIPOS EMPL'!K14:K23)</f>
        <v>910.34412607728154</v>
      </c>
      <c r="E33" s="227"/>
      <c r="F33" s="327"/>
      <c r="G33" s="227"/>
      <c r="H33" s="327"/>
      <c r="I33" s="328"/>
      <c r="J33" s="227"/>
      <c r="K33" s="329"/>
      <c r="L33" s="227"/>
      <c r="M33" s="227"/>
      <c r="N33" s="227"/>
      <c r="O33" s="227"/>
      <c r="P33" s="330"/>
      <c r="R33" s="1001">
        <f>'Chequeo Balanza '!U24</f>
        <v>55</v>
      </c>
      <c r="S33" s="996">
        <f>'Chequeo Balanza '!V24</f>
        <v>6.0000000000000002E-5</v>
      </c>
      <c r="T33" s="1002">
        <f>'Chequeo Balanza '!W24</f>
        <v>1.2E-4</v>
      </c>
      <c r="U33" s="57"/>
    </row>
    <row r="34" spans="1:22" x14ac:dyDescent="0.2">
      <c r="A34" s="219"/>
      <c r="B34" s="232"/>
      <c r="C34" s="211" t="s">
        <v>204</v>
      </c>
      <c r="D34" s="232"/>
      <c r="E34" s="232" t="s">
        <v>66</v>
      </c>
      <c r="F34" s="213" t="s">
        <v>61</v>
      </c>
      <c r="G34" s="818">
        <f>'DATOS CORRECCIONES EQUIPOS EMPL'!AP26</f>
        <v>0.44000000659045196</v>
      </c>
      <c r="H34" s="213" t="s">
        <v>229</v>
      </c>
      <c r="I34" s="323">
        <f>G34/2</f>
        <v>0.22000000329522598</v>
      </c>
      <c r="J34" s="232"/>
      <c r="K34" s="215" t="s">
        <v>236</v>
      </c>
      <c r="L34" s="283">
        <f>('DATOS GENERALES'!Q80/1000)*(((1/(D37-D21))-(1/(D43-D21))))*((0.34844/(D22+273.15))/1000)</f>
        <v>1.0715132134149038E-7</v>
      </c>
      <c r="M34" s="323">
        <f>I34*L34</f>
        <v>2.3573291048215702E-8</v>
      </c>
      <c r="N34" s="323">
        <f>M34^2</f>
        <v>5.5570005084388654E-16</v>
      </c>
      <c r="O34" s="232">
        <v>50</v>
      </c>
      <c r="P34" s="340">
        <f>N34^2/O34</f>
        <v>6.1760509301579624E-33</v>
      </c>
      <c r="Q34" s="120"/>
      <c r="R34" s="1001">
        <f>'Chequeo Balanza '!U25</f>
        <v>60</v>
      </c>
      <c r="S34" s="996">
        <f>'Chequeo Balanza '!V25</f>
        <v>6.0000000000000002E-5</v>
      </c>
      <c r="T34" s="1002">
        <f>'Chequeo Balanza '!W25</f>
        <v>1.2999999999999999E-4</v>
      </c>
      <c r="U34" s="57"/>
    </row>
    <row r="35" spans="1:22" x14ac:dyDescent="0.2">
      <c r="A35" s="98"/>
      <c r="B35" s="1"/>
      <c r="C35" s="100" t="s">
        <v>211</v>
      </c>
      <c r="D35" s="1"/>
      <c r="E35" s="1" t="s">
        <v>222</v>
      </c>
      <c r="F35" s="102" t="s">
        <v>61</v>
      </c>
      <c r="G35" s="824">
        <f>MIN('DATOS CORRECCIONES EQUIPOS EMPL'!K14:K23)-MAX('DATOS CORRECCIONES EQUIPOS EMPL'!K14:K23)</f>
        <v>0</v>
      </c>
      <c r="H35" s="102" t="s">
        <v>228</v>
      </c>
      <c r="I35" s="114">
        <f>G35/SQRT(12)</f>
        <v>0</v>
      </c>
      <c r="J35" s="1"/>
      <c r="K35" s="104" t="s">
        <v>236</v>
      </c>
      <c r="L35" s="114">
        <f>+L34</f>
        <v>1.0715132134149038E-7</v>
      </c>
      <c r="M35" s="125">
        <f>I35*L35</f>
        <v>0</v>
      </c>
      <c r="N35" s="126">
        <f t="shared" si="1"/>
        <v>0</v>
      </c>
      <c r="O35" s="1">
        <v>100</v>
      </c>
      <c r="P35" s="331">
        <f t="shared" si="0"/>
        <v>0</v>
      </c>
      <c r="R35" s="1001">
        <f>'Chequeo Balanza '!U26</f>
        <v>70</v>
      </c>
      <c r="S35" s="996">
        <f>'Chequeo Balanza '!V26</f>
        <v>2.3000000000000001E-4</v>
      </c>
      <c r="T35" s="1002">
        <f>'Chequeo Balanza '!W26</f>
        <v>1.2999999999999999E-4</v>
      </c>
      <c r="U35" s="57"/>
    </row>
    <row r="36" spans="1:22" ht="13.5" thickBot="1" x14ac:dyDescent="0.25">
      <c r="A36" s="324"/>
      <c r="B36" s="325"/>
      <c r="C36" s="223" t="s">
        <v>182</v>
      </c>
      <c r="D36" s="325"/>
      <c r="E36" s="325" t="s">
        <v>221</v>
      </c>
      <c r="F36" s="224" t="s">
        <v>61</v>
      </c>
      <c r="G36" s="325">
        <f>Trazabilidad!AA13</f>
        <v>1</v>
      </c>
      <c r="H36" s="224" t="s">
        <v>228</v>
      </c>
      <c r="I36" s="334">
        <f>G36/SQRT(12)</f>
        <v>0.28867513459481292</v>
      </c>
      <c r="J36" s="325"/>
      <c r="K36" s="226" t="s">
        <v>236</v>
      </c>
      <c r="L36" s="334">
        <f>+L34</f>
        <v>1.0715132134149038E-7</v>
      </c>
      <c r="M36" s="338">
        <f>I36*L36</f>
        <v>3.0931922110266786E-8</v>
      </c>
      <c r="N36" s="234">
        <f t="shared" si="1"/>
        <v>9.567838054356112E-16</v>
      </c>
      <c r="O36" s="325">
        <v>100</v>
      </c>
      <c r="P36" s="332">
        <f t="shared" si="0"/>
        <v>9.1543525034384946E-33</v>
      </c>
      <c r="R36" s="1001">
        <f>'Chequeo Balanza '!U27</f>
        <v>100</v>
      </c>
      <c r="S36" s="996">
        <f>'Chequeo Balanza '!V27</f>
        <v>2.0000000000000001E-4</v>
      </c>
      <c r="T36" s="1002">
        <f>'Chequeo Balanza '!W27</f>
        <v>1.3999999999999999E-4</v>
      </c>
      <c r="U36" s="57"/>
    </row>
    <row r="37" spans="1:22" ht="24.75" customHeight="1" x14ac:dyDescent="0.2">
      <c r="A37" s="241">
        <v>3</v>
      </c>
      <c r="B37" s="227" t="s">
        <v>635</v>
      </c>
      <c r="C37" s="227"/>
      <c r="D37" s="227">
        <f>'DATOS GENERALES'!O80</f>
        <v>0.99806853415596919</v>
      </c>
      <c r="E37" s="227"/>
      <c r="F37" s="327"/>
      <c r="G37" s="227"/>
      <c r="H37" s="327"/>
      <c r="I37" s="328"/>
      <c r="J37" s="227"/>
      <c r="K37" s="329"/>
      <c r="L37" s="227"/>
      <c r="M37" s="227"/>
      <c r="N37" s="227"/>
      <c r="O37" s="227"/>
      <c r="P37" s="330"/>
      <c r="R37" s="1001">
        <f>'Chequeo Balanza '!U28</f>
        <v>105</v>
      </c>
      <c r="S37" s="996">
        <f>'Chequeo Balanza '!V28</f>
        <v>9.0000000000000006E-5</v>
      </c>
      <c r="T37" s="1002">
        <f>'Chequeo Balanza '!W28</f>
        <v>1.6000000000000001E-4</v>
      </c>
      <c r="U37" s="57"/>
    </row>
    <row r="38" spans="1:22" x14ac:dyDescent="0.2">
      <c r="A38" s="219" t="s">
        <v>215</v>
      </c>
      <c r="B38" s="232"/>
      <c r="C38" s="211" t="s">
        <v>214</v>
      </c>
      <c r="D38" s="232"/>
      <c r="E38" s="232" t="s">
        <v>630</v>
      </c>
      <c r="F38" s="213" t="s">
        <v>225</v>
      </c>
      <c r="G38" s="283">
        <f>IF(E38="kell",SQRT((SQRT(G40^2+G41^2+G42^2)*Q19)^2),0.00000083)</f>
        <v>8.2999999999999999E-7</v>
      </c>
      <c r="H38" s="102" t="s">
        <v>228</v>
      </c>
      <c r="I38" s="234">
        <f>IF(E38="kell",G38/SQRT(3),G38/2)</f>
        <v>4.15E-7</v>
      </c>
      <c r="J38" s="232"/>
      <c r="K38" s="215" t="s">
        <v>234</v>
      </c>
      <c r="L38" s="283">
        <f>IF(E38="Kell",-(('DATOS GENERALES'!$A$80-'DATOS GENERALES'!$C$80)/('DATOS GENERALES'!$O$80^2))*'DATOS GENERALES'!U80,((-'DATOS GENERALES'!Q80/1000)/(D37-D21)))</f>
        <v>-0.10340420132908647</v>
      </c>
      <c r="M38" s="338">
        <f>I38*L38</f>
        <v>-4.2912743551570884E-8</v>
      </c>
      <c r="N38" s="338">
        <f>M38^2</f>
        <v>1.8415035591228886E-15</v>
      </c>
      <c r="O38" s="232">
        <v>100</v>
      </c>
      <c r="P38" s="336">
        <f>N38^2/O38</f>
        <v>3.3911353582622661E-32</v>
      </c>
      <c r="Q38" s="120"/>
      <c r="R38" s="1001">
        <f>'Chequeo Balanza '!U29</f>
        <v>110</v>
      </c>
      <c r="S38" s="996">
        <f>'Chequeo Balanza '!V29</f>
        <v>1.9000000000000001E-4</v>
      </c>
      <c r="T38" s="1002">
        <f>'Chequeo Balanza '!W29</f>
        <v>1.6000000000000001E-4</v>
      </c>
      <c r="U38" s="57"/>
    </row>
    <row r="39" spans="1:22" x14ac:dyDescent="0.2">
      <c r="A39" s="98"/>
      <c r="B39" s="1"/>
      <c r="C39" s="100" t="s">
        <v>238</v>
      </c>
      <c r="D39" s="339">
        <f>AVERAGE('DATOS CORRECCIONES EQUIPOS EMPL'!E14:E23)</f>
        <v>20.658298501725305</v>
      </c>
      <c r="E39" s="1"/>
      <c r="F39" s="102"/>
      <c r="G39" s="1"/>
      <c r="H39" s="102"/>
      <c r="I39" s="114"/>
      <c r="J39" s="1"/>
      <c r="K39" s="104"/>
      <c r="L39" s="114"/>
      <c r="M39" s="1"/>
      <c r="N39" s="1"/>
      <c r="O39" s="1"/>
      <c r="P39" s="1"/>
      <c r="Q39" s="53"/>
      <c r="R39" s="1001">
        <f>'Chequeo Balanza '!U30</f>
        <v>120</v>
      </c>
      <c r="S39" s="996">
        <f>'Chequeo Balanza '!V30</f>
        <v>2.5999999999999998E-4</v>
      </c>
      <c r="T39" s="1002">
        <f>'Chequeo Balanza '!W30</f>
        <v>1.8000000000000001E-4</v>
      </c>
      <c r="U39" s="57"/>
    </row>
    <row r="40" spans="1:22" x14ac:dyDescent="0.2">
      <c r="A40" s="219"/>
      <c r="B40" s="232"/>
      <c r="C40" s="211" t="s">
        <v>204</v>
      </c>
      <c r="D40" s="232"/>
      <c r="E40" s="232" t="s">
        <v>66</v>
      </c>
      <c r="F40" s="213" t="s">
        <v>23</v>
      </c>
      <c r="G40" s="283">
        <f>'DATOS CORRECCIONES EQUIPOS EMPL'!U26</f>
        <v>5.3999999999999999E-2</v>
      </c>
      <c r="H40" s="213" t="s">
        <v>229</v>
      </c>
      <c r="I40" s="283">
        <f>G40/2</f>
        <v>2.7E-2</v>
      </c>
      <c r="J40" s="232"/>
      <c r="K40" s="215" t="s">
        <v>234</v>
      </c>
      <c r="L40" s="283">
        <f>((-'DATOS GENERALES'!Q80/1000)/(D37-D21))*(0.99997495/522528.9)*(((D39-3.983035)^2*(D39+301.797)/(D39+69.34881)^2)-((D39-3.983035)^2/(D39+69.34881))-(2*(D39-3.983035)*(D39+301.797)/(D39+69.34881)))</f>
        <v>2.206470592891302E-5</v>
      </c>
      <c r="M40" s="323">
        <f>I40*L40</f>
        <v>5.9574706008065151E-7</v>
      </c>
      <c r="N40" s="338">
        <f>M40^2</f>
        <v>3.5491455959473939E-13</v>
      </c>
      <c r="O40" s="232">
        <v>50</v>
      </c>
      <c r="P40" s="340">
        <f>N40^2/O40</f>
        <v>2.5192868922465564E-27</v>
      </c>
      <c r="Q40" s="1"/>
      <c r="R40" s="1001">
        <f>'Chequeo Balanza '!U31</f>
        <v>150</v>
      </c>
      <c r="S40" s="996">
        <f>'Chequeo Balanza '!V31</f>
        <v>2.7E-4</v>
      </c>
      <c r="T40" s="1002">
        <f>'Chequeo Balanza '!W31</f>
        <v>2.0000000000000001E-4</v>
      </c>
      <c r="U40" s="57"/>
      <c r="V40">
        <v>1</v>
      </c>
    </row>
    <row r="41" spans="1:22" x14ac:dyDescent="0.2">
      <c r="A41" s="98"/>
      <c r="B41" s="1"/>
      <c r="C41" s="100" t="s">
        <v>213</v>
      </c>
      <c r="D41" s="1"/>
      <c r="E41" s="1" t="s">
        <v>222</v>
      </c>
      <c r="F41" s="102" t="s">
        <v>23</v>
      </c>
      <c r="G41" s="1">
        <f>MIN('DATOS CORRECCIONES EQUIPOS EMPL'!E14:E23)-MAX('DATOS CORRECCIONES EQUIPOS EMPL'!E14:E23)</f>
        <v>-7.002361973161797E-2</v>
      </c>
      <c r="H41" s="102" t="s">
        <v>228</v>
      </c>
      <c r="I41" s="114">
        <f>G41/SQRT(12)</f>
        <v>-2.0214077850840815E-2</v>
      </c>
      <c r="J41" s="1"/>
      <c r="K41" s="104" t="s">
        <v>234</v>
      </c>
      <c r="L41" s="114">
        <f>+L40</f>
        <v>2.206470592891302E-5</v>
      </c>
      <c r="M41" s="125">
        <f>I41*L41</f>
        <v>-4.4601768340295669E-7</v>
      </c>
      <c r="N41" s="126">
        <f t="shared" ref="N41:N47" si="2">M41^2</f>
        <v>1.989317739081401E-13</v>
      </c>
      <c r="O41" s="1">
        <v>100</v>
      </c>
      <c r="P41" s="331">
        <f>N41^2/O41</f>
        <v>3.9573850670239369E-28</v>
      </c>
      <c r="Q41" s="1"/>
      <c r="R41" s="1001">
        <f>'Chequeo Balanza '!U32</f>
        <v>200</v>
      </c>
      <c r="S41" s="996">
        <f>'Chequeo Balanza '!V32</f>
        <v>2.4000000000000001E-4</v>
      </c>
      <c r="T41" s="1002">
        <f>'Chequeo Balanza '!W32</f>
        <v>2.4000000000000001E-4</v>
      </c>
      <c r="U41" s="57"/>
    </row>
    <row r="42" spans="1:22" ht="13.5" thickBot="1" x14ac:dyDescent="0.25">
      <c r="A42" s="219"/>
      <c r="B42" s="232"/>
      <c r="C42" s="211" t="s">
        <v>182</v>
      </c>
      <c r="D42" s="232"/>
      <c r="E42" s="232" t="s">
        <v>221</v>
      </c>
      <c r="F42" s="213" t="s">
        <v>23</v>
      </c>
      <c r="G42" s="325">
        <f>Trazabilidad!AA10</f>
        <v>0.01</v>
      </c>
      <c r="H42" s="213" t="s">
        <v>228</v>
      </c>
      <c r="I42" s="283">
        <f>G42/SQRT(12)</f>
        <v>2.886751345948129E-3</v>
      </c>
      <c r="J42" s="232"/>
      <c r="K42" s="215" t="s">
        <v>234</v>
      </c>
      <c r="L42" s="283">
        <f>+L41</f>
        <v>2.206470592891302E-5</v>
      </c>
      <c r="M42" s="234">
        <f>I42*L42</f>
        <v>6.3695319538239325E-8</v>
      </c>
      <c r="N42" s="234">
        <f t="shared" si="2"/>
        <v>4.0570937310784122E-15</v>
      </c>
      <c r="O42" s="232">
        <v>100</v>
      </c>
      <c r="P42" s="332">
        <f>N42^2/O42</f>
        <v>1.6460009542755752E-31</v>
      </c>
      <c r="Q42" s="1"/>
      <c r="R42" s="1001">
        <f>'Chequeo Balanza '!U33</f>
        <v>220</v>
      </c>
      <c r="S42" s="996">
        <f>'Chequeo Balanza '!V33</f>
        <v>1E-4</v>
      </c>
      <c r="T42" s="1002">
        <f>'Chequeo Balanza '!W33</f>
        <v>2.7999999999999998E-4</v>
      </c>
      <c r="U42" s="57"/>
    </row>
    <row r="43" spans="1:22" ht="34.5" customHeight="1" thickBot="1" x14ac:dyDescent="0.25">
      <c r="A43" s="341">
        <v>4</v>
      </c>
      <c r="B43" s="245" t="s">
        <v>216</v>
      </c>
      <c r="C43" s="245"/>
      <c r="D43" s="245">
        <f>'DATOS GENERALES'!$R$21</f>
        <v>7.96</v>
      </c>
      <c r="E43" s="245" t="s">
        <v>223</v>
      </c>
      <c r="F43" s="248"/>
      <c r="G43" s="245">
        <f>140/1000</f>
        <v>0.14000000000000001</v>
      </c>
      <c r="H43" s="248" t="s">
        <v>230</v>
      </c>
      <c r="I43" s="252">
        <f>G43/2</f>
        <v>7.0000000000000007E-2</v>
      </c>
      <c r="J43" s="245"/>
      <c r="K43" s="250" t="s">
        <v>237</v>
      </c>
      <c r="L43" s="408">
        <f>('DATOS GENERALES'!Q80/1000)*'INCERTIDUMBRE DE LA MEDIDA'!D21/('INCERTIDUMBRE DE LA MEDIDA'!D43*('INCERTIDUMBRE DE LA MEDIDA'!D43-'INCERTIDUMBRE DE LA MEDIDA'!D21))</f>
        <v>1.7451246553455704E-6</v>
      </c>
      <c r="M43" s="252">
        <f>I43*L43</f>
        <v>1.2215872587418995E-7</v>
      </c>
      <c r="N43" s="252">
        <f>M43^2</f>
        <v>1.4922754307205484E-14</v>
      </c>
      <c r="O43" s="245">
        <v>100</v>
      </c>
      <c r="P43" s="342">
        <f>N43^2/O43</f>
        <v>2.2268859611321987E-30</v>
      </c>
      <c r="R43" s="1009">
        <f>'Chequeo Balanza '!U34</f>
        <v>0</v>
      </c>
      <c r="S43" s="997">
        <f>'Chequeo Balanza '!V34</f>
        <v>0</v>
      </c>
      <c r="T43" s="1010">
        <f>'Chequeo Balanza '!W34</f>
        <v>0</v>
      </c>
      <c r="U43" s="57"/>
    </row>
    <row r="44" spans="1:22" ht="13.5" thickBot="1" x14ac:dyDescent="0.25">
      <c r="A44" s="341">
        <v>5</v>
      </c>
      <c r="B44" s="245" t="s">
        <v>217</v>
      </c>
      <c r="C44" s="245"/>
      <c r="D44" s="597">
        <f>AVERAGE('DATOS CORRECCIONES EQUIPOS EMPL'!G14:G23)</f>
        <v>20.983065402808371</v>
      </c>
      <c r="E44" s="245"/>
      <c r="F44" s="248"/>
      <c r="G44" s="245"/>
      <c r="H44" s="248"/>
      <c r="I44" s="252"/>
      <c r="J44" s="245"/>
      <c r="K44" s="250"/>
      <c r="L44" s="251"/>
      <c r="M44" s="251"/>
      <c r="N44" s="252"/>
      <c r="O44" s="245"/>
      <c r="P44" s="342"/>
      <c r="R44" s="1011"/>
      <c r="S44" s="1012"/>
      <c r="T44" s="1013"/>
      <c r="U44" s="57"/>
    </row>
    <row r="45" spans="1:22" x14ac:dyDescent="0.2">
      <c r="A45" s="343"/>
      <c r="B45" s="314"/>
      <c r="C45" s="292" t="s">
        <v>204</v>
      </c>
      <c r="D45" s="314"/>
      <c r="E45" s="314" t="s">
        <v>66</v>
      </c>
      <c r="F45" s="293" t="s">
        <v>23</v>
      </c>
      <c r="G45" s="826">
        <f>'DATOS CORRECCIONES EQUIPOS EMPL'!AB26</f>
        <v>0.27974014714180928</v>
      </c>
      <c r="H45" s="293" t="s">
        <v>229</v>
      </c>
      <c r="I45" s="344">
        <f>G45/2</f>
        <v>0.13987007357090464</v>
      </c>
      <c r="J45" s="314"/>
      <c r="K45" s="202" t="s">
        <v>234</v>
      </c>
      <c r="L45" s="344">
        <f>((-'DATOS GENERALES'!Q80/1000)/(D37-D21))*(0.99997495/522528.9)*(((D39-3.983035)^2*(D39+301.797)/(D39+69.34881)^2)-((D39-3.983035)^2/(D39+69.34881))-(2*(D39-3.983035)*(D39+301.797)/(D39+69.34881)))</f>
        <v>2.206470592891302E-5</v>
      </c>
      <c r="M45" s="345">
        <f t="shared" ref="M45:M51" si="3">I45*L45</f>
        <v>3.0861920415974399E-6</v>
      </c>
      <c r="N45" s="345">
        <f>M45^2</f>
        <v>9.5245813176193749E-12</v>
      </c>
      <c r="O45" s="314">
        <v>50</v>
      </c>
      <c r="P45" s="349">
        <f t="shared" ref="P45:P51" si="4">N45^2/O45</f>
        <v>1.8143529855188806E-24</v>
      </c>
      <c r="R45" s="1001">
        <f>'Chequeo Balanza '!U35</f>
        <v>0</v>
      </c>
      <c r="S45" s="996">
        <f>'Chequeo Balanza '!V35</f>
        <v>0</v>
      </c>
      <c r="T45" s="1002">
        <f>'Chequeo Balanza '!W35</f>
        <v>8.1999999999999998E-4</v>
      </c>
      <c r="U45" s="57"/>
    </row>
    <row r="46" spans="1:22" x14ac:dyDescent="0.2">
      <c r="A46" s="99"/>
      <c r="C46" s="100" t="s">
        <v>218</v>
      </c>
      <c r="D46" s="127"/>
      <c r="E46" t="s">
        <v>222</v>
      </c>
      <c r="F46" s="102" t="s">
        <v>23</v>
      </c>
      <c r="G46" s="313">
        <f>D44-D39</f>
        <v>0.32476690108306627</v>
      </c>
      <c r="H46" s="102" t="s">
        <v>228</v>
      </c>
      <c r="I46" s="37">
        <f>G46/SQRT(12)</f>
        <v>9.3752128882094443E-2</v>
      </c>
      <c r="K46" s="104" t="s">
        <v>234</v>
      </c>
      <c r="L46" s="114">
        <f>+L45</f>
        <v>2.206470592891302E-5</v>
      </c>
      <c r="M46" s="351">
        <f t="shared" si="3"/>
        <v>2.0686131539929667E-6</v>
      </c>
      <c r="N46" s="118">
        <f t="shared" si="2"/>
        <v>4.279160380872729E-12</v>
      </c>
      <c r="O46" s="116">
        <v>100</v>
      </c>
      <c r="P46" s="117">
        <f t="shared" si="4"/>
        <v>1.8311213565230839E-25</v>
      </c>
      <c r="R46" s="1001">
        <f>'Chequeo Balanza '!U36</f>
        <v>120</v>
      </c>
      <c r="S46" s="996">
        <f>'Chequeo Balanza '!V36</f>
        <v>3.4000000000000002E-4</v>
      </c>
      <c r="T46" s="1002">
        <f>'Chequeo Balanza '!W36</f>
        <v>9.2000000000000003E-4</v>
      </c>
      <c r="U46" s="57"/>
    </row>
    <row r="47" spans="1:22" ht="13.5" thickBot="1" x14ac:dyDescent="0.25">
      <c r="A47" s="296"/>
      <c r="B47" s="297"/>
      <c r="C47" s="298" t="s">
        <v>182</v>
      </c>
      <c r="D47" s="297"/>
      <c r="E47" s="297" t="s">
        <v>221</v>
      </c>
      <c r="F47" s="299" t="s">
        <v>23</v>
      </c>
      <c r="G47" s="297">
        <f>Trazabilidad!AB12</f>
        <v>0.1</v>
      </c>
      <c r="H47" s="299" t="s">
        <v>228</v>
      </c>
      <c r="I47" s="300">
        <f>G47/SQRT(12)</f>
        <v>2.8867513459481291E-2</v>
      </c>
      <c r="J47" s="297"/>
      <c r="K47" s="301" t="s">
        <v>234</v>
      </c>
      <c r="L47" s="344">
        <f>+L45</f>
        <v>2.206470592891302E-5</v>
      </c>
      <c r="M47" s="352">
        <f t="shared" si="3"/>
        <v>6.3695319538239317E-7</v>
      </c>
      <c r="N47" s="294">
        <f t="shared" si="2"/>
        <v>4.0570937310784115E-13</v>
      </c>
      <c r="O47" s="302">
        <v>100</v>
      </c>
      <c r="P47" s="295">
        <f t="shared" si="4"/>
        <v>1.6460009542755748E-27</v>
      </c>
      <c r="R47" s="1001">
        <f>'Chequeo Balanza '!U37</f>
        <v>250</v>
      </c>
      <c r="S47" s="996">
        <f>'Chequeo Balanza '!V37</f>
        <v>2.0000000000000001E-4</v>
      </c>
      <c r="T47" s="1002">
        <f>'Chequeo Balanza '!W37</f>
        <v>1.1000000000000001E-3</v>
      </c>
      <c r="U47" s="57"/>
    </row>
    <row r="48" spans="1:22" ht="13.5" thickBot="1" x14ac:dyDescent="0.25">
      <c r="A48" s="244"/>
      <c r="B48" s="250"/>
      <c r="C48" s="598" t="s">
        <v>547</v>
      </c>
      <c r="D48" s="245">
        <f>Trazabilidad!AC10</f>
        <v>-0.14599999999999999</v>
      </c>
      <c r="E48" s="245"/>
      <c r="F48" s="299" t="s">
        <v>23</v>
      </c>
      <c r="G48" s="245">
        <f>D48</f>
        <v>-0.14599999999999999</v>
      </c>
      <c r="H48" s="248" t="s">
        <v>255</v>
      </c>
      <c r="I48" s="408">
        <f>G48/SQRT(3)</f>
        <v>-8.429313930168536E-2</v>
      </c>
      <c r="J48" s="245"/>
      <c r="K48" s="250"/>
      <c r="L48" s="408">
        <f>-((D13-D11)/D43)*(D43-D21)/(D37-D21)*D49</f>
        <v>2.4750720083410182E-5</v>
      </c>
      <c r="M48" s="852">
        <f>I48*L48</f>
        <v>-2.0863158958079161E-6</v>
      </c>
      <c r="N48" s="328">
        <f>M48^2</f>
        <v>4.3527140171007873E-12</v>
      </c>
      <c r="O48" s="245">
        <v>100</v>
      </c>
      <c r="P48" s="853">
        <f>N48^2/O48</f>
        <v>1.8946119314665673E-25</v>
      </c>
      <c r="Q48" s="37">
        <f>-(('DATOS GENERALES'!$A$80-'DATOS GENERALES'!$C$80)/'DATOS GENERALES'!$R$21)*('DATOS GENERALES'!$R$21-'DATOS GENERALES'!$M$80)/('DATOS GENERALES'!O$80-'DATOS GENERALES'!$M$80)*'DATOS GENERALES'!$F$22</f>
        <v>2.4745889342911307E-5</v>
      </c>
      <c r="R48" s="1001">
        <f>'Chequeo Balanza '!U38</f>
        <v>350</v>
      </c>
      <c r="S48" s="996">
        <f>'Chequeo Balanza '!V38</f>
        <v>-5.0000000000000001E-4</v>
      </c>
      <c r="T48" s="1002">
        <f>'Chequeo Balanza '!W38</f>
        <v>1.2999999999999999E-3</v>
      </c>
      <c r="U48" s="57"/>
    </row>
    <row r="49" spans="1:21" ht="26.25" thickBot="1" x14ac:dyDescent="0.25">
      <c r="A49" s="244">
        <v>6</v>
      </c>
      <c r="B49" s="255" t="s">
        <v>219</v>
      </c>
      <c r="C49" s="245"/>
      <c r="D49" s="245">
        <f>'DATOS GENERALES'!$F$22</f>
        <v>2.4000000000000001E-4</v>
      </c>
      <c r="E49" s="854" t="s">
        <v>224</v>
      </c>
      <c r="F49" s="248"/>
      <c r="G49" s="855">
        <f>D49*0.1</f>
        <v>2.4000000000000001E-5</v>
      </c>
      <c r="H49" s="248" t="s">
        <v>228</v>
      </c>
      <c r="I49" s="852">
        <f>G49/SQRT(12)</f>
        <v>6.9282032302755094E-6</v>
      </c>
      <c r="J49" s="245"/>
      <c r="K49" s="250" t="s">
        <v>234</v>
      </c>
      <c r="L49" s="408">
        <f>(-'DATOS GENERALES'!Q80/1000)*(D39-20)/(1-D49*(D39-20))</f>
        <v>-6.7877078230155999E-2</v>
      </c>
      <c r="M49" s="856">
        <f t="shared" si="3"/>
        <v>-4.7026619265583023E-7</v>
      </c>
      <c r="N49" s="856">
        <f>M49^2</f>
        <v>2.2115029195501044E-13</v>
      </c>
      <c r="O49" s="245">
        <v>100</v>
      </c>
      <c r="P49" s="857">
        <f t="shared" si="4"/>
        <v>4.8907451631786353E-28</v>
      </c>
      <c r="R49" s="1001">
        <f>'Chequeo Balanza '!U39</f>
        <v>500</v>
      </c>
      <c r="S49" s="996">
        <f>'Chequeo Balanza '!V39</f>
        <v>1E-4</v>
      </c>
      <c r="T49" s="1002">
        <f>'Chequeo Balanza '!W39</f>
        <v>1.6000000000000001E-3</v>
      </c>
      <c r="U49" s="57"/>
    </row>
    <row r="50" spans="1:21" ht="13.5" thickBot="1" x14ac:dyDescent="0.25">
      <c r="A50" s="244">
        <v>7</v>
      </c>
      <c r="B50" s="255" t="s">
        <v>254</v>
      </c>
      <c r="C50" s="245"/>
      <c r="D50" s="245"/>
      <c r="E50" s="245" t="s">
        <v>220</v>
      </c>
      <c r="F50" s="248" t="s">
        <v>256</v>
      </c>
      <c r="G50" s="858">
        <f>+$Q$65</f>
        <v>-3.0052770464246936E-5</v>
      </c>
      <c r="H50" s="248" t="s">
        <v>255</v>
      </c>
      <c r="I50" s="408">
        <f>G50/SQRT(12)</f>
        <v>-8.6754875587135026E-6</v>
      </c>
      <c r="J50" s="245"/>
      <c r="K50" s="250" t="s">
        <v>351</v>
      </c>
      <c r="L50" s="833">
        <f>L12</f>
        <v>1.0025431484402456</v>
      </c>
      <c r="M50" s="852">
        <f t="shared" si="3"/>
        <v>-8.6975506113668153E-6</v>
      </c>
      <c r="N50" s="328">
        <f>M50^2</f>
        <v>7.5647386637287262E-11</v>
      </c>
      <c r="O50" s="245">
        <v>100</v>
      </c>
      <c r="P50" s="853">
        <f t="shared" si="4"/>
        <v>5.7225271050512276E-23</v>
      </c>
      <c r="R50" s="1001">
        <f>'Chequeo Balanza '!U42</f>
        <v>800</v>
      </c>
      <c r="S50" s="996">
        <f>'Chequeo Balanza '!V42</f>
        <v>1.6000000000000001E-3</v>
      </c>
      <c r="T50" s="1002">
        <f>'Chequeo Balanza '!W42</f>
        <v>2.3999999999999998E-3</v>
      </c>
      <c r="U50" s="57"/>
    </row>
    <row r="51" spans="1:21" ht="13.5" thickBot="1" x14ac:dyDescent="0.25">
      <c r="A51" s="244">
        <v>8</v>
      </c>
      <c r="B51" s="255" t="s">
        <v>545</v>
      </c>
      <c r="C51" s="245"/>
      <c r="D51" s="245"/>
      <c r="E51" s="245"/>
      <c r="F51" s="248" t="s">
        <v>227</v>
      </c>
      <c r="G51" s="245">
        <f>STDEV('DATOS GENERALES'!Q70:R79)/1000</f>
        <v>2.860077587668302E-4</v>
      </c>
      <c r="H51" s="248" t="s">
        <v>232</v>
      </c>
      <c r="I51" s="408">
        <f>G51/SQRT(10)</f>
        <v>9.0443594618317408E-5</v>
      </c>
      <c r="J51" s="245"/>
      <c r="K51" s="250" t="str">
        <f>+K50</f>
        <v>cm³</v>
      </c>
      <c r="L51" s="245">
        <v>1</v>
      </c>
      <c r="M51" s="852">
        <f t="shared" si="3"/>
        <v>9.0443594618317408E-5</v>
      </c>
      <c r="N51" s="328">
        <f>M51^2</f>
        <v>8.1800438074825337E-9</v>
      </c>
      <c r="O51" s="245">
        <v>9</v>
      </c>
      <c r="P51" s="853">
        <f t="shared" si="4"/>
        <v>7.4347907435925938E-18</v>
      </c>
      <c r="R51" s="1001">
        <f>'Chequeo Balanza '!U43</f>
        <v>1000</v>
      </c>
      <c r="S51" s="996">
        <f>'Chequeo Balanza '!V43</f>
        <v>5.0000000000000001E-4</v>
      </c>
      <c r="T51" s="1002">
        <f>'Chequeo Balanza '!W43</f>
        <v>3.0000000000000001E-3</v>
      </c>
      <c r="U51" s="3"/>
    </row>
    <row r="52" spans="1:21" ht="13.5" thickBot="1" x14ac:dyDescent="0.25">
      <c r="A52" s="244"/>
      <c r="B52" s="471" t="s">
        <v>448</v>
      </c>
      <c r="C52" s="246"/>
      <c r="D52" s="472">
        <f>IF('DATOS GENERALES'!$N$21='DATOS GENERALES'!$H$165,D9/1000,IF('DATOS GENERALES'!$N$21='DATOS GENERALES'!$H$164,D9,IF('DATOS GENERALES'!$N$21='DATOS GENERALES'!$H$166,D9*1000)))</f>
        <v>0.1</v>
      </c>
      <c r="E52" s="246"/>
      <c r="F52" s="248" t="s">
        <v>227</v>
      </c>
      <c r="G52" s="246">
        <f>IF('DATOS GENERALES'!$F$24="DKD",IF(AND('DATOS GENERALES'!$D$25="Si",'DATOS GENERALES'!$D$24="Fijo"),0.07*D52/100,IF('DATOS GENERALES'!$D$25="No",0,0.1*D52/100)),IF(AND('DATOS GENERALES'!$D$25="Si",'DATOS GENERALES'!$D$24="Fijo"),0.07*D52/100,IF('DATOS GENERALES'!$D$25="No",0,0.1*D52/100))*0)</f>
        <v>0</v>
      </c>
      <c r="H52" s="248" t="s">
        <v>255</v>
      </c>
      <c r="I52" s="257">
        <f>G52/SQRT(12)</f>
        <v>0</v>
      </c>
      <c r="J52" s="246"/>
      <c r="K52" s="250" t="str">
        <f>+K51</f>
        <v>cm³</v>
      </c>
      <c r="L52" s="830">
        <v>1</v>
      </c>
      <c r="M52" s="312">
        <f t="shared" ref="M52:M59" si="5">I52*L52</f>
        <v>0</v>
      </c>
      <c r="N52" s="261">
        <f t="shared" ref="N52:N59" si="6">M52^2</f>
        <v>0</v>
      </c>
      <c r="O52" s="259">
        <v>100</v>
      </c>
      <c r="P52" s="262">
        <f t="shared" ref="P52:P59" si="7">N52^2/O52</f>
        <v>0</v>
      </c>
      <c r="R52" s="1003">
        <f>'Chequeo Balanza '!U44</f>
        <v>1100</v>
      </c>
      <c r="S52" s="1004">
        <f>'Chequeo Balanza '!V44</f>
        <v>8.0000000000000004E-4</v>
      </c>
      <c r="T52" s="1005">
        <f>'Chequeo Balanza '!W44</f>
        <v>3.3E-3</v>
      </c>
      <c r="U52" s="3"/>
    </row>
    <row r="53" spans="1:21" ht="13.5" thickBot="1" x14ac:dyDescent="0.25">
      <c r="A53" s="244"/>
      <c r="B53" s="471" t="s">
        <v>449</v>
      </c>
      <c r="C53" s="246"/>
      <c r="D53" s="246">
        <f>IF('DATOS GENERALES'!$T$19='DATOS GENERALES'!$H$165,'DATOS GENERALES'!$P$19/1000,IF('DATOS GENERALES'!$T$19='DATOS GENERALES'!$H$164,'DATOS GENERALES'!$P$19,IF('DATOS GENERALES'!$T$19='DATOS GENERALES'!$H$166,'DATOS GENERALES'!$P$19*1000)))</f>
        <v>1E-3</v>
      </c>
      <c r="E53" s="246"/>
      <c r="F53" s="248" t="s">
        <v>227</v>
      </c>
      <c r="G53" s="246">
        <f>IF(AND('DATOS GENERALES'!$E$26="Si",'DATOS GENERALES'!$D$24="Variable"),D53,0)</f>
        <v>0</v>
      </c>
      <c r="H53" s="248" t="s">
        <v>255</v>
      </c>
      <c r="I53" s="257">
        <f>G53/SQRT(12)</f>
        <v>0</v>
      </c>
      <c r="J53" s="246"/>
      <c r="K53" s="250" t="str">
        <f>+K52</f>
        <v>cm³</v>
      </c>
      <c r="L53" s="830">
        <v>1</v>
      </c>
      <c r="M53" s="312">
        <f t="shared" si="5"/>
        <v>0</v>
      </c>
      <c r="N53" s="261">
        <f t="shared" si="6"/>
        <v>0</v>
      </c>
      <c r="O53" s="259">
        <v>100</v>
      </c>
      <c r="P53" s="262">
        <f t="shared" si="7"/>
        <v>0</v>
      </c>
      <c r="R53" s="1003">
        <v>1200</v>
      </c>
      <c r="S53" s="1004">
        <v>-2.9999999999999997E-4</v>
      </c>
      <c r="T53" s="1005">
        <v>3.5999999999999999E-3</v>
      </c>
      <c r="U53" s="3"/>
    </row>
    <row r="54" spans="1:21" ht="13.5" thickBot="1" x14ac:dyDescent="0.25">
      <c r="A54" s="244"/>
      <c r="B54" s="471" t="s">
        <v>582</v>
      </c>
      <c r="C54" s="246"/>
      <c r="D54" s="246">
        <f>IF('DATOS GENERALES'!$T$19='DATOS GENERALES'!$H$165,'DATOS GENERALES'!$P$19/1000,IF('DATOS GENERALES'!$T$19='DATOS GENERALES'!$H$164,'DATOS GENERALES'!$P$19,IF('DATOS GENERALES'!$T$19='DATOS GENERALES'!$H$166,'DATOS GENERALES'!$P$19*1000)))</f>
        <v>1E-3</v>
      </c>
      <c r="E54" s="246"/>
      <c r="F54" s="248" t="s">
        <v>227</v>
      </c>
      <c r="G54" s="246">
        <f>IF('DATOS GENERALES'!$C$17="",0,IF(AND(ISNUMBER(SEARCH("digital",'DATOS GENERALES'!$C$17)),'DATOS GENERALES'!$D$24="Variable"),0,IF('DATOS GENERALES'!$D$24="Fijo",0,D54)))</f>
        <v>1E-3</v>
      </c>
      <c r="H54" s="248" t="s">
        <v>255</v>
      </c>
      <c r="I54" s="257">
        <f>G54/SQRT(12)</f>
        <v>2.886751345948129E-4</v>
      </c>
      <c r="J54" s="246"/>
      <c r="K54" s="250" t="str">
        <f>+K53</f>
        <v>cm³</v>
      </c>
      <c r="L54" s="830">
        <v>1</v>
      </c>
      <c r="M54" s="312">
        <f t="shared" ref="M54" si="8">I54*L54</f>
        <v>2.886751345948129E-4</v>
      </c>
      <c r="N54" s="261">
        <f t="shared" ref="N54" si="9">M54^2</f>
        <v>8.3333333333333338E-8</v>
      </c>
      <c r="O54" s="259">
        <v>100</v>
      </c>
      <c r="P54" s="262">
        <f t="shared" ref="P54" si="10">N54^2/O54</f>
        <v>6.944444444444445E-17</v>
      </c>
      <c r="R54" s="154"/>
      <c r="S54" s="306"/>
      <c r="T54" s="154"/>
      <c r="U54" s="3"/>
    </row>
    <row r="55" spans="1:21" ht="13.5" thickBot="1" x14ac:dyDescent="0.25">
      <c r="A55" s="244"/>
      <c r="B55" s="471" t="s">
        <v>450</v>
      </c>
      <c r="C55" s="246"/>
      <c r="D55" s="472">
        <f>IF('DATOS GENERALES'!$T$19='DATOS GENERALES'!$H$165,'DATOS GENERALES'!$Q$80/1000,IF('DATOS GENERALES'!$T$19='DATOS GENERALES'!$H$164,'DATOS GENERALES'!$Q$80,IF('DATOS GENERALES'!$T$19='DATOS GENERALES'!$H$166,'DATOS GENERALES'!$Q$80*1000)))</f>
        <v>0.10309358754630611</v>
      </c>
      <c r="E55" s="246"/>
      <c r="F55" s="248" t="s">
        <v>227</v>
      </c>
      <c r="G55" s="246">
        <f>D55*0.1%</f>
        <v>1.0309358754630612E-4</v>
      </c>
      <c r="H55" s="248" t="s">
        <v>232</v>
      </c>
      <c r="I55" s="257">
        <f>G55/SQRT(3)</f>
        <v>5.9521110521584094E-5</v>
      </c>
      <c r="J55" s="246"/>
      <c r="K55" s="250" t="str">
        <f>+K53</f>
        <v>cm³</v>
      </c>
      <c r="L55" s="830">
        <v>1</v>
      </c>
      <c r="M55" s="312">
        <f t="shared" si="5"/>
        <v>5.9521110521584094E-5</v>
      </c>
      <c r="N55" s="261">
        <f t="shared" si="6"/>
        <v>3.5427625977226285E-9</v>
      </c>
      <c r="O55" s="259">
        <v>100</v>
      </c>
      <c r="P55" s="262">
        <f t="shared" si="7"/>
        <v>1.2551166823822386E-19</v>
      </c>
      <c r="R55" s="154"/>
      <c r="S55" s="306"/>
      <c r="T55" s="154"/>
      <c r="U55" s="3"/>
    </row>
    <row r="56" spans="1:21" ht="13.5" thickBot="1" x14ac:dyDescent="0.25">
      <c r="A56" s="244"/>
      <c r="B56" s="1571" t="s">
        <v>546</v>
      </c>
      <c r="C56" s="1571"/>
      <c r="D56" s="246"/>
      <c r="E56" s="246"/>
      <c r="F56" s="299"/>
      <c r="G56" s="246"/>
      <c r="H56" s="248"/>
      <c r="I56" s="257"/>
      <c r="J56" s="246"/>
      <c r="K56" s="250"/>
      <c r="L56" s="246"/>
      <c r="M56" s="312"/>
      <c r="N56" s="261"/>
      <c r="O56" s="259"/>
      <c r="P56" s="262"/>
      <c r="R56" s="154"/>
      <c r="S56" s="306"/>
      <c r="T56" s="154"/>
      <c r="U56" s="3"/>
    </row>
    <row r="57" spans="1:21" ht="13.5" thickBot="1" x14ac:dyDescent="0.25">
      <c r="A57" s="244"/>
      <c r="B57" s="594" t="s">
        <v>542</v>
      </c>
      <c r="C57" s="595"/>
      <c r="D57" s="585">
        <f>MAX(D39,D44,D22)-MIN(D39,D44,D22)</f>
        <v>0.32476690108306627</v>
      </c>
      <c r="E57" s="246"/>
      <c r="F57" s="299" t="s">
        <v>23</v>
      </c>
      <c r="G57" s="585">
        <f>D57</f>
        <v>0.32476690108306627</v>
      </c>
      <c r="H57" s="248" t="s">
        <v>255</v>
      </c>
      <c r="I57" s="257">
        <f>G57/SQRT(3)</f>
        <v>0.18750425776418889</v>
      </c>
      <c r="J57" s="246"/>
      <c r="K57" s="250"/>
      <c r="L57" s="257">
        <f>('DATOS GENERALES'!$Q$80/1000)*(((1/(D37-D21))-(1/(D43-D21))))*(((-0.00252*D58*(D57+273.15))-(0.34844*D59+D58*(-0.00252*D57+273.15)))/((D57+273.15)^2)/1000)</f>
        <v>-1.8513640483578761E-5</v>
      </c>
      <c r="M57" s="312">
        <f t="shared" si="5"/>
        <v>-3.4713864173864745E-6</v>
      </c>
      <c r="N57" s="261">
        <f t="shared" si="6"/>
        <v>1.2050523658815302E-11</v>
      </c>
      <c r="O57" s="259">
        <v>100</v>
      </c>
      <c r="P57" s="262">
        <f t="shared" si="7"/>
        <v>1.4521512045166735E-24</v>
      </c>
      <c r="R57" s="154"/>
      <c r="S57" s="306"/>
      <c r="T57" s="154"/>
      <c r="U57" s="3"/>
    </row>
    <row r="58" spans="1:21" ht="13.5" thickBot="1" x14ac:dyDescent="0.25">
      <c r="A58" s="244"/>
      <c r="B58" s="594" t="s">
        <v>540</v>
      </c>
      <c r="C58" s="595"/>
      <c r="D58" s="583">
        <f>D29</f>
        <v>54.742541204483395</v>
      </c>
      <c r="E58" s="246"/>
      <c r="F58" s="248" t="s">
        <v>226</v>
      </c>
      <c r="G58" s="585">
        <f>G31</f>
        <v>-0.8590278038207444</v>
      </c>
      <c r="H58" s="248" t="s">
        <v>255</v>
      </c>
      <c r="I58" s="257">
        <f t="shared" ref="I58" si="11">G58/SQRT(3)</f>
        <v>-0.49595993377727982</v>
      </c>
      <c r="J58" s="246"/>
      <c r="K58" s="250"/>
      <c r="L58" s="257">
        <f>('DATOS GENERALES'!Q80/1000)*(((1/(D37-D21))-(1/(D43-D21))))*(((-0.00252*D57+0.020582)/(D57+273.15))/1000)</f>
        <v>6.5367502623711055E-9</v>
      </c>
      <c r="M58" s="312">
        <f t="shared" si="5"/>
        <v>-3.24196622724419E-9</v>
      </c>
      <c r="N58" s="261">
        <f t="shared" si="6"/>
        <v>1.0510345018591928E-17</v>
      </c>
      <c r="O58" s="259">
        <v>100</v>
      </c>
      <c r="P58" s="262">
        <f t="shared" si="7"/>
        <v>1.1046735240984016E-36</v>
      </c>
      <c r="R58" s="154"/>
      <c r="S58" s="306"/>
      <c r="T58" s="154"/>
      <c r="U58" s="3"/>
    </row>
    <row r="59" spans="1:21" ht="13.5" thickBot="1" x14ac:dyDescent="0.25">
      <c r="A59" s="244"/>
      <c r="B59" s="594" t="s">
        <v>541</v>
      </c>
      <c r="C59" s="595"/>
      <c r="D59" s="584">
        <f>D33</f>
        <v>910.34412607728154</v>
      </c>
      <c r="E59" s="246"/>
      <c r="F59" s="248" t="s">
        <v>61</v>
      </c>
      <c r="G59" s="246">
        <v>20</v>
      </c>
      <c r="H59" s="248" t="s">
        <v>544</v>
      </c>
      <c r="I59" s="257">
        <f>G59/SQRT(6)</f>
        <v>8.1649658092772608</v>
      </c>
      <c r="J59" s="246"/>
      <c r="K59" s="250"/>
      <c r="L59" s="257">
        <f>('DATOS GENERALES'!Q80/1000)*(((1/(D37-D21))-((1/(D43-D21))))*(0.34844/(D57+273.15))/1000)</f>
        <v>1.1524553788004019E-7</v>
      </c>
      <c r="M59" s="312">
        <f t="shared" si="5"/>
        <v>9.4097587646229557E-7</v>
      </c>
      <c r="N59" s="261">
        <f t="shared" si="6"/>
        <v>8.8543560008398528E-13</v>
      </c>
      <c r="O59" s="259">
        <v>100</v>
      </c>
      <c r="P59" s="262">
        <f t="shared" si="7"/>
        <v>7.8399620189608711E-27</v>
      </c>
      <c r="R59" s="154"/>
      <c r="S59" s="306"/>
      <c r="T59" s="154"/>
      <c r="U59" s="3"/>
    </row>
    <row r="60" spans="1:21" ht="13.5" thickBot="1" x14ac:dyDescent="0.25">
      <c r="A60" s="599"/>
      <c r="B60" s="599"/>
      <c r="C60" s="599"/>
      <c r="D60" s="599"/>
      <c r="E60" s="599"/>
      <c r="F60" s="599"/>
      <c r="G60" s="599"/>
      <c r="H60" s="599"/>
      <c r="I60" s="599"/>
      <c r="J60" s="599"/>
      <c r="K60" s="599"/>
      <c r="L60" s="599"/>
      <c r="M60" s="599"/>
      <c r="N60" s="599"/>
      <c r="O60" s="599"/>
      <c r="P60" s="599"/>
      <c r="R60" s="154"/>
      <c r="S60" s="306"/>
      <c r="T60" s="154"/>
      <c r="U60" s="3"/>
    </row>
    <row r="61" spans="1:21" ht="13.5" thickBot="1" x14ac:dyDescent="0.25">
      <c r="A61" s="264"/>
      <c r="B61" s="265" t="s">
        <v>239</v>
      </c>
      <c r="C61" s="266"/>
      <c r="D61" s="266"/>
      <c r="E61" s="563">
        <f>M61</f>
        <v>3.2195786093367851E-4</v>
      </c>
      <c r="F61" s="267" t="s">
        <v>227</v>
      </c>
      <c r="G61" s="266"/>
      <c r="H61" s="267" t="s">
        <v>231</v>
      </c>
      <c r="I61" s="268"/>
      <c r="J61" s="266"/>
      <c r="K61" s="269" t="s">
        <v>227</v>
      </c>
      <c r="L61" s="266"/>
      <c r="M61" s="350">
        <f>+SQRT(SUM(N9:N59))</f>
        <v>3.2195786093367851E-4</v>
      </c>
      <c r="N61" s="231"/>
      <c r="O61" s="272" t="s">
        <v>244</v>
      </c>
      <c r="P61" s="274">
        <f>+POWER(M61,4)/SUM(P9:P59)</f>
        <v>138.89838810765019</v>
      </c>
      <c r="Q61" s="37"/>
      <c r="U61" s="143"/>
    </row>
    <row r="62" spans="1:21" ht="13.5" thickBot="1" x14ac:dyDescent="0.25">
      <c r="A62" s="264"/>
      <c r="B62" s="265" t="s">
        <v>68</v>
      </c>
      <c r="C62" s="266"/>
      <c r="D62" s="266"/>
      <c r="E62" s="564">
        <f>P63</f>
        <v>0.64980120000000008</v>
      </c>
      <c r="F62" s="267" t="s">
        <v>227</v>
      </c>
      <c r="G62" s="266"/>
      <c r="H62" s="267" t="s">
        <v>231</v>
      </c>
      <c r="I62" s="268"/>
      <c r="J62" s="266"/>
      <c r="K62" s="269" t="s">
        <v>227</v>
      </c>
      <c r="L62" s="266"/>
      <c r="M62" s="271">
        <f>+M61*P62</f>
        <v>6.4980122399480652E-4</v>
      </c>
      <c r="N62" s="1"/>
      <c r="O62" s="273"/>
      <c r="P62" s="274">
        <f>+TINV(0.0455,P61)</f>
        <v>2.0182803492058916</v>
      </c>
      <c r="S62" s="1575"/>
      <c r="T62" s="1575"/>
      <c r="U62" s="3"/>
    </row>
    <row r="63" spans="1:21" ht="13.5" thickBot="1" x14ac:dyDescent="0.25">
      <c r="A63" s="264"/>
      <c r="B63" s="265" t="s">
        <v>68</v>
      </c>
      <c r="C63" s="266"/>
      <c r="D63" s="266"/>
      <c r="E63" s="565">
        <f>M63</f>
        <v>0.64980120000000008</v>
      </c>
      <c r="F63" s="267" t="s">
        <v>226</v>
      </c>
      <c r="G63" s="266"/>
      <c r="H63" s="267" t="s">
        <v>231</v>
      </c>
      <c r="I63" s="268"/>
      <c r="J63" s="266"/>
      <c r="K63" s="269" t="s">
        <v>226</v>
      </c>
      <c r="L63" s="266"/>
      <c r="M63" s="271">
        <f>+P63/D9*100</f>
        <v>0.64980120000000008</v>
      </c>
      <c r="N63" s="1"/>
      <c r="O63" s="272" t="s">
        <v>245</v>
      </c>
      <c r="P63" s="859">
        <f>IF('DATOS GENERALES'!$N$21="µL",ROUND(M62,10)*1000,IF('DATOS GENERALES'!$N$21="L",ROUND(M62,10)/1000,ROUND(M62,6)))</f>
        <v>0.64980120000000008</v>
      </c>
      <c r="Q63" t="str">
        <f>+'DATOS GENERALES'!H68</f>
        <v>µL</v>
      </c>
    </row>
    <row r="64" spans="1:21" s="128" customFormat="1" x14ac:dyDescent="0.2">
      <c r="B64" s="209" t="str">
        <f>O61</f>
        <v>v EF</v>
      </c>
      <c r="C64" s="566">
        <f>P61</f>
        <v>138.89838810765019</v>
      </c>
      <c r="D64" s="209" t="s">
        <v>495</v>
      </c>
      <c r="E64" s="567">
        <f>P62</f>
        <v>2.0182803492058916</v>
      </c>
    </row>
    <row r="65" spans="1:21" s="128" customFormat="1" x14ac:dyDescent="0.2">
      <c r="A65" s="1568"/>
      <c r="B65" s="1568"/>
      <c r="C65" s="1568">
        <f>+'DATOS GENERALES'!D41*15</f>
        <v>-2.9999999999999997E-5</v>
      </c>
      <c r="D65" s="1568"/>
      <c r="E65" s="1569">
        <v>18</v>
      </c>
      <c r="F65" s="1569"/>
      <c r="G65" s="1582">
        <v>20</v>
      </c>
      <c r="H65" s="1582"/>
      <c r="I65" s="1583">
        <v>50</v>
      </c>
      <c r="J65" s="1583"/>
      <c r="K65" s="1583">
        <v>806</v>
      </c>
      <c r="L65" s="1583"/>
      <c r="M65" s="1577">
        <f>((0.34847858*K65-(0.009175*I65*EXP((0.062492*G65)+(-0.0000523*K65))))/(273.15+G65))/1000</f>
        <v>9.5288719036776888E-4</v>
      </c>
      <c r="N65" s="1577"/>
      <c r="O65" s="1576">
        <f>VLOOKUP(E65,'Densidad del Agua'!$J$12:$K$82,2,0)</f>
        <v>0.99859836137731894</v>
      </c>
      <c r="P65" s="1576"/>
      <c r="Q65" s="1578">
        <f>+C65*1/(O65-M65)*(1-M65/'DATOS GENERALES'!R21)*(1-'DATOS GENERALES'!F22*('DATOS GENERALES'!M22-'INCERTIDUMBRE DE LA MEDIDA'!E65))</f>
        <v>-3.0052770464246936E-5</v>
      </c>
      <c r="R65" s="1578"/>
      <c r="S65" s="1576"/>
      <c r="T65" s="1576"/>
    </row>
    <row r="66" spans="1:21" s="128" customFormat="1" x14ac:dyDescent="0.2"/>
    <row r="67" spans="1:21" x14ac:dyDescent="0.2">
      <c r="N67" s="307"/>
    </row>
    <row r="69" spans="1:21" ht="39" customHeight="1" thickBot="1" x14ac:dyDescent="0.25">
      <c r="A69" s="202" t="s">
        <v>184</v>
      </c>
      <c r="B69" s="1567" t="s">
        <v>186</v>
      </c>
      <c r="C69" s="1567"/>
      <c r="D69" s="203" t="s">
        <v>195</v>
      </c>
      <c r="E69" s="204" t="s">
        <v>185</v>
      </c>
      <c r="F69" s="204" t="s">
        <v>22</v>
      </c>
      <c r="G69" s="204" t="s">
        <v>187</v>
      </c>
      <c r="H69" s="203" t="s">
        <v>188</v>
      </c>
      <c r="I69" s="1567" t="s">
        <v>189</v>
      </c>
      <c r="J69" s="1567"/>
      <c r="K69" s="1567" t="s">
        <v>190</v>
      </c>
      <c r="L69" s="1567"/>
      <c r="M69" s="203" t="s">
        <v>193</v>
      </c>
      <c r="N69" s="203" t="s">
        <v>191</v>
      </c>
      <c r="O69" s="203" t="s">
        <v>192</v>
      </c>
      <c r="P69" s="203" t="s">
        <v>194</v>
      </c>
      <c r="Q69" s="402">
        <v>2</v>
      </c>
      <c r="R69" s="1572" t="s">
        <v>312</v>
      </c>
      <c r="S69" s="1572"/>
      <c r="U69" s="579">
        <v>2</v>
      </c>
    </row>
    <row r="70" spans="1:21" x14ac:dyDescent="0.2">
      <c r="A70" s="315">
        <v>0</v>
      </c>
      <c r="B70" s="592" t="s">
        <v>196</v>
      </c>
      <c r="C70" s="592"/>
      <c r="D70" s="580">
        <f>'DATOS GENERALES'!F84</f>
        <v>500</v>
      </c>
      <c r="E70" s="316"/>
      <c r="F70" s="316"/>
      <c r="G70" s="316"/>
      <c r="H70" s="316"/>
      <c r="I70" s="316"/>
      <c r="J70" s="316"/>
      <c r="K70" s="316"/>
      <c r="L70" s="316"/>
      <c r="M70" s="316"/>
      <c r="N70" s="316"/>
      <c r="O70" s="316"/>
      <c r="P70" s="317"/>
      <c r="Q70" s="1"/>
      <c r="R70" s="1" t="s">
        <v>163</v>
      </c>
      <c r="S70" s="37">
        <f>3.4847858/10</f>
        <v>0.34847857999999998</v>
      </c>
    </row>
    <row r="71" spans="1:21" x14ac:dyDescent="0.2">
      <c r="A71" s="219">
        <v>1</v>
      </c>
      <c r="B71" s="593" t="s">
        <v>197</v>
      </c>
      <c r="C71" s="593"/>
      <c r="D71" s="862">
        <f>'DATOS CORRECCIONES EQUIPOS EMPL'!BB44</f>
        <v>0.50208365414273715</v>
      </c>
      <c r="E71" s="232"/>
      <c r="F71" s="232"/>
      <c r="G71" s="232"/>
      <c r="H71" s="232"/>
      <c r="I71" s="232"/>
      <c r="J71" s="232"/>
      <c r="K71" s="232"/>
      <c r="L71" s="232"/>
      <c r="M71" s="232"/>
      <c r="N71" s="232"/>
      <c r="O71" s="232"/>
      <c r="P71" s="318"/>
      <c r="Q71" s="120"/>
      <c r="R71" s="1" t="s">
        <v>85</v>
      </c>
      <c r="S71" s="37">
        <f>9.1748/1000</f>
        <v>9.1747999999999986E-3</v>
      </c>
    </row>
    <row r="72" spans="1:21" x14ac:dyDescent="0.2">
      <c r="A72" s="98" t="s">
        <v>200</v>
      </c>
      <c r="B72" s="1"/>
      <c r="C72" s="278" t="s">
        <v>198</v>
      </c>
      <c r="D72" s="582">
        <f>AVERAGE('DATOS CORRECCIONES EQUIPOS EMPL'!C32:C41)</f>
        <v>28.043386070792376</v>
      </c>
      <c r="E72" s="1"/>
      <c r="F72" s="102"/>
      <c r="G72" s="1"/>
      <c r="H72" s="102"/>
      <c r="I72" s="1"/>
      <c r="J72" s="1"/>
      <c r="K72" s="104"/>
      <c r="L72" s="1"/>
      <c r="M72" s="1"/>
      <c r="N72" s="1"/>
      <c r="O72" s="1"/>
      <c r="P72" s="319"/>
      <c r="R72" s="1" t="s">
        <v>86</v>
      </c>
      <c r="S72" s="37">
        <f>6.2492/100</f>
        <v>6.2491999999999999E-2</v>
      </c>
    </row>
    <row r="73" spans="1:21" x14ac:dyDescent="0.2">
      <c r="A73" s="219"/>
      <c r="B73" s="232"/>
      <c r="C73" s="211" t="s">
        <v>182</v>
      </c>
      <c r="D73" s="232"/>
      <c r="E73" s="232" t="s">
        <v>65</v>
      </c>
      <c r="F73" s="213" t="s">
        <v>67</v>
      </c>
      <c r="G73" s="232">
        <f>'Chequeo Balanza '!$F$12</f>
        <v>1.0000000000000001E-5</v>
      </c>
      <c r="H73" s="213" t="s">
        <v>228</v>
      </c>
      <c r="I73" s="320">
        <f>G73/SQRT(12)</f>
        <v>2.8867513459481293E-6</v>
      </c>
      <c r="J73" s="232"/>
      <c r="K73" s="213" t="s">
        <v>228</v>
      </c>
      <c r="L73" s="441">
        <f>+('DATOS GENERALES'!$Q$96/1000)/(D72-D74)</f>
        <v>1.0027249834670313</v>
      </c>
      <c r="M73" s="283">
        <f>I73*L73</f>
        <v>2.8946176956392686E-6</v>
      </c>
      <c r="N73" s="234">
        <f>M73^2</f>
        <v>8.378811603907989E-12</v>
      </c>
      <c r="O73" s="232">
        <v>100</v>
      </c>
      <c r="P73" s="321">
        <f>N73^2/O73</f>
        <v>7.0204483893783174E-25</v>
      </c>
      <c r="R73" s="1" t="s">
        <v>88</v>
      </c>
      <c r="S73" s="114">
        <f>- 5.23/100000</f>
        <v>-5.2300000000000004E-5</v>
      </c>
      <c r="U73" s="120"/>
    </row>
    <row r="74" spans="1:21" x14ac:dyDescent="0.2">
      <c r="A74" s="98" t="s">
        <v>201</v>
      </c>
      <c r="B74" s="1"/>
      <c r="C74" s="1" t="s">
        <v>199</v>
      </c>
      <c r="D74" s="582">
        <f>AVERAGE('DATOS CORRECCIONES EQUIPOS EMPL'!A32:A41)</f>
        <v>27.541302416649643</v>
      </c>
      <c r="E74" s="1"/>
      <c r="F74" s="102"/>
      <c r="G74" s="1"/>
      <c r="H74" s="102"/>
      <c r="I74" s="1"/>
      <c r="J74" s="1"/>
      <c r="K74" s="102"/>
      <c r="L74" s="322"/>
      <c r="M74" s="1"/>
      <c r="N74" s="1"/>
      <c r="O74" s="1"/>
      <c r="P74" s="319"/>
      <c r="R74" s="1" t="s">
        <v>240</v>
      </c>
      <c r="S74">
        <v>273.14999999999998</v>
      </c>
      <c r="U74" s="120"/>
    </row>
    <row r="75" spans="1:21" ht="13.5" thickBot="1" x14ac:dyDescent="0.25">
      <c r="A75" s="219"/>
      <c r="B75" s="232"/>
      <c r="C75" s="211" t="s">
        <v>182</v>
      </c>
      <c r="D75" s="232"/>
      <c r="E75" s="232" t="s">
        <v>65</v>
      </c>
      <c r="F75" s="213" t="s">
        <v>67</v>
      </c>
      <c r="G75" s="311">
        <f>'Chequeo Balanza '!$F$13</f>
        <v>1.0000000000000001E-5</v>
      </c>
      <c r="H75" s="213" t="s">
        <v>228</v>
      </c>
      <c r="I75" s="234">
        <f>G75/SQRT(12)</f>
        <v>2.8867513459481293E-6</v>
      </c>
      <c r="J75" s="232"/>
      <c r="K75" s="213" t="s">
        <v>228</v>
      </c>
      <c r="L75" s="441">
        <f>+L73</f>
        <v>1.0027249834670313</v>
      </c>
      <c r="M75" s="283">
        <f>I75*L75</f>
        <v>2.8946176956392686E-6</v>
      </c>
      <c r="N75" s="234">
        <f>M75^2</f>
        <v>8.378811603907989E-12</v>
      </c>
      <c r="O75" s="232">
        <v>100</v>
      </c>
      <c r="P75" s="321">
        <f>N75^2/O75</f>
        <v>7.0204483893783174E-25</v>
      </c>
      <c r="R75" s="1" t="s">
        <v>241</v>
      </c>
      <c r="S75">
        <f>+S72*D86+S73*D94</f>
        <v>-4.7610997793841828E-2</v>
      </c>
      <c r="U75" s="120"/>
    </row>
    <row r="76" spans="1:21" ht="13.5" thickBot="1" x14ac:dyDescent="0.25">
      <c r="A76" s="834"/>
      <c r="B76" s="834"/>
      <c r="C76" s="835"/>
      <c r="D76" s="836"/>
      <c r="E76" s="835"/>
      <c r="F76" s="836"/>
      <c r="G76" s="837"/>
      <c r="H76" s="836"/>
      <c r="I76" s="838"/>
      <c r="J76" s="835"/>
      <c r="K76" s="839"/>
      <c r="L76" s="844"/>
      <c r="M76" s="840"/>
      <c r="N76" s="841"/>
      <c r="O76" s="842"/>
      <c r="P76" s="843"/>
      <c r="R76" s="1" t="s">
        <v>242</v>
      </c>
      <c r="S76">
        <f>+EXP(S75)</f>
        <v>0.95350463034819055</v>
      </c>
      <c r="U76" s="120"/>
    </row>
    <row r="77" spans="1:21" x14ac:dyDescent="0.2">
      <c r="A77" s="219">
        <v>1.3</v>
      </c>
      <c r="B77" s="232"/>
      <c r="C77" s="211" t="s">
        <v>355</v>
      </c>
      <c r="D77" s="232"/>
      <c r="E77" s="232" t="s">
        <v>66</v>
      </c>
      <c r="F77" s="213" t="s">
        <v>67</v>
      </c>
      <c r="G77" s="232">
        <f>IF('Chequeo Balanza '!$N$5='Chequeo Balanza '!$L$6,VLOOKUP('Chequeo Balanza '!$K$12,'INCERTIDUMBRE DE LA MEDIDA'!$R$31:$T$42,3,TRUE),VLOOKUP('Chequeo Balanza '!$K$12,'INCERTIDUMBRE DE LA MEDIDA'!$R$20:$T$30,3,TRUE))</f>
        <v>5.3000000000000001E-5</v>
      </c>
      <c r="H77" s="213" t="s">
        <v>229</v>
      </c>
      <c r="I77" s="323">
        <f>G77/2</f>
        <v>2.65E-5</v>
      </c>
      <c r="J77" s="232"/>
      <c r="K77" s="215" t="s">
        <v>233</v>
      </c>
      <c r="L77" s="441">
        <f>+L73</f>
        <v>1.0027249834670313</v>
      </c>
      <c r="M77" s="323">
        <f>I77*L77</f>
        <v>2.6572212061876332E-5</v>
      </c>
      <c r="N77" s="234">
        <f>M77^2</f>
        <v>7.06082453861326E-10</v>
      </c>
      <c r="O77" s="232">
        <v>50</v>
      </c>
      <c r="P77" s="321">
        <f>N77^2/O77</f>
        <v>9.9710486330166313E-21</v>
      </c>
      <c r="R77" s="1" t="s">
        <v>243</v>
      </c>
      <c r="S77" s="1">
        <f>273.15+D86</f>
        <v>273.14999999999998</v>
      </c>
      <c r="U77" s="120"/>
    </row>
    <row r="78" spans="1:21" x14ac:dyDescent="0.2">
      <c r="A78" s="219">
        <v>1.4</v>
      </c>
      <c r="B78" s="232"/>
      <c r="C78" s="211" t="s">
        <v>356</v>
      </c>
      <c r="D78" s="232"/>
      <c r="E78" s="232" t="s">
        <v>66</v>
      </c>
      <c r="F78" s="213" t="s">
        <v>67</v>
      </c>
      <c r="G78" s="232">
        <f>IF('Chequeo Balanza '!$N$5='Chequeo Balanza '!$L$6,VLOOKUP('Chequeo Balanza '!$K$13,'INCERTIDUMBRE DE LA MEDIDA'!$R$31:$T$42,3,TRUE),VLOOKUP('Chequeo Balanza '!$K$13,'INCERTIDUMBRE DE LA MEDIDA'!$R$20:$T$30,3,TRUE))</f>
        <v>9.1000000000000003E-5</v>
      </c>
      <c r="H78" s="213" t="s">
        <v>229</v>
      </c>
      <c r="I78" s="323">
        <f>G78/2</f>
        <v>4.5500000000000001E-5</v>
      </c>
      <c r="J78" s="232"/>
      <c r="K78" s="215" t="s">
        <v>233</v>
      </c>
      <c r="L78" s="441">
        <f>+L73</f>
        <v>1.0027249834670313</v>
      </c>
      <c r="M78" s="323">
        <f>I78*L78</f>
        <v>4.5623986747749929E-5</v>
      </c>
      <c r="N78" s="234">
        <f>M78^2</f>
        <v>2.0815481667588611E-9</v>
      </c>
      <c r="O78" s="232">
        <v>50</v>
      </c>
      <c r="P78" s="321">
        <f>N78^2/O78</f>
        <v>8.6656855410743511E-20</v>
      </c>
      <c r="U78" s="120"/>
    </row>
    <row r="79" spans="1:21" x14ac:dyDescent="0.2">
      <c r="A79" s="219">
        <v>1.5</v>
      </c>
      <c r="B79" s="232"/>
      <c r="C79" s="211" t="s">
        <v>347</v>
      </c>
      <c r="D79" s="232"/>
      <c r="E79" s="232" t="s">
        <v>349</v>
      </c>
      <c r="F79" s="213" t="s">
        <v>67</v>
      </c>
      <c r="G79" s="232">
        <f>+'DATOS GENERALES'!$D$37</f>
        <v>2.0000000000000001E-4</v>
      </c>
      <c r="H79" s="213" t="s">
        <v>228</v>
      </c>
      <c r="I79" s="323">
        <f>G79/SQRT(12)</f>
        <v>5.7735026918962585E-5</v>
      </c>
      <c r="J79" s="232"/>
      <c r="K79" s="213" t="s">
        <v>228</v>
      </c>
      <c r="L79" s="441">
        <f>+L77</f>
        <v>1.0027249834670313</v>
      </c>
      <c r="M79" s="323">
        <f>I79*L79</f>
        <v>5.7892353912785363E-5</v>
      </c>
      <c r="N79" s="234">
        <f>M79^2</f>
        <v>3.3515246415631948E-9</v>
      </c>
      <c r="O79" s="232">
        <v>50</v>
      </c>
      <c r="P79" s="321">
        <f>N79^2/O79</f>
        <v>2.2465434846010602E-19</v>
      </c>
      <c r="U79" s="120"/>
    </row>
    <row r="80" spans="1:21" x14ac:dyDescent="0.2">
      <c r="A80" s="215">
        <v>1.6</v>
      </c>
      <c r="B80" s="232"/>
      <c r="C80" s="211" t="s">
        <v>348</v>
      </c>
      <c r="D80" s="232"/>
      <c r="E80" s="232" t="s">
        <v>349</v>
      </c>
      <c r="F80" s="213" t="s">
        <v>67</v>
      </c>
      <c r="G80" s="283">
        <f>+'DATOS GENERALES'!$D$39</f>
        <v>1E-4</v>
      </c>
      <c r="H80" s="213" t="s">
        <v>228</v>
      </c>
      <c r="I80" s="323">
        <f>G80/SQRT(12)</f>
        <v>2.8867513459481293E-5</v>
      </c>
      <c r="J80" s="232"/>
      <c r="K80" s="213" t="s">
        <v>228</v>
      </c>
      <c r="L80" s="441">
        <f>+L77</f>
        <v>1.0027249834670313</v>
      </c>
      <c r="M80" s="323">
        <f>I80*L80</f>
        <v>2.8946176956392682E-5</v>
      </c>
      <c r="N80" s="234">
        <f>M80^2</f>
        <v>8.3788116039079869E-10</v>
      </c>
      <c r="O80" s="232">
        <v>50</v>
      </c>
      <c r="P80" s="321">
        <f>N80^2/O80</f>
        <v>1.4040896778756627E-20</v>
      </c>
      <c r="Q80" s="415" t="s">
        <v>558</v>
      </c>
      <c r="U80" s="120"/>
    </row>
    <row r="81" spans="1:21" ht="13.5" thickBot="1" x14ac:dyDescent="0.25">
      <c r="A81" s="220">
        <v>1.7</v>
      </c>
      <c r="B81" s="222"/>
      <c r="C81" s="223" t="s">
        <v>352</v>
      </c>
      <c r="D81" s="222"/>
      <c r="E81" s="232" t="s">
        <v>353</v>
      </c>
      <c r="F81" s="213" t="s">
        <v>67</v>
      </c>
      <c r="G81" s="209">
        <f>+G77</f>
        <v>5.3000000000000001E-5</v>
      </c>
      <c r="H81" s="213" t="s">
        <v>228</v>
      </c>
      <c r="I81" s="323">
        <f>G81/SQRT(12)</f>
        <v>1.5299782133525084E-5</v>
      </c>
      <c r="J81" s="209"/>
      <c r="K81" s="213" t="s">
        <v>228</v>
      </c>
      <c r="L81" s="441">
        <f>+L80</f>
        <v>1.0027249834670313</v>
      </c>
      <c r="M81" s="323">
        <f>I81*L81</f>
        <v>1.5341473786888121E-5</v>
      </c>
      <c r="N81" s="234">
        <f>M81^2</f>
        <v>2.3536081795377533E-10</v>
      </c>
      <c r="O81" s="232">
        <v>51</v>
      </c>
      <c r="P81" s="321">
        <f>N81^2/O81</f>
        <v>1.0861708750562779E-21</v>
      </c>
      <c r="Q81" s="414">
        <f>+(0.0632693-(2*(0.00852329*'DATOS GENERALES'!$E$96))+(3*(0.00006943248*0.00852329*'DATOS GENERALES'!$E$96^2))-(4*(0.0000003821216*'DATOS GENERALES'!$E$96^3)))/1000</f>
        <v>-3.0267554469345074E-4</v>
      </c>
      <c r="U81" s="120"/>
    </row>
    <row r="82" spans="1:21" x14ac:dyDescent="0.2">
      <c r="A82" s="241">
        <v>2</v>
      </c>
      <c r="B82" s="599"/>
      <c r="C82" s="314" t="s">
        <v>628</v>
      </c>
      <c r="D82" s="314">
        <f>'DATOS GENERALES'!M96</f>
        <v>1.0727635177986464E-3</v>
      </c>
      <c r="E82" s="227"/>
      <c r="F82" s="327"/>
      <c r="G82" s="227"/>
      <c r="H82" s="327"/>
      <c r="I82" s="328"/>
      <c r="J82" s="227"/>
      <c r="K82" s="329"/>
      <c r="L82" s="827"/>
      <c r="M82" s="227"/>
      <c r="N82" s="227"/>
      <c r="O82" s="227"/>
      <c r="P82" s="330"/>
      <c r="Q82" s="1"/>
      <c r="U82" s="120"/>
    </row>
    <row r="83" spans="1:21" x14ac:dyDescent="0.2">
      <c r="A83" s="232"/>
      <c r="B83" s="232" t="s">
        <v>346</v>
      </c>
      <c r="C83" s="232"/>
      <c r="D83" s="818">
        <f>AVERAGE('DATOS CORRECCIONES EQUIPOS EMPL'!G32:G41)</f>
        <v>20.884773133008597</v>
      </c>
      <c r="E83" s="232"/>
      <c r="F83" s="213"/>
      <c r="G83" s="233"/>
      <c r="H83" s="213"/>
      <c r="I83" s="234"/>
      <c r="J83" s="232"/>
      <c r="K83" s="215"/>
      <c r="L83" s="828"/>
      <c r="M83" s="234"/>
      <c r="N83" s="323"/>
      <c r="O83" s="232"/>
      <c r="P83" s="326"/>
      <c r="Q83" s="120"/>
      <c r="U83" s="120"/>
    </row>
    <row r="84" spans="1:21" x14ac:dyDescent="0.2">
      <c r="A84" s="1"/>
      <c r="B84" s="1"/>
      <c r="E84" s="1"/>
      <c r="F84" s="102"/>
      <c r="G84" s="333"/>
      <c r="H84" s="102"/>
      <c r="I84" s="114"/>
      <c r="J84" s="1"/>
      <c r="K84" s="104"/>
      <c r="L84" s="829"/>
      <c r="M84" s="125"/>
      <c r="N84" s="126"/>
      <c r="O84" s="1"/>
      <c r="P84" s="331"/>
      <c r="U84" s="120"/>
    </row>
    <row r="85" spans="1:21" x14ac:dyDescent="0.2">
      <c r="A85" s="219" t="s">
        <v>206</v>
      </c>
      <c r="B85" s="232"/>
      <c r="C85" s="232" t="s">
        <v>202</v>
      </c>
      <c r="D85" s="232">
        <f>0.00068</f>
        <v>6.8000000000000005E-4</v>
      </c>
      <c r="E85" s="232" t="s">
        <v>636</v>
      </c>
      <c r="F85" s="213" t="s">
        <v>171</v>
      </c>
      <c r="G85" s="283">
        <f>D82*D85</f>
        <v>7.2947919210307965E-7</v>
      </c>
      <c r="H85" s="213" t="s">
        <v>255</v>
      </c>
      <c r="I85" s="283">
        <f>D85/SQRT(3)</f>
        <v>3.9259818304894555E-4</v>
      </c>
      <c r="J85" s="232"/>
      <c r="K85" s="215"/>
      <c r="L85" s="323">
        <f>('DATOS GENERALES'!$Q$96/1000)*((1/('INCERTIDUMBRE DE LA MEDIDA'!D98-'INCERTIDUMBRE DE LA MEDIDA'!D82))-((1/('INCERTIDUMBRE DE LA MEDIDA'!D104-'INCERTIDUMBRE DE LA MEDIDA'!D82))))</f>
        <v>0.44170194759967657</v>
      </c>
      <c r="M85" s="323">
        <f>I85*L85</f>
        <v>1.7341138207681357E-4</v>
      </c>
      <c r="N85" s="234">
        <f>M85^2</f>
        <v>3.0071507433790617E-8</v>
      </c>
      <c r="O85" s="232">
        <v>100</v>
      </c>
      <c r="P85" s="332">
        <f>N85^2/O85</f>
        <v>9.0429555934052447E-18</v>
      </c>
      <c r="U85" s="120"/>
    </row>
    <row r="86" spans="1:21" x14ac:dyDescent="0.2">
      <c r="A86" s="98" t="s">
        <v>207</v>
      </c>
      <c r="B86" s="1"/>
      <c r="C86" s="100" t="s">
        <v>203</v>
      </c>
      <c r="D86" s="124"/>
      <c r="E86" s="1"/>
      <c r="F86" s="1"/>
      <c r="G86" s="1"/>
      <c r="H86" s="1"/>
      <c r="I86" s="1"/>
      <c r="J86" s="1"/>
      <c r="K86" s="1"/>
      <c r="L86" s="114"/>
      <c r="M86" s="1"/>
      <c r="N86" s="1"/>
      <c r="O86" s="1"/>
      <c r="P86" s="331"/>
      <c r="U86" s="120"/>
    </row>
    <row r="87" spans="1:21" x14ac:dyDescent="0.2">
      <c r="A87" s="219"/>
      <c r="B87" s="232"/>
      <c r="C87" s="211" t="s">
        <v>204</v>
      </c>
      <c r="D87" s="232"/>
      <c r="E87" s="232" t="s">
        <v>66</v>
      </c>
      <c r="F87" s="213" t="s">
        <v>23</v>
      </c>
      <c r="G87" s="283">
        <f>'DATOS CORRECCIONES EQUIPOS EMPL'!AB44</f>
        <v>0.27977878625233499</v>
      </c>
      <c r="H87" s="213" t="s">
        <v>229</v>
      </c>
      <c r="I87" s="283">
        <f>G87/2</f>
        <v>0.13988939312616749</v>
      </c>
      <c r="J87" s="232"/>
      <c r="K87" s="215">
        <f>+K83</f>
        <v>0</v>
      </c>
      <c r="L87" s="233">
        <f>((((-0.00252*D90*(D83+273.15))-(0.34844*D94+D90*(-0.00252*D83+273.15)))/(D83+273.15)^2)/1000)*('DATOS GENERALES'!$Q$96/1000)*((1/('INCERTIDUMBRE DE LA MEDIDA'!D98-'INCERTIDUMBRE DE LA MEDIDA'!D82))-((1/('INCERTIDUMBRE DE LA MEDIDA'!D104-'INCERTIDUMBRE DE LA MEDIDA'!D82))))</f>
        <v>-7.8912375559803965E-5</v>
      </c>
      <c r="M87" s="323">
        <f>I87*L87</f>
        <v>-1.1039004327205188E-5</v>
      </c>
      <c r="N87" s="234">
        <f>M87^2</f>
        <v>1.2185961653605488E-10</v>
      </c>
      <c r="O87" s="232">
        <v>50</v>
      </c>
      <c r="P87" s="332">
        <f>N87^2/O87</f>
        <v>2.9699532284628678E-22</v>
      </c>
      <c r="U87" s="120"/>
    </row>
    <row r="88" spans="1:21" x14ac:dyDescent="0.2">
      <c r="A88" s="98"/>
      <c r="B88" s="1"/>
      <c r="C88" s="100" t="s">
        <v>213</v>
      </c>
      <c r="D88" s="1"/>
      <c r="E88" s="1" t="s">
        <v>220</v>
      </c>
      <c r="F88" s="102" t="s">
        <v>23</v>
      </c>
      <c r="G88" s="333">
        <f>MIN('DATOS CORRECCIONES EQUIPOS EMPL'!G32:G41)-MAX('DATOS CORRECCIONES EQUIPOS EMPL'!G32:G41)</f>
        <v>0</v>
      </c>
      <c r="H88" s="102" t="s">
        <v>228</v>
      </c>
      <c r="I88" s="114">
        <f>G88/SQRT(12)</f>
        <v>0</v>
      </c>
      <c r="J88" s="1"/>
      <c r="K88" s="104">
        <f>+K83</f>
        <v>0</v>
      </c>
      <c r="L88" s="125">
        <f>+L87</f>
        <v>-7.8912375559803965E-5</v>
      </c>
      <c r="M88" s="309">
        <f>I88*L88</f>
        <v>0</v>
      </c>
      <c r="N88" s="126">
        <f>M88^2</f>
        <v>0</v>
      </c>
      <c r="O88" s="1">
        <v>100</v>
      </c>
      <c r="P88" s="331">
        <f>N88^2/O88</f>
        <v>0</v>
      </c>
      <c r="U88" s="120"/>
    </row>
    <row r="89" spans="1:21" ht="13.5" thickBot="1" x14ac:dyDescent="0.25">
      <c r="A89" s="324"/>
      <c r="B89" s="325"/>
      <c r="C89" s="223" t="s">
        <v>182</v>
      </c>
      <c r="D89" s="325"/>
      <c r="E89" s="325" t="s">
        <v>221</v>
      </c>
      <c r="F89" s="224" t="s">
        <v>23</v>
      </c>
      <c r="G89" s="325">
        <f>Trazabilidad!AB12</f>
        <v>0.1</v>
      </c>
      <c r="H89" s="224" t="s">
        <v>228</v>
      </c>
      <c r="I89" s="334">
        <f>G89/SQRT(12)</f>
        <v>2.8867513459481291E-2</v>
      </c>
      <c r="J89" s="325"/>
      <c r="K89" s="226">
        <f>+K83</f>
        <v>0</v>
      </c>
      <c r="L89" s="442">
        <f>+L87</f>
        <v>-7.8912375559803965E-5</v>
      </c>
      <c r="M89" s="323">
        <f>I89*L89</f>
        <v>-2.2780040635922836E-6</v>
      </c>
      <c r="N89" s="234">
        <f>M89^2</f>
        <v>5.1893025137429572E-12</v>
      </c>
      <c r="O89" s="325">
        <v>100</v>
      </c>
      <c r="P89" s="332">
        <f t="shared" ref="P89" si="12">N89^2/O89</f>
        <v>2.6928860579138975E-25</v>
      </c>
      <c r="U89" s="120"/>
    </row>
    <row r="90" spans="1:21" x14ac:dyDescent="0.2">
      <c r="A90" s="241" t="s">
        <v>208</v>
      </c>
      <c r="B90" s="227" t="s">
        <v>205</v>
      </c>
      <c r="C90" s="227"/>
      <c r="D90" s="335">
        <f>AVERAGE('DATOS CORRECCIONES EQUIPOS EMPL'!I32:I41)</f>
        <v>55.246824905948628</v>
      </c>
      <c r="E90" s="227"/>
      <c r="F90" s="327"/>
      <c r="G90" s="227"/>
      <c r="H90" s="327"/>
      <c r="I90" s="328"/>
      <c r="J90" s="227"/>
      <c r="K90" s="329"/>
      <c r="L90" s="227"/>
      <c r="M90" s="227"/>
      <c r="N90" s="227"/>
      <c r="O90" s="227"/>
      <c r="P90" s="330"/>
      <c r="U90" s="120"/>
    </row>
    <row r="91" spans="1:21" x14ac:dyDescent="0.2">
      <c r="A91" s="219"/>
      <c r="B91" s="232"/>
      <c r="C91" s="211" t="s">
        <v>204</v>
      </c>
      <c r="D91" s="232"/>
      <c r="E91" s="232" t="s">
        <v>66</v>
      </c>
      <c r="F91" s="213" t="s">
        <v>226</v>
      </c>
      <c r="G91" s="283">
        <f>'DATOS CORRECCIONES EQUIPOS EMPL'!AI44</f>
        <v>0.76301871042532787</v>
      </c>
      <c r="H91" s="213" t="s">
        <v>229</v>
      </c>
      <c r="I91" s="323">
        <f>G91/2</f>
        <v>0.38150935521266394</v>
      </c>
      <c r="J91" s="232"/>
      <c r="K91" s="215" t="s">
        <v>235</v>
      </c>
      <c r="L91" s="283">
        <f>('DATOS GENERALES'!Q96/1000)*(((1/(D98-D82))-(1/(D104-D82))))*(((-0.00252*D83+0.020582)/(D83+273.15))/1000)</f>
        <v>-4.8142264546135537E-8</v>
      </c>
      <c r="M91" s="234">
        <f>I91*L91</f>
        <v>-1.8366724305473661E-8</v>
      </c>
      <c r="N91" s="323">
        <f>M91^2</f>
        <v>3.3733656171327691E-16</v>
      </c>
      <c r="O91" s="232">
        <v>50</v>
      </c>
      <c r="P91" s="336">
        <f>N91^2/O91</f>
        <v>2.2759191173707096E-33</v>
      </c>
      <c r="Q91" s="120"/>
      <c r="U91" s="120"/>
    </row>
    <row r="92" spans="1:21" x14ac:dyDescent="0.2">
      <c r="A92" s="98"/>
      <c r="B92" s="1"/>
      <c r="C92" s="100" t="s">
        <v>212</v>
      </c>
      <c r="D92" s="1"/>
      <c r="E92" s="1" t="s">
        <v>222</v>
      </c>
      <c r="F92" s="102" t="s">
        <v>226</v>
      </c>
      <c r="G92" s="333">
        <f>MIN('DATOS CORRECCIONES EQUIPOS EMPL'!I32:I41)-MAX('DATOS CORRECCIONES EQUIPOS EMPL'!I32:I41)</f>
        <v>-1.3947929984992768</v>
      </c>
      <c r="H92" s="102" t="s">
        <v>228</v>
      </c>
      <c r="I92" s="114">
        <f>G92/SQRT(12)</f>
        <v>-0.40264205657368141</v>
      </c>
      <c r="J92" s="1"/>
      <c r="K92" s="104" t="s">
        <v>235</v>
      </c>
      <c r="L92" s="114">
        <f>+L91</f>
        <v>-4.8142264546135537E-8</v>
      </c>
      <c r="M92" s="309">
        <f>I92*L92</f>
        <v>1.9384100404970243E-8</v>
      </c>
      <c r="N92" s="126">
        <f>M92^2</f>
        <v>3.7574334850996753E-16</v>
      </c>
      <c r="O92" s="1">
        <v>100</v>
      </c>
      <c r="P92" s="331">
        <f t="shared" ref="P92:P93" si="13">N92^2/O92</f>
        <v>1.4118306394948291E-33</v>
      </c>
      <c r="U92" s="120"/>
    </row>
    <row r="93" spans="1:21" ht="13.5" thickBot="1" x14ac:dyDescent="0.25">
      <c r="A93" s="324"/>
      <c r="B93" s="325"/>
      <c r="C93" s="223" t="s">
        <v>182</v>
      </c>
      <c r="D93" s="325"/>
      <c r="E93" s="325" t="s">
        <v>221</v>
      </c>
      <c r="F93" s="224" t="s">
        <v>226</v>
      </c>
      <c r="G93" s="325">
        <f>Trazabilidad!AA12</f>
        <v>0.1</v>
      </c>
      <c r="H93" s="224" t="s">
        <v>228</v>
      </c>
      <c r="I93" s="334">
        <f>G93/SQRT(12)</f>
        <v>2.8867513459481291E-2</v>
      </c>
      <c r="J93" s="325"/>
      <c r="K93" s="226" t="s">
        <v>235</v>
      </c>
      <c r="L93" s="334">
        <f>+L91</f>
        <v>-4.8142264546135537E-8</v>
      </c>
      <c r="M93" s="323">
        <f>I93*L93</f>
        <v>-1.3897474697554765E-9</v>
      </c>
      <c r="N93" s="234">
        <f t="shared" ref="N93" si="14">M93^2</f>
        <v>1.931398029691749E-18</v>
      </c>
      <c r="O93" s="325">
        <v>100</v>
      </c>
      <c r="P93" s="332">
        <f t="shared" si="13"/>
        <v>3.7302983490971701E-38</v>
      </c>
      <c r="U93" s="120"/>
    </row>
    <row r="94" spans="1:21" x14ac:dyDescent="0.2">
      <c r="A94" s="241" t="s">
        <v>209</v>
      </c>
      <c r="B94" s="227" t="s">
        <v>210</v>
      </c>
      <c r="C94" s="227"/>
      <c r="D94" s="337">
        <f>AVERAGE('DATOS CORRECCIONES EQUIPOS EMPL'!K32:K41)</f>
        <v>910.34412607728154</v>
      </c>
      <c r="E94" s="227"/>
      <c r="F94" s="327"/>
      <c r="G94" s="227"/>
      <c r="H94" s="327"/>
      <c r="I94" s="328"/>
      <c r="J94" s="227"/>
      <c r="K94" s="329"/>
      <c r="L94" s="227"/>
      <c r="M94" s="227"/>
      <c r="N94" s="227"/>
      <c r="O94" s="227"/>
      <c r="P94" s="330"/>
      <c r="U94" s="120"/>
    </row>
    <row r="95" spans="1:21" x14ac:dyDescent="0.2">
      <c r="A95" s="219"/>
      <c r="B95" s="232"/>
      <c r="C95" s="211" t="s">
        <v>204</v>
      </c>
      <c r="D95" s="232"/>
      <c r="E95" s="232" t="s">
        <v>66</v>
      </c>
      <c r="F95" s="213" t="s">
        <v>61</v>
      </c>
      <c r="G95" s="283">
        <f>'DATOS CORRECCIONES EQUIPOS EMPL'!AP44</f>
        <v>0.44000000659045196</v>
      </c>
      <c r="H95" s="213" t="s">
        <v>229</v>
      </c>
      <c r="I95" s="323">
        <f>G95/2</f>
        <v>0.22000000329522598</v>
      </c>
      <c r="J95" s="232"/>
      <c r="K95" s="215" t="s">
        <v>236</v>
      </c>
      <c r="L95" s="283">
        <f>('DATOS GENERALES'!Q96/1000)*(((1/(D98-D82))-(1/(D104-D82))))*((0.34844/(D83+273.15))/1000)</f>
        <v>5.2343001809520881E-7</v>
      </c>
      <c r="M95" s="323">
        <f>I95*L95</f>
        <v>1.1515460570576614E-7</v>
      </c>
      <c r="N95" s="323">
        <f>M95^2</f>
        <v>1.3260583215250468E-14</v>
      </c>
      <c r="O95" s="232">
        <v>50</v>
      </c>
      <c r="P95" s="340">
        <f>N95^2/O95</f>
        <v>3.5168613441716485E-30</v>
      </c>
      <c r="Q95" s="120"/>
      <c r="U95" s="120"/>
    </row>
    <row r="96" spans="1:21" x14ac:dyDescent="0.2">
      <c r="A96" s="98"/>
      <c r="B96" s="1"/>
      <c r="C96" s="100" t="s">
        <v>211</v>
      </c>
      <c r="D96" s="1"/>
      <c r="E96" s="1" t="s">
        <v>222</v>
      </c>
      <c r="F96" s="102" t="s">
        <v>61</v>
      </c>
      <c r="G96" s="1">
        <f>MIN('DATOS CORRECCIONES EQUIPOS EMPL'!K32:K41)-MAX('DATOS CORRECCIONES EQUIPOS EMPL'!K32:K41)</f>
        <v>0</v>
      </c>
      <c r="H96" s="102" t="s">
        <v>228</v>
      </c>
      <c r="I96" s="114">
        <f>G96/SQRT(12)</f>
        <v>0</v>
      </c>
      <c r="J96" s="1"/>
      <c r="K96" s="104" t="s">
        <v>236</v>
      </c>
      <c r="L96" s="114">
        <f>+L95</f>
        <v>5.2343001809520881E-7</v>
      </c>
      <c r="M96" s="125">
        <f>I96*L96</f>
        <v>0</v>
      </c>
      <c r="N96" s="126">
        <f t="shared" ref="N96:N97" si="15">M96^2</f>
        <v>0</v>
      </c>
      <c r="O96" s="1">
        <v>100</v>
      </c>
      <c r="P96" s="331">
        <f t="shared" ref="P96:P97" si="16">N96^2/O96</f>
        <v>0</v>
      </c>
      <c r="U96" s="120"/>
    </row>
    <row r="97" spans="1:22" ht="13.5" thickBot="1" x14ac:dyDescent="0.25">
      <c r="A97" s="324"/>
      <c r="B97" s="325"/>
      <c r="C97" s="223" t="s">
        <v>182</v>
      </c>
      <c r="D97" s="325"/>
      <c r="E97" s="325" t="s">
        <v>221</v>
      </c>
      <c r="F97" s="224" t="s">
        <v>61</v>
      </c>
      <c r="G97" s="325">
        <f>Trazabilidad!AA13</f>
        <v>1</v>
      </c>
      <c r="H97" s="224" t="s">
        <v>228</v>
      </c>
      <c r="I97" s="334">
        <f>G97/SQRT(12)</f>
        <v>0.28867513459481292</v>
      </c>
      <c r="J97" s="325"/>
      <c r="K97" s="226" t="s">
        <v>236</v>
      </c>
      <c r="L97" s="334">
        <f>+L95</f>
        <v>5.2343001809520881E-7</v>
      </c>
      <c r="M97" s="338">
        <f>I97*L97</f>
        <v>1.5110123092459976E-7</v>
      </c>
      <c r="N97" s="234">
        <f t="shared" si="15"/>
        <v>2.2831581986929223E-14</v>
      </c>
      <c r="O97" s="325">
        <v>100</v>
      </c>
      <c r="P97" s="332">
        <f t="shared" si="16"/>
        <v>5.2128113602587093E-30</v>
      </c>
      <c r="U97" s="120"/>
    </row>
    <row r="98" spans="1:22" x14ac:dyDescent="0.2">
      <c r="A98" s="241">
        <v>3</v>
      </c>
      <c r="B98" s="227" t="s">
        <v>382</v>
      </c>
      <c r="C98" s="227"/>
      <c r="D98" s="227">
        <f>'DATOS GENERALES'!O96</f>
        <v>0.99808961483556646</v>
      </c>
      <c r="E98" s="227"/>
      <c r="F98" s="327"/>
      <c r="G98" s="227"/>
      <c r="H98" s="327"/>
      <c r="I98" s="328"/>
      <c r="J98" s="227"/>
      <c r="K98" s="329"/>
      <c r="L98" s="227"/>
      <c r="M98" s="227"/>
      <c r="N98" s="227"/>
      <c r="O98" s="227"/>
      <c r="P98" s="330"/>
      <c r="U98" s="120"/>
    </row>
    <row r="99" spans="1:22" x14ac:dyDescent="0.2">
      <c r="A99" s="219" t="s">
        <v>215</v>
      </c>
      <c r="B99" s="232"/>
      <c r="C99" s="211" t="s">
        <v>214</v>
      </c>
      <c r="D99" s="232"/>
      <c r="E99" s="232" t="str">
        <f>E38</f>
        <v>TANAKA</v>
      </c>
      <c r="F99" s="213" t="s">
        <v>225</v>
      </c>
      <c r="G99" s="283">
        <f>IF(E99="kell",SQRT((SQRT(G101^2+G102^2+G103^2)*Q81)^2),0.00000083)</f>
        <v>8.2999999999999999E-7</v>
      </c>
      <c r="H99" s="102" t="s">
        <v>228</v>
      </c>
      <c r="I99" s="234">
        <f>IF(E99="kell",G99/SQRT(3),G99/2)</f>
        <v>4.15E-7</v>
      </c>
      <c r="J99" s="232"/>
      <c r="K99" s="215" t="s">
        <v>234</v>
      </c>
      <c r="L99" s="283">
        <f>IF(E99="Kell",-(('DATOS GENERALES'!$A$96-'DATOS GENERALES'!$C$96)/('DATOS GENERALES'!$O$96^2))*'DATOS GENERALES'!U96,((-'DATOS GENERALES'!Q96/1000)/(D98-D82)))</f>
        <v>-0.50495818915590196</v>
      </c>
      <c r="M99" s="338">
        <f>I99*L99</f>
        <v>-2.095576484996993E-7</v>
      </c>
      <c r="N99" s="338">
        <f>M99^2</f>
        <v>4.3914408044723523E-14</v>
      </c>
      <c r="O99" s="232">
        <v>100</v>
      </c>
      <c r="P99" s="336">
        <f>N99^2/O99</f>
        <v>1.928475233918478E-29</v>
      </c>
      <c r="Q99" s="120"/>
      <c r="U99" s="120"/>
    </row>
    <row r="100" spans="1:22" x14ac:dyDescent="0.2">
      <c r="A100" s="98"/>
      <c r="B100" s="1"/>
      <c r="C100" s="100" t="s">
        <v>238</v>
      </c>
      <c r="D100" s="339">
        <f>AVERAGE('DATOS CORRECCIONES EQUIPOS EMPL'!E32:E41)</f>
        <v>20.559262962464565</v>
      </c>
      <c r="E100" s="1"/>
      <c r="F100" s="102"/>
      <c r="G100" s="1"/>
      <c r="H100" s="102"/>
      <c r="I100" s="114"/>
      <c r="J100" s="1"/>
      <c r="K100" s="104"/>
      <c r="L100" s="114"/>
      <c r="M100" s="1"/>
      <c r="N100" s="1"/>
      <c r="O100" s="1"/>
      <c r="P100" s="1"/>
      <c r="U100" s="120"/>
    </row>
    <row r="101" spans="1:22" x14ac:dyDescent="0.2">
      <c r="A101" s="219"/>
      <c r="B101" s="232"/>
      <c r="C101" s="211" t="s">
        <v>204</v>
      </c>
      <c r="D101" s="232"/>
      <c r="E101" s="232" t="s">
        <v>66</v>
      </c>
      <c r="F101" s="213" t="s">
        <v>23</v>
      </c>
      <c r="G101" s="283">
        <f>'DATOS CORRECCIONES EQUIPOS EMPL'!U44</f>
        <v>5.3999999999999999E-2</v>
      </c>
      <c r="H101" s="213" t="s">
        <v>229</v>
      </c>
      <c r="I101" s="283">
        <f>G101/2</f>
        <v>2.7E-2</v>
      </c>
      <c r="J101" s="232"/>
      <c r="K101" s="215" t="s">
        <v>234</v>
      </c>
      <c r="L101" s="283">
        <f>((-'DATOS GENERALES'!Q96/1000)/(D98-D82))*(0.99997495/522528.9)*(((D100-3.983035)^2*(D100+301.797)/(D100+69.34881)^2)-((D100-3.983035)^2/(D100+69.34881))-(2*(D100-3.983035)*(D100+301.797)/(D100+69.34881)))</f>
        <v>1.0722945769649807E-4</v>
      </c>
      <c r="M101" s="323">
        <f>I101*L101</f>
        <v>2.8951953578054477E-6</v>
      </c>
      <c r="N101" s="338">
        <f>M101^2</f>
        <v>8.3821561598582142E-12</v>
      </c>
      <c r="O101" s="232">
        <v>50</v>
      </c>
      <c r="P101" s="340">
        <f>N101^2/O101</f>
        <v>1.4052108377649802E-24</v>
      </c>
      <c r="U101" s="120"/>
    </row>
    <row r="102" spans="1:22" x14ac:dyDescent="0.2">
      <c r="A102" s="98"/>
      <c r="B102" s="1"/>
      <c r="C102" s="100" t="s">
        <v>213</v>
      </c>
      <c r="D102" s="1"/>
      <c r="E102" s="1" t="s">
        <v>222</v>
      </c>
      <c r="F102" s="102" t="s">
        <v>23</v>
      </c>
      <c r="G102" s="1">
        <f>MIN('DATOS CORRECCIONES EQUIPOS EMPL'!E32:E41)-MAX('DATOS CORRECCIONES EQUIPOS EMPL'!E32:E41)</f>
        <v>-8.003052299051916E-2</v>
      </c>
      <c r="H102" s="102" t="s">
        <v>228</v>
      </c>
      <c r="I102" s="114">
        <f>G102/SQRT(12)</f>
        <v>-2.3102821995981387E-2</v>
      </c>
      <c r="J102" s="1"/>
      <c r="K102" s="104" t="s">
        <v>234</v>
      </c>
      <c r="L102" s="114">
        <f>+L101</f>
        <v>1.0722945769649807E-4</v>
      </c>
      <c r="M102" s="125">
        <f>I102*L102</f>
        <v>-2.4773030738878112E-6</v>
      </c>
      <c r="N102" s="126">
        <f t="shared" ref="N102:N103" si="17">M102^2</f>
        <v>6.1370305198939983E-12</v>
      </c>
      <c r="O102" s="1">
        <v>100</v>
      </c>
      <c r="P102" s="331">
        <f>N102^2/O102</f>
        <v>3.7663143602110398E-25</v>
      </c>
      <c r="U102" s="120"/>
    </row>
    <row r="103" spans="1:22" ht="13.5" thickBot="1" x14ac:dyDescent="0.25">
      <c r="A103" s="219"/>
      <c r="B103" s="232"/>
      <c r="C103" s="211" t="s">
        <v>182</v>
      </c>
      <c r="D103" s="232"/>
      <c r="E103" s="232" t="s">
        <v>221</v>
      </c>
      <c r="F103" s="213" t="s">
        <v>23</v>
      </c>
      <c r="G103" s="325">
        <f>Trazabilidad!AA10</f>
        <v>0.01</v>
      </c>
      <c r="H103" s="213" t="s">
        <v>228</v>
      </c>
      <c r="I103" s="283">
        <f>G103/SQRT(12)</f>
        <v>2.886751345948129E-3</v>
      </c>
      <c r="J103" s="232"/>
      <c r="K103" s="215" t="s">
        <v>234</v>
      </c>
      <c r="L103" s="283">
        <f>+L102</f>
        <v>1.0722945769649807E-4</v>
      </c>
      <c r="M103" s="234">
        <f>I103*L103</f>
        <v>3.0954478133065375E-7</v>
      </c>
      <c r="N103" s="234">
        <f t="shared" si="17"/>
        <v>9.5817971649042247E-14</v>
      </c>
      <c r="O103" s="232">
        <v>100</v>
      </c>
      <c r="P103" s="332">
        <f>N103^2/O103</f>
        <v>9.1810836909366642E-29</v>
      </c>
      <c r="U103" s="120"/>
    </row>
    <row r="104" spans="1:22" ht="13.5" thickBot="1" x14ac:dyDescent="0.25">
      <c r="A104" s="341">
        <v>4</v>
      </c>
      <c r="B104" s="245" t="s">
        <v>216</v>
      </c>
      <c r="C104" s="245"/>
      <c r="D104" s="245">
        <f>'DATOS GENERALES'!$R$21</f>
        <v>7.96</v>
      </c>
      <c r="E104" s="245" t="s">
        <v>223</v>
      </c>
      <c r="F104" s="248"/>
      <c r="G104" s="245">
        <f>140/100</f>
        <v>1.4</v>
      </c>
      <c r="H104" s="248" t="s">
        <v>230</v>
      </c>
      <c r="I104" s="252">
        <f>G104/SQRT(12)</f>
        <v>0.40414518843273806</v>
      </c>
      <c r="J104" s="245"/>
      <c r="K104" s="250" t="s">
        <v>237</v>
      </c>
      <c r="L104" s="408">
        <f>('DATOS GENERALES'!Q96/1000)*'INCERTIDUMBRE DE LA MEDIDA'!D82/('INCERTIDUMBRE DE LA MEDIDA'!D104*('INCERTIDUMBRE DE LA MEDIDA'!D104-'INCERTIDUMBRE DE LA MEDIDA'!D82))</f>
        <v>8.5249985194192499E-6</v>
      </c>
      <c r="M104" s="252">
        <f>I104*L104</f>
        <v>3.4453371330195057E-6</v>
      </c>
      <c r="N104" s="252">
        <f>M104^2</f>
        <v>1.1870347960163066E-11</v>
      </c>
      <c r="O104" s="245">
        <v>100</v>
      </c>
      <c r="P104" s="342">
        <f>N104^2/O104</f>
        <v>1.4090516069534747E-24</v>
      </c>
      <c r="U104" s="120"/>
    </row>
    <row r="105" spans="1:22" ht="13.5" thickBot="1" x14ac:dyDescent="0.25">
      <c r="A105" s="341">
        <v>5</v>
      </c>
      <c r="B105" s="245" t="s">
        <v>217</v>
      </c>
      <c r="C105" s="245"/>
      <c r="D105" s="597">
        <f>AVERAGE('DATOS CORRECCIONES EQUIPOS EMPL'!G32:G41)</f>
        <v>20.884773133008597</v>
      </c>
      <c r="E105" s="245"/>
      <c r="F105" s="248"/>
      <c r="G105" s="245"/>
      <c r="H105" s="248"/>
      <c r="I105" s="252"/>
      <c r="J105" s="245"/>
      <c r="K105" s="250"/>
      <c r="L105" s="251"/>
      <c r="M105" s="251"/>
      <c r="N105" s="252"/>
      <c r="O105" s="245"/>
      <c r="P105" s="342"/>
      <c r="U105" s="120"/>
    </row>
    <row r="106" spans="1:22" x14ac:dyDescent="0.2">
      <c r="A106" s="343"/>
      <c r="B106" s="314"/>
      <c r="C106" s="292" t="s">
        <v>204</v>
      </c>
      <c r="D106" s="314"/>
      <c r="E106" s="314" t="s">
        <v>66</v>
      </c>
      <c r="F106" s="293" t="s">
        <v>23</v>
      </c>
      <c r="G106" s="344">
        <f>'DATOS CORRECCIONES EQUIPOS EMPL'!AB44</f>
        <v>0.27977878625233499</v>
      </c>
      <c r="H106" s="293" t="s">
        <v>229</v>
      </c>
      <c r="I106" s="344">
        <f>G106/2</f>
        <v>0.13988939312616749</v>
      </c>
      <c r="J106" s="314"/>
      <c r="K106" s="202" t="s">
        <v>234</v>
      </c>
      <c r="L106" s="344">
        <f>((-'DATOS GENERALES'!Q96/1000)/(D98-D82))*(0.99997495/522528.9)*(((D100-3.983035)^2*(D100+301.797)/(D100+69.34881)^2)-((D100-3.983035)^2/(D100+69.34881))-(2*(D100-3.983035)*(D100+301.797)/(D100+69.34881)))</f>
        <v>1.0722945769649807E-4</v>
      </c>
      <c r="M106" s="345">
        <f t="shared" ref="M106:M108" si="18">I106*L106</f>
        <v>1.5000263762411164E-5</v>
      </c>
      <c r="N106" s="345">
        <f>M106^2</f>
        <v>2.2500791294190554E-10</v>
      </c>
      <c r="O106" s="314">
        <v>50</v>
      </c>
      <c r="P106" s="349">
        <f t="shared" ref="P106:P108" si="19">N106^2/O106</f>
        <v>1.0125712177294429E-21</v>
      </c>
      <c r="U106" s="120"/>
    </row>
    <row r="107" spans="1:22" x14ac:dyDescent="0.2">
      <c r="A107" s="99"/>
      <c r="C107" s="100" t="s">
        <v>218</v>
      </c>
      <c r="D107" s="127"/>
      <c r="E107" t="s">
        <v>222</v>
      </c>
      <c r="F107" s="102" t="s">
        <v>23</v>
      </c>
      <c r="G107" s="313">
        <f>D105-D100</f>
        <v>0.32551017054403175</v>
      </c>
      <c r="H107" s="102" t="s">
        <v>228</v>
      </c>
      <c r="I107" s="37">
        <f>G107/SQRT(12)</f>
        <v>9.3966692293778867E-2</v>
      </c>
      <c r="K107" s="104" t="s">
        <v>234</v>
      </c>
      <c r="L107" s="114">
        <f>+L106</f>
        <v>1.0722945769649807E-4</v>
      </c>
      <c r="M107" s="351">
        <f t="shared" si="18"/>
        <v>1.0075997456195611E-5</v>
      </c>
      <c r="N107" s="118">
        <f t="shared" ref="N107:N108" si="20">M107^2</f>
        <v>1.0152572473726043E-10</v>
      </c>
      <c r="O107" s="116">
        <v>100</v>
      </c>
      <c r="P107" s="117">
        <f t="shared" si="19"/>
        <v>1.0307472783425975E-22</v>
      </c>
      <c r="U107" s="120"/>
    </row>
    <row r="108" spans="1:22" ht="13.5" thickBot="1" x14ac:dyDescent="0.25">
      <c r="A108" s="296"/>
      <c r="B108" s="297"/>
      <c r="C108" s="298" t="s">
        <v>182</v>
      </c>
      <c r="D108" s="297"/>
      <c r="E108" s="297" t="s">
        <v>221</v>
      </c>
      <c r="F108" s="299" t="s">
        <v>23</v>
      </c>
      <c r="G108" s="297">
        <f>Trazabilidad!AB12</f>
        <v>0.1</v>
      </c>
      <c r="H108" s="299" t="s">
        <v>228</v>
      </c>
      <c r="I108" s="300">
        <f>G108/SQRT(12)</f>
        <v>2.8867513459481291E-2</v>
      </c>
      <c r="J108" s="297"/>
      <c r="K108" s="301" t="s">
        <v>234</v>
      </c>
      <c r="L108" s="344">
        <f>+L106</f>
        <v>1.0722945769649807E-4</v>
      </c>
      <c r="M108" s="352">
        <f t="shared" si="18"/>
        <v>3.0954478133065376E-6</v>
      </c>
      <c r="N108" s="294">
        <f t="shared" si="20"/>
        <v>9.5817971649042253E-12</v>
      </c>
      <c r="O108" s="302">
        <v>100</v>
      </c>
      <c r="P108" s="295">
        <f t="shared" si="19"/>
        <v>9.1810836909366654E-25</v>
      </c>
      <c r="U108" s="120"/>
    </row>
    <row r="109" spans="1:22" s="1" customFormat="1" ht="13.5" thickBot="1" x14ac:dyDescent="0.25">
      <c r="A109" s="341"/>
      <c r="B109" s="250"/>
      <c r="C109" s="598" t="s">
        <v>547</v>
      </c>
      <c r="D109" s="245">
        <f>Trazabilidad!AC10</f>
        <v>-0.14599999999999999</v>
      </c>
      <c r="E109" s="245"/>
      <c r="F109" s="299" t="s">
        <v>23</v>
      </c>
      <c r="G109" s="245">
        <f>D109</f>
        <v>-0.14599999999999999</v>
      </c>
      <c r="H109" s="248" t="s">
        <v>255</v>
      </c>
      <c r="I109" s="408">
        <f>G109/SQRT(3)</f>
        <v>-8.429313930168536E-2</v>
      </c>
      <c r="J109" s="245"/>
      <c r="K109" s="250"/>
      <c r="L109" s="408">
        <f>-((D74-D72)/D104)*(D104-D82)/(D98-D82)*D110</f>
        <v>1.2084433390032783E-4</v>
      </c>
      <c r="M109" s="852">
        <f>I109*L109</f>
        <v>-1.0186348271279712E-5</v>
      </c>
      <c r="N109" s="328">
        <f>M109^2</f>
        <v>1.0376169110380318E-10</v>
      </c>
      <c r="O109" s="245">
        <v>100</v>
      </c>
      <c r="P109" s="853">
        <f>N109^2/O109</f>
        <v>1.0766488540721067E-22</v>
      </c>
      <c r="U109" s="125"/>
      <c r="V109" s="1">
        <v>2</v>
      </c>
    </row>
    <row r="110" spans="1:22" ht="26.25" thickBot="1" x14ac:dyDescent="0.25">
      <c r="A110" s="244">
        <v>6</v>
      </c>
      <c r="B110" s="255" t="s">
        <v>219</v>
      </c>
      <c r="C110" s="246"/>
      <c r="D110" s="246">
        <f>'DATOS GENERALES'!$F$22</f>
        <v>2.4000000000000001E-4</v>
      </c>
      <c r="E110" s="256" t="s">
        <v>224</v>
      </c>
      <c r="F110" s="247"/>
      <c r="G110" s="281">
        <f>D110*0.1</f>
        <v>2.4000000000000001E-5</v>
      </c>
      <c r="H110" s="248" t="s">
        <v>228</v>
      </c>
      <c r="I110" s="347">
        <f>G110/SQRT(12)</f>
        <v>6.9282032302755094E-6</v>
      </c>
      <c r="J110" s="246"/>
      <c r="K110" s="250" t="s">
        <v>234</v>
      </c>
      <c r="L110" s="408">
        <f>(-'DATOS GENERALES'!Q96/1000)*(D100-20)/(1-D110*(D100-20))</f>
        <v>-0.28159975563146211</v>
      </c>
      <c r="M110" s="346">
        <f t="shared" ref="M110:M116" si="21">I110*L110</f>
        <v>-1.9509803366106899E-6</v>
      </c>
      <c r="N110" s="346">
        <f>M110^2</f>
        <v>3.8063242738415605E-12</v>
      </c>
      <c r="O110" s="259">
        <v>100</v>
      </c>
      <c r="P110" s="348">
        <f t="shared" ref="P110:P116" si="22">N110^2/O110</f>
        <v>1.4488104477635484E-25</v>
      </c>
      <c r="U110" s="120"/>
    </row>
    <row r="111" spans="1:22" ht="13.5" thickBot="1" x14ac:dyDescent="0.25">
      <c r="A111" s="244">
        <v>7</v>
      </c>
      <c r="B111" s="255" t="s">
        <v>254</v>
      </c>
      <c r="C111" s="246"/>
      <c r="D111" s="246"/>
      <c r="E111" s="245" t="s">
        <v>220</v>
      </c>
      <c r="F111" s="248" t="s">
        <v>256</v>
      </c>
      <c r="G111" s="263">
        <f>+$Q$65</f>
        <v>-3.0052770464246936E-5</v>
      </c>
      <c r="H111" s="248" t="s">
        <v>255</v>
      </c>
      <c r="I111" s="257">
        <f>G111/SQRT(12)</f>
        <v>-8.6754875587135026E-6</v>
      </c>
      <c r="J111" s="246"/>
      <c r="K111" s="250" t="s">
        <v>351</v>
      </c>
      <c r="L111" s="473">
        <f>L73</f>
        <v>1.0027249834670313</v>
      </c>
      <c r="M111" s="312">
        <f t="shared" si="21"/>
        <v>-8.699128118879432E-6</v>
      </c>
      <c r="N111" s="261">
        <f>M111^2</f>
        <v>7.5674830028678809E-11</v>
      </c>
      <c r="O111" s="259">
        <v>100</v>
      </c>
      <c r="P111" s="262">
        <f t="shared" si="22"/>
        <v>5.7266798998694285E-23</v>
      </c>
      <c r="U111" s="120"/>
    </row>
    <row r="112" spans="1:22" ht="13.5" thickBot="1" x14ac:dyDescent="0.25">
      <c r="A112" s="244">
        <v>8</v>
      </c>
      <c r="B112" s="255" t="s">
        <v>545</v>
      </c>
      <c r="C112" s="246"/>
      <c r="D112" s="246"/>
      <c r="E112" s="246"/>
      <c r="F112" s="248" t="s">
        <v>227</v>
      </c>
      <c r="G112" s="246">
        <f>STDEV('DATOS GENERALES'!Q86:R95)/1000</f>
        <v>3.2997543727915953E-4</v>
      </c>
      <c r="H112" s="248" t="s">
        <v>232</v>
      </c>
      <c r="I112" s="257">
        <f>G112/SQRT(10)</f>
        <v>1.0434739537121783E-4</v>
      </c>
      <c r="J112" s="246"/>
      <c r="K112" s="250" t="str">
        <f>+K111</f>
        <v>cm³</v>
      </c>
      <c r="L112" s="246">
        <v>1</v>
      </c>
      <c r="M112" s="312">
        <f t="shared" si="21"/>
        <v>1.0434739537121783E-4</v>
      </c>
      <c r="N112" s="261">
        <f>M112^2</f>
        <v>1.0888378920757252E-8</v>
      </c>
      <c r="O112" s="259">
        <v>9</v>
      </c>
      <c r="P112" s="262">
        <f t="shared" si="22"/>
        <v>1.3172977280221206E-17</v>
      </c>
      <c r="U112" s="120"/>
    </row>
    <row r="113" spans="1:21" ht="13.5" thickBot="1" x14ac:dyDescent="0.25">
      <c r="A113" s="244"/>
      <c r="B113" s="471" t="s">
        <v>448</v>
      </c>
      <c r="C113" s="246"/>
      <c r="D113" s="472">
        <f>IF('DATOS GENERALES'!$N$21='DATOS GENERALES'!$H$165,D70/1000,IF('DATOS GENERALES'!$N$21='DATOS GENERALES'!$H$164,D70,IF('DATOS GENERALES'!$N$21='DATOS GENERALES'!$H$166,D70*1000)))</f>
        <v>0.5</v>
      </c>
      <c r="E113" s="246"/>
      <c r="F113" s="248" t="s">
        <v>227</v>
      </c>
      <c r="G113" s="246">
        <f>IF('DATOS GENERALES'!$F$24="DKD",IF(AND('DATOS GENERALES'!$D$25="Si",'DATOS GENERALES'!$D$24="Fijo"),0.07*D113/100,IF('DATOS GENERALES'!$D$25="No",0,0.1*D113/100)),IF(AND('DATOS GENERALES'!$D$25="Si",'DATOS GENERALES'!$D$24="Fijo"),0.07*D113/100,IF('DATOS GENERALES'!$D$25="No",0,0.1*D113/100))*0)</f>
        <v>0</v>
      </c>
      <c r="H113" s="248" t="s">
        <v>255</v>
      </c>
      <c r="I113" s="257">
        <f>G113/SQRT(12)</f>
        <v>0</v>
      </c>
      <c r="J113" s="246"/>
      <c r="K113" s="250" t="str">
        <f>+K112</f>
        <v>cm³</v>
      </c>
      <c r="L113" s="246">
        <v>1</v>
      </c>
      <c r="M113" s="312">
        <f t="shared" si="21"/>
        <v>0</v>
      </c>
      <c r="N113" s="261">
        <f t="shared" ref="N113:N116" si="23">M113^2</f>
        <v>0</v>
      </c>
      <c r="O113" s="259">
        <v>100</v>
      </c>
      <c r="P113" s="262">
        <f t="shared" si="22"/>
        <v>0</v>
      </c>
      <c r="R113" s="154"/>
      <c r="S113" s="306"/>
      <c r="T113" s="154"/>
      <c r="U113" s="3"/>
    </row>
    <row r="114" spans="1:21" ht="13.5" thickBot="1" x14ac:dyDescent="0.25">
      <c r="A114" s="244"/>
      <c r="B114" s="471" t="s">
        <v>449</v>
      </c>
      <c r="C114" s="246"/>
      <c r="D114" s="246">
        <f>IF('DATOS GENERALES'!$T$19='DATOS GENERALES'!$H$165,'DATOS GENERALES'!$P$19/1000,IF('DATOS GENERALES'!$T$19='DATOS GENERALES'!$H$164,'DATOS GENERALES'!$P$19,IF('DATOS GENERALES'!$T$19='DATOS GENERALES'!$H$166,'DATOS GENERALES'!$P$19*1000)))</f>
        <v>1E-3</v>
      </c>
      <c r="E114" s="246"/>
      <c r="F114" s="248" t="s">
        <v>227</v>
      </c>
      <c r="G114" s="246">
        <f>IF(AND('DATOS GENERALES'!$E$26="Si",'DATOS GENERALES'!$D$24="Variable"),D114,0)</f>
        <v>0</v>
      </c>
      <c r="H114" s="248" t="s">
        <v>255</v>
      </c>
      <c r="I114" s="257">
        <f>G114/SQRT(12)</f>
        <v>0</v>
      </c>
      <c r="J114" s="246"/>
      <c r="K114" s="250" t="str">
        <f>+K113</f>
        <v>cm³</v>
      </c>
      <c r="L114" s="246">
        <v>1</v>
      </c>
      <c r="M114" s="312">
        <f t="shared" si="21"/>
        <v>0</v>
      </c>
      <c r="N114" s="261">
        <f t="shared" si="23"/>
        <v>0</v>
      </c>
      <c r="O114" s="259">
        <v>100</v>
      </c>
      <c r="P114" s="262">
        <f t="shared" si="22"/>
        <v>0</v>
      </c>
      <c r="R114" s="154"/>
      <c r="S114" s="306"/>
      <c r="T114" s="154"/>
      <c r="U114" s="3"/>
    </row>
    <row r="115" spans="1:21" ht="13.5" thickBot="1" x14ac:dyDescent="0.25">
      <c r="A115" s="244"/>
      <c r="B115" s="471" t="s">
        <v>582</v>
      </c>
      <c r="C115" s="246"/>
      <c r="D115" s="246">
        <f>IF('DATOS GENERALES'!$T$19='DATOS GENERALES'!$H$165,'DATOS GENERALES'!$P$19/1000,IF('DATOS GENERALES'!$T$19='DATOS GENERALES'!$H$164,'DATOS GENERALES'!$P$19,IF('DATOS GENERALES'!$T$19='DATOS GENERALES'!$H$166,'DATOS GENERALES'!$P$19*1000)))</f>
        <v>1E-3</v>
      </c>
      <c r="E115" s="246"/>
      <c r="F115" s="248" t="s">
        <v>227</v>
      </c>
      <c r="G115" s="246">
        <f>IF('DATOS GENERALES'!$C$17="",0,IF(AND(ISNUMBER(SEARCH("digital",'DATOS GENERALES'!$C$17)),'DATOS GENERALES'!$D$24="Variable"),0,IF('DATOS GENERALES'!$D$24="Fijo",0,D115)))</f>
        <v>1E-3</v>
      </c>
      <c r="H115" s="248" t="s">
        <v>255</v>
      </c>
      <c r="I115" s="257">
        <f>G115/SQRT(12)</f>
        <v>2.886751345948129E-4</v>
      </c>
      <c r="J115" s="246"/>
      <c r="K115" s="250" t="str">
        <f>+K114</f>
        <v>cm³</v>
      </c>
      <c r="L115" s="246">
        <v>1</v>
      </c>
      <c r="M115" s="312">
        <f t="shared" si="21"/>
        <v>2.886751345948129E-4</v>
      </c>
      <c r="N115" s="261">
        <f t="shared" si="23"/>
        <v>8.3333333333333338E-8</v>
      </c>
      <c r="O115" s="259">
        <v>100</v>
      </c>
      <c r="P115" s="262">
        <f t="shared" si="22"/>
        <v>6.944444444444445E-17</v>
      </c>
      <c r="R115" s="154"/>
      <c r="S115" s="306"/>
      <c r="T115" s="154"/>
      <c r="U115" s="3"/>
    </row>
    <row r="116" spans="1:21" ht="13.5" thickBot="1" x14ac:dyDescent="0.25">
      <c r="A116" s="244"/>
      <c r="B116" s="471" t="s">
        <v>450</v>
      </c>
      <c r="C116" s="246"/>
      <c r="D116" s="472">
        <f>IF('DATOS GENERALES'!$T$19='DATOS GENERALES'!$H$165,'DATOS GENERALES'!$Q$96/1000,IF('DATOS GENERALES'!$T$19='DATOS GENERALES'!$H$164,'DATOS GENERALES'!$Q$96,IF('DATOS GENERALES'!$T$19='DATOS GENERALES'!$H$166,'DATOS GENERALES'!$Q$96*1000)))</f>
        <v>0.50345182379933917</v>
      </c>
      <c r="E116" s="246"/>
      <c r="F116" s="248" t="s">
        <v>227</v>
      </c>
      <c r="G116" s="246">
        <f>D116*0.1%</f>
        <v>5.0345182379933921E-4</v>
      </c>
      <c r="H116" s="248" t="s">
        <v>232</v>
      </c>
      <c r="I116" s="257">
        <f>G116/SQRT(3)</f>
        <v>2.9066804599455653E-4</v>
      </c>
      <c r="J116" s="246"/>
      <c r="K116" s="250" t="str">
        <f>+K114</f>
        <v>cm³</v>
      </c>
      <c r="L116" s="246">
        <v>1</v>
      </c>
      <c r="M116" s="312">
        <f t="shared" si="21"/>
        <v>2.9066804599455653E-4</v>
      </c>
      <c r="N116" s="261">
        <f t="shared" si="23"/>
        <v>8.4487912962293624E-8</v>
      </c>
      <c r="O116" s="259">
        <v>100</v>
      </c>
      <c r="P116" s="262">
        <f t="shared" si="22"/>
        <v>7.1382074367241032E-17</v>
      </c>
      <c r="R116" s="154"/>
      <c r="S116" s="306"/>
      <c r="T116" s="154"/>
      <c r="U116" s="3"/>
    </row>
    <row r="117" spans="1:21" ht="13.5" thickBot="1" x14ac:dyDescent="0.25">
      <c r="A117" s="244"/>
      <c r="B117" s="1570" t="s">
        <v>546</v>
      </c>
      <c r="C117" s="1570"/>
      <c r="D117" s="246"/>
      <c r="E117" s="246"/>
      <c r="F117" s="299"/>
      <c r="G117" s="246"/>
      <c r="H117" s="248"/>
      <c r="I117" s="257"/>
      <c r="J117" s="246"/>
      <c r="K117" s="250"/>
      <c r="L117" s="246"/>
      <c r="M117" s="312"/>
      <c r="N117" s="261"/>
      <c r="O117" s="259"/>
      <c r="P117" s="262"/>
      <c r="R117" s="154"/>
      <c r="S117" s="306"/>
      <c r="T117" s="154"/>
      <c r="U117" s="3"/>
    </row>
    <row r="118" spans="1:21" ht="13.5" thickBot="1" x14ac:dyDescent="0.25">
      <c r="A118" s="244"/>
      <c r="B118" s="594" t="s">
        <v>542</v>
      </c>
      <c r="C118" s="595"/>
      <c r="D118" s="585">
        <f>MAX(D100,D105,D83)-MIN(D100,D105,D83)</f>
        <v>0.32551017054403175</v>
      </c>
      <c r="E118" s="246"/>
      <c r="F118" s="299" t="s">
        <v>23</v>
      </c>
      <c r="G118" s="585">
        <f>D118</f>
        <v>0.32551017054403175</v>
      </c>
      <c r="H118" s="248" t="s">
        <v>255</v>
      </c>
      <c r="I118" s="257">
        <f>G118/SQRT(3)</f>
        <v>0.18793338458755773</v>
      </c>
      <c r="J118" s="246"/>
      <c r="K118" s="250"/>
      <c r="L118" s="257">
        <f>('DATOS GENERALES'!$Q$96/1000)*(((1/(D98-D82))-(1/(D104-D82))))*(((-0.00252*D119*(D118+273.15))-(0.34844*D120+D119*(-0.00252*D118+273.15)))/((D118+273.15)^2)/1000)</f>
        <v>-9.1223267290251365E-5</v>
      </c>
      <c r="M118" s="312">
        <f t="shared" ref="M118:M120" si="24">I118*L118</f>
        <v>-1.7143897374992384E-5</v>
      </c>
      <c r="N118" s="261">
        <f t="shared" ref="N118:N120" si="25">M118^2</f>
        <v>2.9391321720427076E-10</v>
      </c>
      <c r="O118" s="259">
        <v>100</v>
      </c>
      <c r="P118" s="262">
        <f t="shared" ref="P118:P120" si="26">N118^2/O118</f>
        <v>8.6384979247364846E-22</v>
      </c>
      <c r="R118" s="154"/>
      <c r="S118" s="306"/>
      <c r="T118" s="154"/>
      <c r="U118" s="3"/>
    </row>
    <row r="119" spans="1:21" ht="13.5" thickBot="1" x14ac:dyDescent="0.25">
      <c r="A119" s="244"/>
      <c r="B119" s="594" t="s">
        <v>540</v>
      </c>
      <c r="C119" s="595"/>
      <c r="D119" s="583">
        <f>D90</f>
        <v>55.246824905948628</v>
      </c>
      <c r="E119" s="246"/>
      <c r="F119" s="248" t="s">
        <v>226</v>
      </c>
      <c r="G119" s="585">
        <f>G92</f>
        <v>-1.3947929984992768</v>
      </c>
      <c r="H119" s="248" t="s">
        <v>255</v>
      </c>
      <c r="I119" s="257">
        <f t="shared" ref="I119" si="27">G119/SQRT(3)</f>
        <v>-0.80528411314736281</v>
      </c>
      <c r="J119" s="246"/>
      <c r="K119" s="250"/>
      <c r="L119" s="257">
        <f>('DATOS GENERALES'!Q96/1000)*(((1/(D98-D82))-(1/(D104-D82))))*(((-0.00252*D118+0.020582)/(D118+273.15))/1000)</f>
        <v>3.1917986805455677E-8</v>
      </c>
      <c r="M119" s="312">
        <f t="shared" si="24"/>
        <v>-2.5703047698080602E-8</v>
      </c>
      <c r="N119" s="261">
        <f t="shared" si="25"/>
        <v>6.6064666096980657E-16</v>
      </c>
      <c r="O119" s="259">
        <v>100</v>
      </c>
      <c r="P119" s="262">
        <f t="shared" si="26"/>
        <v>4.3645401065055454E-33</v>
      </c>
      <c r="R119" s="154"/>
      <c r="S119" s="306"/>
      <c r="T119" s="154"/>
      <c r="U119" s="3"/>
    </row>
    <row r="120" spans="1:21" ht="13.5" thickBot="1" x14ac:dyDescent="0.25">
      <c r="A120" s="244"/>
      <c r="B120" s="594" t="s">
        <v>541</v>
      </c>
      <c r="C120" s="595"/>
      <c r="D120" s="584">
        <f>D94</f>
        <v>910.34412607728154</v>
      </c>
      <c r="E120" s="246"/>
      <c r="F120" s="248" t="s">
        <v>61</v>
      </c>
      <c r="G120" s="246">
        <v>20</v>
      </c>
      <c r="H120" s="248" t="s">
        <v>544</v>
      </c>
      <c r="I120" s="257">
        <f>G120/SQRT(6)</f>
        <v>8.1649658092772608</v>
      </c>
      <c r="J120" s="246"/>
      <c r="K120" s="250"/>
      <c r="L120" s="257">
        <f>('DATOS GENERALES'!Q96/1000)*(((1/(D98-D82))-((1/(D104-D82))))*(0.34844/(D118+273.15))/1000)</f>
        <v>5.6278028890284374E-7</v>
      </c>
      <c r="M120" s="312">
        <f t="shared" si="24"/>
        <v>4.5950818170268982E-6</v>
      </c>
      <c r="N120" s="261">
        <f t="shared" si="25"/>
        <v>2.111477690517122E-11</v>
      </c>
      <c r="O120" s="259">
        <v>100</v>
      </c>
      <c r="P120" s="262">
        <f t="shared" si="26"/>
        <v>4.4583380375515198E-24</v>
      </c>
      <c r="R120" s="154"/>
      <c r="S120" s="306"/>
      <c r="T120" s="154"/>
      <c r="U120" s="3"/>
    </row>
    <row r="121" spans="1:21" ht="13.5" thickBot="1" x14ac:dyDescent="0.25">
      <c r="A121" s="244"/>
      <c r="B121" s="255"/>
      <c r="C121" s="246"/>
      <c r="D121" s="246"/>
      <c r="E121" s="246"/>
      <c r="F121" s="248"/>
      <c r="G121" s="413"/>
      <c r="H121" s="248"/>
      <c r="I121" s="257"/>
      <c r="J121" s="246"/>
      <c r="K121" s="250"/>
      <c r="L121" s="246"/>
      <c r="M121" s="258"/>
      <c r="N121" s="470"/>
      <c r="O121" s="259"/>
      <c r="P121" s="262"/>
      <c r="U121" s="120"/>
    </row>
    <row r="122" spans="1:21" ht="13.5" thickBot="1" x14ac:dyDescent="0.25">
      <c r="A122" s="264"/>
      <c r="B122" s="265" t="s">
        <v>239</v>
      </c>
      <c r="C122" s="266"/>
      <c r="D122" s="266"/>
      <c r="E122" s="563">
        <f>M122</f>
        <v>4.6583075192838336E-4</v>
      </c>
      <c r="F122" s="267" t="s">
        <v>227</v>
      </c>
      <c r="G122" s="266"/>
      <c r="H122" s="267" t="s">
        <v>231</v>
      </c>
      <c r="I122" s="268"/>
      <c r="J122" s="266"/>
      <c r="K122" s="269" t="s">
        <v>227</v>
      </c>
      <c r="L122" s="266"/>
      <c r="M122" s="350">
        <f>+SQRT(SUM(N70:N120))</f>
        <v>4.6583075192838336E-4</v>
      </c>
      <c r="N122" s="231"/>
      <c r="O122" s="272" t="s">
        <v>244</v>
      </c>
      <c r="P122" s="600">
        <f>+POWER(M122,4)/SUM(P70:P120)</f>
        <v>288.2107923471695</v>
      </c>
      <c r="Q122" s="37"/>
      <c r="U122" s="120"/>
    </row>
    <row r="123" spans="1:21" ht="13.5" thickBot="1" x14ac:dyDescent="0.25">
      <c r="A123" s="264"/>
      <c r="B123" s="265" t="s">
        <v>68</v>
      </c>
      <c r="C123" s="266"/>
      <c r="D123" s="266"/>
      <c r="E123" s="564">
        <f>P124</f>
        <v>0.93572359999999999</v>
      </c>
      <c r="F123" s="267" t="s">
        <v>227</v>
      </c>
      <c r="G123" s="266"/>
      <c r="H123" s="267" t="s">
        <v>231</v>
      </c>
      <c r="I123" s="268"/>
      <c r="J123" s="266"/>
      <c r="K123" s="269" t="s">
        <v>227</v>
      </c>
      <c r="L123" s="266"/>
      <c r="M123" s="271">
        <f>+M122*P123</f>
        <v>9.3572358047622109E-4</v>
      </c>
      <c r="N123" s="1"/>
      <c r="O123" s="273"/>
      <c r="P123" s="274">
        <f>+TINV(0.0455,P122)</f>
        <v>2.0087200696876253</v>
      </c>
      <c r="U123" s="120"/>
    </row>
    <row r="124" spans="1:21" ht="13.5" thickBot="1" x14ac:dyDescent="0.25">
      <c r="A124" s="264"/>
      <c r="B124" s="265" t="s">
        <v>68</v>
      </c>
      <c r="C124" s="266"/>
      <c r="D124" s="266"/>
      <c r="E124" s="565">
        <f>M124</f>
        <v>0.18714471999999999</v>
      </c>
      <c r="F124" s="267" t="s">
        <v>226</v>
      </c>
      <c r="G124" s="266"/>
      <c r="H124" s="267" t="s">
        <v>231</v>
      </c>
      <c r="I124" s="268"/>
      <c r="J124" s="266"/>
      <c r="K124" s="269" t="s">
        <v>226</v>
      </c>
      <c r="L124" s="266"/>
      <c r="M124" s="271">
        <f>+P124/D70*100</f>
        <v>0.18714471999999999</v>
      </c>
      <c r="N124" s="1"/>
      <c r="O124" s="272" t="s">
        <v>245</v>
      </c>
      <c r="P124" s="271">
        <f>IF('DATOS GENERALES'!$N$21="µL",ROUND(M123,10)*1000,IF('DATOS GENERALES'!$N$21="L",ROUND(M123,10)/1000,ROUND(M123,6)))</f>
        <v>0.93572359999999999</v>
      </c>
      <c r="Q124" t="str">
        <f>+'DATOS GENERALES'!H84</f>
        <v>µL</v>
      </c>
      <c r="U124" s="120"/>
    </row>
    <row r="125" spans="1:21" x14ac:dyDescent="0.2">
      <c r="B125" s="209" t="str">
        <f>O122</f>
        <v>v EF</v>
      </c>
      <c r="C125" s="566">
        <f>P122</f>
        <v>288.2107923471695</v>
      </c>
      <c r="D125" s="209" t="s">
        <v>495</v>
      </c>
      <c r="E125" s="567">
        <f>P123</f>
        <v>2.0087200696876253</v>
      </c>
    </row>
    <row r="128" spans="1:21" x14ac:dyDescent="0.2">
      <c r="C128" t="s">
        <v>389</v>
      </c>
    </row>
    <row r="130" spans="1:21" ht="39" customHeight="1" thickBot="1" x14ac:dyDescent="0.25">
      <c r="A130" s="202" t="s">
        <v>184</v>
      </c>
      <c r="B130" s="1572" t="s">
        <v>186</v>
      </c>
      <c r="C130" s="1572"/>
      <c r="D130" s="203" t="s">
        <v>195</v>
      </c>
      <c r="E130" s="204" t="s">
        <v>185</v>
      </c>
      <c r="F130" s="204" t="s">
        <v>22</v>
      </c>
      <c r="G130" s="204" t="s">
        <v>187</v>
      </c>
      <c r="H130" s="203" t="s">
        <v>188</v>
      </c>
      <c r="I130" s="1572" t="s">
        <v>189</v>
      </c>
      <c r="J130" s="1572"/>
      <c r="K130" s="1572" t="s">
        <v>190</v>
      </c>
      <c r="L130" s="1572"/>
      <c r="M130" s="203" t="s">
        <v>193</v>
      </c>
      <c r="N130" s="203" t="s">
        <v>191</v>
      </c>
      <c r="O130" s="203" t="s">
        <v>192</v>
      </c>
      <c r="P130" s="203" t="s">
        <v>194</v>
      </c>
      <c r="Q130" s="402">
        <v>3</v>
      </c>
      <c r="R130" s="1572" t="s">
        <v>312</v>
      </c>
      <c r="S130" s="1572"/>
      <c r="U130" s="579">
        <v>3</v>
      </c>
    </row>
    <row r="131" spans="1:21" x14ac:dyDescent="0.2">
      <c r="A131" s="315">
        <v>0</v>
      </c>
      <c r="B131" s="592" t="s">
        <v>196</v>
      </c>
      <c r="C131" s="592"/>
      <c r="D131" s="580">
        <f>'DATOS GENERALES'!F100</f>
        <v>1000</v>
      </c>
      <c r="E131" s="316"/>
      <c r="F131" s="316"/>
      <c r="G131" s="316"/>
      <c r="H131" s="316"/>
      <c r="I131" s="316"/>
      <c r="J131" s="316"/>
      <c r="K131" s="316"/>
      <c r="L131" s="316"/>
      <c r="M131" s="316"/>
      <c r="N131" s="316"/>
      <c r="O131" s="316"/>
      <c r="P131" s="317"/>
      <c r="Q131" s="1"/>
      <c r="R131" s="1" t="s">
        <v>163</v>
      </c>
      <c r="S131" s="37">
        <f>3.4847858/10</f>
        <v>0.34847857999999998</v>
      </c>
    </row>
    <row r="132" spans="1:21" x14ac:dyDescent="0.2">
      <c r="A132" s="219">
        <v>1</v>
      </c>
      <c r="B132" s="593" t="s">
        <v>197</v>
      </c>
      <c r="C132" s="593"/>
      <c r="D132" s="581">
        <f>'DATOS CORRECCIONES EQUIPOS EMPL'!BB62</f>
        <v>1.0017133821341244</v>
      </c>
      <c r="E132" s="232"/>
      <c r="F132" s="232"/>
      <c r="G132" s="232"/>
      <c r="H132" s="232"/>
      <c r="I132" s="232"/>
      <c r="J132" s="232"/>
      <c r="K132" s="232"/>
      <c r="L132" s="232"/>
      <c r="M132" s="232"/>
      <c r="N132" s="232"/>
      <c r="O132" s="232"/>
      <c r="P132" s="318"/>
      <c r="Q132" s="120"/>
      <c r="R132" s="1" t="s">
        <v>85</v>
      </c>
      <c r="S132" s="37">
        <f>9.1748/1000</f>
        <v>9.1747999999999986E-3</v>
      </c>
    </row>
    <row r="133" spans="1:21" x14ac:dyDescent="0.2">
      <c r="A133" s="98" t="s">
        <v>200</v>
      </c>
      <c r="B133" s="1"/>
      <c r="C133" s="278" t="s">
        <v>198</v>
      </c>
      <c r="D133" s="582">
        <f>AVERAGE('DATOS CORRECCIONES EQUIPOS EMPL'!C50:C59)</f>
        <v>30.742910198303584</v>
      </c>
      <c r="E133" s="1"/>
      <c r="F133" s="102"/>
      <c r="G133" s="1"/>
      <c r="H133" s="102"/>
      <c r="I133" s="1"/>
      <c r="J133" s="1"/>
      <c r="K133" s="104"/>
      <c r="L133" s="1"/>
      <c r="M133" s="1"/>
      <c r="N133" s="1"/>
      <c r="O133" s="1"/>
      <c r="P133" s="319"/>
      <c r="R133" s="1" t="s">
        <v>86</v>
      </c>
      <c r="S133" s="37">
        <f>6.2492/100</f>
        <v>6.2491999999999999E-2</v>
      </c>
    </row>
    <row r="134" spans="1:21" x14ac:dyDescent="0.2">
      <c r="A134" s="219"/>
      <c r="B134" s="232"/>
      <c r="C134" s="211" t="s">
        <v>182</v>
      </c>
      <c r="D134" s="232"/>
      <c r="E134" s="232" t="s">
        <v>65</v>
      </c>
      <c r="F134" s="213" t="s">
        <v>67</v>
      </c>
      <c r="G134" s="232">
        <f>'Chequeo Balanza '!$F$12</f>
        <v>1.0000000000000001E-5</v>
      </c>
      <c r="H134" s="213" t="s">
        <v>228</v>
      </c>
      <c r="I134" s="320">
        <f>G134/SQRT(12)</f>
        <v>2.8867513459481293E-6</v>
      </c>
      <c r="J134" s="232"/>
      <c r="K134" s="213" t="s">
        <v>228</v>
      </c>
      <c r="L134" s="441">
        <f>+('DATOS GENERALES'!$Q$112/1000)/(D133-D135)</f>
        <v>1.0027257779641947</v>
      </c>
      <c r="M134" s="283">
        <f>I134*L134</f>
        <v>2.8946199891550242E-6</v>
      </c>
      <c r="N134" s="234">
        <f>M134^2</f>
        <v>8.378824881615833E-12</v>
      </c>
      <c r="O134" s="232">
        <v>100</v>
      </c>
      <c r="P134" s="321">
        <f>N134^2/O134</f>
        <v>7.0204706396784571E-25</v>
      </c>
      <c r="R134" s="1" t="s">
        <v>88</v>
      </c>
      <c r="S134" s="114">
        <f>- 5.23/100000</f>
        <v>-5.2300000000000004E-5</v>
      </c>
      <c r="T134" s="57">
        <f t="shared" ref="T134:T140" si="28">+N134/SUM($N$134:$N$173)*100</f>
        <v>3.7948244341081878E-3</v>
      </c>
      <c r="U134" s="121"/>
    </row>
    <row r="135" spans="1:21" x14ac:dyDescent="0.2">
      <c r="A135" s="98" t="s">
        <v>201</v>
      </c>
      <c r="B135" s="1"/>
      <c r="C135" s="1" t="s">
        <v>199</v>
      </c>
      <c r="D135" s="582">
        <f>AVERAGE('DATOS CORRECCIONES EQUIPOS EMPL'!A50:A59)</f>
        <v>29.741196816169463</v>
      </c>
      <c r="E135" s="1"/>
      <c r="F135" s="102"/>
      <c r="G135" s="1"/>
      <c r="H135" s="102"/>
      <c r="I135" s="1"/>
      <c r="J135" s="1"/>
      <c r="K135" s="102"/>
      <c r="L135" s="322"/>
      <c r="M135" s="1"/>
      <c r="N135" s="1"/>
      <c r="O135" s="1"/>
      <c r="P135" s="319"/>
      <c r="R135" s="1" t="s">
        <v>240</v>
      </c>
      <c r="S135">
        <v>273.14999999999998</v>
      </c>
      <c r="T135" s="57">
        <f t="shared" si="28"/>
        <v>0</v>
      </c>
      <c r="U135" s="121"/>
    </row>
    <row r="136" spans="1:21" x14ac:dyDescent="0.2">
      <c r="A136" s="219"/>
      <c r="B136" s="232"/>
      <c r="C136" s="211" t="s">
        <v>182</v>
      </c>
      <c r="D136" s="232"/>
      <c r="E136" s="232" t="s">
        <v>65</v>
      </c>
      <c r="F136" s="213" t="s">
        <v>67</v>
      </c>
      <c r="G136" s="311">
        <f>'Chequeo Balanza '!$F$13</f>
        <v>1.0000000000000001E-5</v>
      </c>
      <c r="H136" s="213" t="s">
        <v>228</v>
      </c>
      <c r="I136" s="234">
        <f>G136/SQRT(12)</f>
        <v>2.8867513459481293E-6</v>
      </c>
      <c r="J136" s="232"/>
      <c r="K136" s="213" t="s">
        <v>228</v>
      </c>
      <c r="L136" s="441">
        <f>+L134</f>
        <v>1.0027257779641947</v>
      </c>
      <c r="M136" s="283">
        <f>I136*L136</f>
        <v>2.8946199891550242E-6</v>
      </c>
      <c r="N136" s="234">
        <f>M136^2</f>
        <v>8.378824881615833E-12</v>
      </c>
      <c r="O136" s="232">
        <v>100</v>
      </c>
      <c r="P136" s="321">
        <f>N136^2/O136</f>
        <v>7.0204706396784571E-25</v>
      </c>
      <c r="R136" s="1" t="s">
        <v>241</v>
      </c>
      <c r="S136">
        <f>+S133*D144+S134*D155</f>
        <v>1.2513529208778711</v>
      </c>
      <c r="T136" s="57">
        <f t="shared" si="28"/>
        <v>3.7948244341081878E-3</v>
      </c>
      <c r="U136" s="121"/>
    </row>
    <row r="137" spans="1:21" x14ac:dyDescent="0.2">
      <c r="A137" s="98"/>
      <c r="B137" s="1"/>
      <c r="C137" s="100"/>
      <c r="D137" s="322"/>
      <c r="E137" s="1"/>
      <c r="F137" s="102"/>
      <c r="G137" s="1"/>
      <c r="H137" s="102"/>
      <c r="I137" s="1"/>
      <c r="J137" s="1"/>
      <c r="K137" s="104"/>
      <c r="L137" s="322"/>
      <c r="M137" s="1"/>
      <c r="N137" s="1"/>
      <c r="O137" s="1"/>
      <c r="P137" s="319"/>
      <c r="R137" s="1" t="s">
        <v>242</v>
      </c>
      <c r="S137">
        <f>+EXP(S136)</f>
        <v>3.4950683111139553</v>
      </c>
      <c r="T137" s="57">
        <f t="shared" si="28"/>
        <v>0</v>
      </c>
      <c r="U137" s="121"/>
    </row>
    <row r="138" spans="1:21" x14ac:dyDescent="0.2">
      <c r="A138" s="219">
        <v>1.3</v>
      </c>
      <c r="B138" s="232"/>
      <c r="C138" s="211" t="s">
        <v>355</v>
      </c>
      <c r="D138" s="232"/>
      <c r="E138" s="232" t="s">
        <v>66</v>
      </c>
      <c r="F138" s="213" t="s">
        <v>67</v>
      </c>
      <c r="G138" s="232">
        <f>IF('Chequeo Balanza '!$N$5='Chequeo Balanza '!$L$6,VLOOKUP('Chequeo Balanza '!$K$12,'INCERTIDUMBRE DE LA MEDIDA'!$R$31:$T$42,3,TRUE),VLOOKUP('Chequeo Balanza '!$K$12,'INCERTIDUMBRE DE LA MEDIDA'!$R$20:$T$30,3,TRUE))</f>
        <v>5.3000000000000001E-5</v>
      </c>
      <c r="H138" s="213" t="s">
        <v>229</v>
      </c>
      <c r="I138" s="323">
        <f>G138/2</f>
        <v>2.65E-5</v>
      </c>
      <c r="J138" s="232"/>
      <c r="K138" s="215" t="s">
        <v>233</v>
      </c>
      <c r="L138" s="441">
        <f>+L134</f>
        <v>1.0027257779641947</v>
      </c>
      <c r="M138" s="323">
        <f>I138*L138</f>
        <v>2.6572233116051161E-5</v>
      </c>
      <c r="N138" s="234">
        <f>M138^2</f>
        <v>7.0608357277376602E-10</v>
      </c>
      <c r="O138" s="232">
        <v>50</v>
      </c>
      <c r="P138" s="321">
        <f>N138^2/O138</f>
        <v>9.9710802348193222E-21</v>
      </c>
      <c r="R138" s="1" t="s">
        <v>243</v>
      </c>
      <c r="S138" s="1">
        <f>273.15+D144</f>
        <v>293.93641683283192</v>
      </c>
      <c r="T138" s="57">
        <f t="shared" si="28"/>
        <v>0.31978985506229685</v>
      </c>
      <c r="U138" s="121"/>
    </row>
    <row r="139" spans="1:21" x14ac:dyDescent="0.2">
      <c r="A139" s="219">
        <v>1.4</v>
      </c>
      <c r="B139" s="232"/>
      <c r="C139" s="211" t="s">
        <v>356</v>
      </c>
      <c r="D139" s="232"/>
      <c r="E139" s="232" t="s">
        <v>66</v>
      </c>
      <c r="F139" s="213" t="s">
        <v>67</v>
      </c>
      <c r="G139" s="232">
        <f>IF('Chequeo Balanza '!$N$5='Chequeo Balanza '!$L$6,VLOOKUP('Chequeo Balanza '!$K$13,'INCERTIDUMBRE DE LA MEDIDA'!$R$32:$T$43,3,TRUE),VLOOKUP('Chequeo Balanza '!$K$13,'INCERTIDUMBRE DE LA MEDIDA'!$R$20:$T$31,3,TRUE))</f>
        <v>9.1000000000000003E-5</v>
      </c>
      <c r="H139" s="213" t="s">
        <v>229</v>
      </c>
      <c r="I139" s="323">
        <f>G139/2</f>
        <v>4.5500000000000001E-5</v>
      </c>
      <c r="J139" s="232"/>
      <c r="K139" s="215" t="s">
        <v>233</v>
      </c>
      <c r="L139" s="441">
        <f>+L134</f>
        <v>1.0027257779641947</v>
      </c>
      <c r="M139" s="323">
        <f>I139*L139</f>
        <v>4.5624022897370857E-5</v>
      </c>
      <c r="N139" s="234">
        <f>M139^2</f>
        <v>2.0815514653398202E-9</v>
      </c>
      <c r="O139" s="232">
        <v>50</v>
      </c>
      <c r="P139" s="321">
        <f>N139^2/O139</f>
        <v>8.6657130057167057E-20</v>
      </c>
      <c r="T139" s="57">
        <f t="shared" si="28"/>
        <v>0.94274823416549636</v>
      </c>
      <c r="U139" s="121"/>
    </row>
    <row r="140" spans="1:21" x14ac:dyDescent="0.2">
      <c r="A140" s="219">
        <v>1.5</v>
      </c>
      <c r="B140" s="232"/>
      <c r="C140" s="211" t="s">
        <v>347</v>
      </c>
      <c r="D140" s="232"/>
      <c r="E140" s="232" t="s">
        <v>349</v>
      </c>
      <c r="F140" s="213" t="s">
        <v>67</v>
      </c>
      <c r="G140" s="232">
        <f>+'DATOS GENERALES'!$D$37</f>
        <v>2.0000000000000001E-4</v>
      </c>
      <c r="H140" s="213" t="s">
        <v>228</v>
      </c>
      <c r="I140" s="323">
        <f>G140/SQRT(12)</f>
        <v>5.7735026918962585E-5</v>
      </c>
      <c r="J140" s="232"/>
      <c r="K140" s="213" t="s">
        <v>228</v>
      </c>
      <c r="L140" s="441">
        <f>+L138</f>
        <v>1.0027257779641947</v>
      </c>
      <c r="M140" s="323">
        <f>I140*L140</f>
        <v>5.7892399783100485E-5</v>
      </c>
      <c r="N140" s="234">
        <f>M140^2</f>
        <v>3.3515299526463331E-9</v>
      </c>
      <c r="O140" s="232">
        <v>50</v>
      </c>
      <c r="P140" s="321">
        <f>N140^2/O140</f>
        <v>2.2465506046971063E-19</v>
      </c>
      <c r="Q140" s="415" t="s">
        <v>558</v>
      </c>
      <c r="T140" s="57">
        <f t="shared" si="28"/>
        <v>1.5179297736432749</v>
      </c>
      <c r="U140" s="121"/>
    </row>
    <row r="141" spans="1:21" x14ac:dyDescent="0.2">
      <c r="A141" s="215">
        <v>1.6</v>
      </c>
      <c r="B141" s="232"/>
      <c r="C141" s="211" t="s">
        <v>348</v>
      </c>
      <c r="D141" s="232"/>
      <c r="E141" s="232" t="s">
        <v>349</v>
      </c>
      <c r="F141" s="213" t="s">
        <v>67</v>
      </c>
      <c r="G141" s="283">
        <f>+'DATOS GENERALES'!$D$39</f>
        <v>1E-4</v>
      </c>
      <c r="H141" s="213" t="s">
        <v>228</v>
      </c>
      <c r="I141" s="323">
        <f>G141/SQRT(12)</f>
        <v>2.8867513459481293E-5</v>
      </c>
      <c r="J141" s="232"/>
      <c r="K141" s="213" t="s">
        <v>228</v>
      </c>
      <c r="L141" s="441">
        <f>+L138</f>
        <v>1.0027257779641947</v>
      </c>
      <c r="M141" s="323">
        <f>I141*L141</f>
        <v>2.8946199891550242E-5</v>
      </c>
      <c r="N141" s="234">
        <f>M141^2</f>
        <v>8.3788248816158326E-10</v>
      </c>
      <c r="O141" s="232">
        <v>50</v>
      </c>
      <c r="P141" s="321">
        <f>N141^2/O141</f>
        <v>1.4040941279356914E-20</v>
      </c>
      <c r="Q141" s="414">
        <f>+(0.0632693-(2*(0.00852329*'DATOS GENERALES'!$E$112))+(3*(0.00006943248*0.00852329*'DATOS GENERALES'!$E$112^2))-(4*(0.0000003821216*'DATOS GENERALES'!$E$112^3)))/1000</f>
        <v>-3.0123658936613193E-4</v>
      </c>
      <c r="T141" s="57" t="e">
        <f>+#REF!/SUM($N$134:$N$173)*100</f>
        <v>#REF!</v>
      </c>
      <c r="U141" s="121"/>
    </row>
    <row r="142" spans="1:21" ht="13.5" thickBot="1" x14ac:dyDescent="0.25">
      <c r="A142" s="220">
        <v>1.7</v>
      </c>
      <c r="B142" s="222"/>
      <c r="C142" s="223" t="s">
        <v>352</v>
      </c>
      <c r="D142" s="222"/>
      <c r="E142" s="232" t="s">
        <v>353</v>
      </c>
      <c r="F142" s="213" t="s">
        <v>67</v>
      </c>
      <c r="G142" s="209">
        <f>+G138</f>
        <v>5.3000000000000001E-5</v>
      </c>
      <c r="H142" s="213" t="s">
        <v>228</v>
      </c>
      <c r="I142" s="323">
        <f>G142/SQRT(12)</f>
        <v>1.5299782133525084E-5</v>
      </c>
      <c r="J142" s="209"/>
      <c r="K142" s="213" t="s">
        <v>228</v>
      </c>
      <c r="L142" s="441">
        <f>+L141</f>
        <v>1.0027257779641947</v>
      </c>
      <c r="M142" s="323">
        <f>I142*L142</f>
        <v>1.5341485942521625E-5</v>
      </c>
      <c r="N142" s="234">
        <f>M142^2</f>
        <v>2.3536119092458866E-10</v>
      </c>
      <c r="O142" s="232">
        <v>51</v>
      </c>
      <c r="P142" s="321">
        <f>N142^2/O142</f>
        <v>1.0861743175184446E-21</v>
      </c>
      <c r="T142" s="57">
        <f>+N141/SUM($N$134:$N$173)*100</f>
        <v>0.37948244341081872</v>
      </c>
      <c r="U142" s="121"/>
    </row>
    <row r="143" spans="1:21" x14ac:dyDescent="0.2">
      <c r="A143" s="241">
        <v>2</v>
      </c>
      <c r="B143" s="599"/>
      <c r="C143" s="314" t="s">
        <v>628</v>
      </c>
      <c r="D143" s="831">
        <f>'DATOS GENERALES'!M112</f>
        <v>1.0736426456986997E-3</v>
      </c>
      <c r="E143" s="227"/>
      <c r="F143" s="327"/>
      <c r="G143" s="227"/>
      <c r="H143" s="327"/>
      <c r="I143" s="328"/>
      <c r="J143" s="227"/>
      <c r="K143" s="329"/>
      <c r="L143" s="227"/>
      <c r="M143" s="227"/>
      <c r="N143" s="227"/>
      <c r="O143" s="227"/>
      <c r="P143" s="330"/>
      <c r="Q143" s="415"/>
      <c r="T143" s="57">
        <f t="shared" ref="T143:T173" si="29">+N143/SUM($N$134:$N$173)*100</f>
        <v>0</v>
      </c>
      <c r="U143" s="121"/>
    </row>
    <row r="144" spans="1:21" x14ac:dyDescent="0.2">
      <c r="A144" s="232"/>
      <c r="B144" s="232" t="s">
        <v>346</v>
      </c>
      <c r="C144" s="232"/>
      <c r="D144" s="818">
        <f>AVERAGE('DATOS CORRECCIONES EQUIPOS EMPL'!G50:G59)</f>
        <v>20.786416832831947</v>
      </c>
      <c r="E144" s="232"/>
      <c r="F144" s="213"/>
      <c r="G144" s="233"/>
      <c r="H144" s="213"/>
      <c r="I144" s="234"/>
      <c r="J144" s="232"/>
      <c r="K144" s="215"/>
      <c r="L144" s="283"/>
      <c r="M144" s="234"/>
      <c r="N144" s="323"/>
      <c r="O144" s="232"/>
      <c r="P144" s="326"/>
      <c r="Q144" s="414"/>
      <c r="T144" s="57">
        <f t="shared" si="29"/>
        <v>0</v>
      </c>
      <c r="U144" s="121"/>
    </row>
    <row r="145" spans="1:21" x14ac:dyDescent="0.2">
      <c r="A145" s="1"/>
      <c r="B145" s="1"/>
      <c r="E145" s="1"/>
      <c r="F145" s="102"/>
      <c r="G145" s="333"/>
      <c r="H145" s="102"/>
      <c r="I145" s="114"/>
      <c r="J145" s="1"/>
      <c r="K145" s="104"/>
      <c r="L145" s="114"/>
      <c r="M145" s="125"/>
      <c r="N145" s="126"/>
      <c r="O145" s="1"/>
      <c r="P145" s="331"/>
      <c r="T145" s="57">
        <f t="shared" si="29"/>
        <v>0</v>
      </c>
      <c r="U145" s="121"/>
    </row>
    <row r="146" spans="1:21" x14ac:dyDescent="0.2">
      <c r="A146" s="219" t="s">
        <v>206</v>
      </c>
      <c r="B146" s="232"/>
      <c r="C146" s="232" t="s">
        <v>202</v>
      </c>
      <c r="D146" s="232">
        <f>0.00068</f>
        <v>6.8000000000000005E-4</v>
      </c>
      <c r="E146" s="232" t="s">
        <v>636</v>
      </c>
      <c r="F146" s="213" t="s">
        <v>171</v>
      </c>
      <c r="G146" s="283">
        <f>D143*D146</f>
        <v>7.3007699907511584E-7</v>
      </c>
      <c r="H146" s="213" t="s">
        <v>255</v>
      </c>
      <c r="I146" s="283">
        <f>D146/SQRT(3)</f>
        <v>3.9259818304894555E-4</v>
      </c>
      <c r="J146" s="232"/>
      <c r="K146" s="215"/>
      <c r="L146" s="323">
        <f>('DATOS GENERALES'!$Q$112/1000)*((1/('INCERTIDUMBRE DE LA MEDIDA'!D159-'INCERTIDUMBRE DE LA MEDIDA'!D143))-((1/('INCERTIDUMBRE DE LA MEDIDA'!D165-'INCERTIDUMBRE DE LA MEDIDA'!D143))))</f>
        <v>0.88123037150934092</v>
      </c>
      <c r="M146" s="323">
        <f>I146*L146</f>
        <v>3.459694427021145E-4</v>
      </c>
      <c r="N146" s="234">
        <f>M146^2</f>
        <v>1.1969485528361169E-7</v>
      </c>
      <c r="O146" s="232">
        <v>100</v>
      </c>
      <c r="P146" s="332">
        <f>N146^2/O146</f>
        <v>1.4326858381364746E-16</v>
      </c>
      <c r="T146" s="57">
        <f t="shared" si="29"/>
        <v>54.210580586772913</v>
      </c>
      <c r="U146" s="121"/>
    </row>
    <row r="147" spans="1:21" x14ac:dyDescent="0.2">
      <c r="A147" s="98" t="s">
        <v>207</v>
      </c>
      <c r="B147" s="1"/>
      <c r="C147" s="100" t="s">
        <v>203</v>
      </c>
      <c r="D147" s="124"/>
      <c r="E147" s="1"/>
      <c r="F147" s="1"/>
      <c r="G147" s="1"/>
      <c r="H147" s="1"/>
      <c r="I147" s="1"/>
      <c r="J147" s="1"/>
      <c r="K147" s="1"/>
      <c r="L147" s="829"/>
      <c r="M147" s="1"/>
      <c r="N147" s="1"/>
      <c r="O147" s="1"/>
      <c r="P147" s="331"/>
      <c r="T147" s="57">
        <f t="shared" si="29"/>
        <v>0</v>
      </c>
      <c r="U147" s="121"/>
    </row>
    <row r="148" spans="1:21" x14ac:dyDescent="0.2">
      <c r="A148" s="219"/>
      <c r="B148" s="232"/>
      <c r="C148" s="211" t="s">
        <v>204</v>
      </c>
      <c r="D148" s="232"/>
      <c r="E148" s="232" t="s">
        <v>66</v>
      </c>
      <c r="F148" s="213" t="s">
        <v>23</v>
      </c>
      <c r="G148" s="283">
        <f>'DATOS CORRECCIONES EQUIPOS EMPL'!AB62</f>
        <v>0.27981562539672206</v>
      </c>
      <c r="H148" s="213" t="s">
        <v>229</v>
      </c>
      <c r="I148" s="283">
        <f>G148/2</f>
        <v>0.13990781269836103</v>
      </c>
      <c r="J148" s="232"/>
      <c r="K148" s="215">
        <f>+K144</f>
        <v>0</v>
      </c>
      <c r="L148" s="233">
        <f>((((-0.00252*D151*(D144+273.15))-(0.34844*D155+D151*(-0.00252*D144+273.15)))/(D144+273.15)^2)/1000)*('DATOS GENERALES'!$Q$112/1000)*((1/('INCERTIDUMBRE DE LA MEDIDA'!D159-'INCERTIDUMBRE DE LA MEDIDA'!D143))-((1/('INCERTIDUMBRE DE LA MEDIDA'!D165-'INCERTIDUMBRE DE LA MEDIDA'!D143))))</f>
        <v>-1.5751296414975063E-4</v>
      </c>
      <c r="M148" s="323">
        <f>I148*L148</f>
        <v>-2.2037294285826965E-5</v>
      </c>
      <c r="N148" s="234">
        <f>M148^2</f>
        <v>4.856423394401418E-10</v>
      </c>
      <c r="O148" s="232">
        <v>50</v>
      </c>
      <c r="P148" s="332">
        <f>N148^2/O148</f>
        <v>4.7169696371378784E-21</v>
      </c>
      <c r="T148" s="57">
        <f t="shared" si="29"/>
        <v>0.21995058280648883</v>
      </c>
      <c r="U148" s="121"/>
    </row>
    <row r="149" spans="1:21" x14ac:dyDescent="0.2">
      <c r="A149" s="98"/>
      <c r="B149" s="1"/>
      <c r="C149" s="100" t="s">
        <v>213</v>
      </c>
      <c r="D149" s="1"/>
      <c r="E149" s="1" t="s">
        <v>220</v>
      </c>
      <c r="F149" s="102" t="s">
        <v>23</v>
      </c>
      <c r="G149" s="333">
        <f>MIN('DATOS CORRECCIONES EQUIPOS EMPL'!G50:G59)-MAX('DATOS CORRECCIONES EQUIPOS EMPL'!G50:G59)</f>
        <v>0</v>
      </c>
      <c r="H149" s="102" t="s">
        <v>228</v>
      </c>
      <c r="I149" s="114">
        <f>G149/SQRT(12)</f>
        <v>0</v>
      </c>
      <c r="J149" s="1"/>
      <c r="K149" s="104">
        <f>+K144</f>
        <v>0</v>
      </c>
      <c r="L149" s="125">
        <f>+L148</f>
        <v>-1.5751296414975063E-4</v>
      </c>
      <c r="M149" s="309">
        <f>I149*L149</f>
        <v>0</v>
      </c>
      <c r="N149" s="126">
        <f>M149^2</f>
        <v>0</v>
      </c>
      <c r="O149" s="1">
        <v>100</v>
      </c>
      <c r="P149" s="331">
        <f>N149^2/O149</f>
        <v>0</v>
      </c>
      <c r="T149" s="57">
        <f t="shared" si="29"/>
        <v>0</v>
      </c>
      <c r="U149" s="121"/>
    </row>
    <row r="150" spans="1:21" ht="13.5" thickBot="1" x14ac:dyDescent="0.25">
      <c r="A150" s="324"/>
      <c r="B150" s="325"/>
      <c r="C150" s="223" t="s">
        <v>182</v>
      </c>
      <c r="D150" s="325"/>
      <c r="E150" s="325" t="s">
        <v>221</v>
      </c>
      <c r="F150" s="224" t="s">
        <v>23</v>
      </c>
      <c r="G150" s="325">
        <f>Trazabilidad!AB12</f>
        <v>0.1</v>
      </c>
      <c r="H150" s="224" t="s">
        <v>228</v>
      </c>
      <c r="I150" s="334">
        <f>G150/SQRT(12)</f>
        <v>2.8867513459481291E-2</v>
      </c>
      <c r="J150" s="325"/>
      <c r="K150" s="226">
        <f>+K144</f>
        <v>0</v>
      </c>
      <c r="L150" s="442">
        <f>+L148</f>
        <v>-1.5751296414975063E-4</v>
      </c>
      <c r="M150" s="323">
        <f>I150*L150</f>
        <v>-4.5470076126357202E-6</v>
      </c>
      <c r="N150" s="234">
        <f>M150^2</f>
        <v>2.0675278229367191E-11</v>
      </c>
      <c r="O150" s="325">
        <v>100</v>
      </c>
      <c r="P150" s="332">
        <f t="shared" ref="P150" si="30">N150^2/O150</f>
        <v>4.2746712986174496E-24</v>
      </c>
      <c r="T150" s="57">
        <f t="shared" si="29"/>
        <v>9.3639683506139913E-3</v>
      </c>
      <c r="U150" s="121"/>
    </row>
    <row r="151" spans="1:21" x14ac:dyDescent="0.2">
      <c r="A151" s="241" t="s">
        <v>208</v>
      </c>
      <c r="B151" s="227" t="s">
        <v>205</v>
      </c>
      <c r="C151" s="227"/>
      <c r="D151" s="335">
        <f>AVERAGE('DATOS CORRECCIONES EQUIPOS EMPL'!I50:I59)</f>
        <v>55.235986726753104</v>
      </c>
      <c r="E151" s="227"/>
      <c r="F151" s="327"/>
      <c r="G151" s="227"/>
      <c r="H151" s="327"/>
      <c r="I151" s="328"/>
      <c r="J151" s="227"/>
      <c r="K151" s="329"/>
      <c r="L151" s="827"/>
      <c r="M151" s="227"/>
      <c r="N151" s="227"/>
      <c r="O151" s="227"/>
      <c r="P151" s="330"/>
      <c r="T151" s="57">
        <f t="shared" si="29"/>
        <v>0</v>
      </c>
      <c r="U151" s="121"/>
    </row>
    <row r="152" spans="1:21" x14ac:dyDescent="0.2">
      <c r="A152" s="219"/>
      <c r="B152" s="232"/>
      <c r="C152" s="211" t="s">
        <v>204</v>
      </c>
      <c r="D152" s="232"/>
      <c r="E152" s="232" t="s">
        <v>66</v>
      </c>
      <c r="F152" s="213" t="s">
        <v>226</v>
      </c>
      <c r="G152" s="283">
        <f>'DATOS CORRECCIONES EQUIPOS EMPL'!AI62</f>
        <v>0.76297740875281184</v>
      </c>
      <c r="H152" s="213" t="s">
        <v>229</v>
      </c>
      <c r="I152" s="323">
        <f>G152/2</f>
        <v>0.38148870437640592</v>
      </c>
      <c r="J152" s="232"/>
      <c r="K152" s="215" t="s">
        <v>235</v>
      </c>
      <c r="L152" s="283">
        <f>('DATOS GENERALES'!Q112/1000)*(((1/(D159-D143))-(1/(D165-D143))))*(((-0.00252*D144+0.020582)/(D144+273.15))/1000)</f>
        <v>-9.5336684722370324E-8</v>
      </c>
      <c r="M152" s="234">
        <f>I152*L152</f>
        <v>-3.636986833427895E-8</v>
      </c>
      <c r="N152" s="323">
        <f>M152^2</f>
        <v>1.3227673226527867E-15</v>
      </c>
      <c r="O152" s="232">
        <v>50</v>
      </c>
      <c r="P152" s="336">
        <f>N152^2/O152</f>
        <v>3.4994267797560428E-32</v>
      </c>
      <c r="Q152" s="120"/>
      <c r="T152" s="57">
        <f t="shared" si="29"/>
        <v>5.9908994728561916E-7</v>
      </c>
      <c r="U152" s="121"/>
    </row>
    <row r="153" spans="1:21" x14ac:dyDescent="0.2">
      <c r="A153" s="98"/>
      <c r="B153" s="1"/>
      <c r="C153" s="100" t="s">
        <v>212</v>
      </c>
      <c r="D153" s="1"/>
      <c r="E153" s="1" t="s">
        <v>222</v>
      </c>
      <c r="F153" s="102" t="s">
        <v>226</v>
      </c>
      <c r="G153" s="333">
        <f>MIN('DATOS CORRECCIONES EQUIPOS EMPL'!I50:I59)-MAX('DATOS CORRECCIONES EQUIPOS EMPL'!I50:I59)</f>
        <v>-1.6093765367299397</v>
      </c>
      <c r="H153" s="102" t="s">
        <v>228</v>
      </c>
      <c r="I153" s="114">
        <f>G153/SQRT(12)</f>
        <v>-0.46458698835424922</v>
      </c>
      <c r="J153" s="1"/>
      <c r="K153" s="104" t="s">
        <v>235</v>
      </c>
      <c r="L153" s="114">
        <f>+L152</f>
        <v>-9.5336684722370324E-8</v>
      </c>
      <c r="M153" s="309">
        <f>I153*L153</f>
        <v>4.4292183234844589E-8</v>
      </c>
      <c r="N153" s="126">
        <f>M153^2</f>
        <v>1.961797495709048E-15</v>
      </c>
      <c r="O153" s="1">
        <v>100</v>
      </c>
      <c r="P153" s="331">
        <f t="shared" ref="P153:P154" si="31">N153^2/O153</f>
        <v>3.8486494141702922E-32</v>
      </c>
      <c r="T153" s="57">
        <f t="shared" si="29"/>
        <v>8.8851088030536112E-7</v>
      </c>
      <c r="U153" s="121"/>
    </row>
    <row r="154" spans="1:21" ht="13.5" thickBot="1" x14ac:dyDescent="0.25">
      <c r="A154" s="324"/>
      <c r="B154" s="325"/>
      <c r="C154" s="223" t="s">
        <v>182</v>
      </c>
      <c r="D154" s="325"/>
      <c r="E154" s="325" t="s">
        <v>221</v>
      </c>
      <c r="F154" s="224" t="s">
        <v>226</v>
      </c>
      <c r="G154" s="325">
        <f>Trazabilidad!AA12</f>
        <v>0.1</v>
      </c>
      <c r="H154" s="224" t="s">
        <v>228</v>
      </c>
      <c r="I154" s="334">
        <f>G154/SQRT(12)</f>
        <v>2.8867513459481291E-2</v>
      </c>
      <c r="J154" s="325"/>
      <c r="K154" s="226" t="s">
        <v>235</v>
      </c>
      <c r="L154" s="334">
        <f>+L152</f>
        <v>-9.5336684722370324E-8</v>
      </c>
      <c r="M154" s="323">
        <f>I154*L154</f>
        <v>-2.7521330294053495E-9</v>
      </c>
      <c r="N154" s="234">
        <f t="shared" ref="N154" si="32">M154^2</f>
        <v>7.5742362115438665E-18</v>
      </c>
      <c r="O154" s="325">
        <v>100</v>
      </c>
      <c r="P154" s="332">
        <f t="shared" si="31"/>
        <v>5.7369054188262381E-37</v>
      </c>
      <c r="T154" s="57">
        <f t="shared" si="29"/>
        <v>3.4304209780465903E-9</v>
      </c>
      <c r="U154" s="121"/>
    </row>
    <row r="155" spans="1:21" x14ac:dyDescent="0.2">
      <c r="A155" s="241" t="s">
        <v>209</v>
      </c>
      <c r="B155" s="227" t="s">
        <v>210</v>
      </c>
      <c r="C155" s="227"/>
      <c r="D155" s="337">
        <f>AVERAGE('DATOS CORRECCIONES EQUIPOS EMPL'!K50:K59)</f>
        <v>910.74263555378423</v>
      </c>
      <c r="E155" s="227"/>
      <c r="F155" s="327"/>
      <c r="G155" s="227"/>
      <c r="H155" s="327"/>
      <c r="I155" s="328"/>
      <c r="J155" s="227"/>
      <c r="K155" s="329"/>
      <c r="L155" s="827"/>
      <c r="M155" s="227"/>
      <c r="N155" s="227"/>
      <c r="O155" s="227"/>
      <c r="P155" s="330"/>
      <c r="T155" s="57">
        <f t="shared" si="29"/>
        <v>0</v>
      </c>
      <c r="U155" s="121"/>
    </row>
    <row r="156" spans="1:21" x14ac:dyDescent="0.2">
      <c r="A156" s="219"/>
      <c r="B156" s="232"/>
      <c r="C156" s="211" t="s">
        <v>204</v>
      </c>
      <c r="D156" s="232"/>
      <c r="E156" s="232" t="s">
        <v>66</v>
      </c>
      <c r="F156" s="213" t="s">
        <v>61</v>
      </c>
      <c r="G156" s="283">
        <f>'DATOS CORRECCIONES EQUIPOS EMPL'!AP62</f>
        <v>0.44000000663041522</v>
      </c>
      <c r="H156" s="213" t="s">
        <v>229</v>
      </c>
      <c r="I156" s="323">
        <f>G156/2</f>
        <v>0.22000000331520761</v>
      </c>
      <c r="J156" s="232"/>
      <c r="K156" s="215" t="s">
        <v>236</v>
      </c>
      <c r="L156" s="283">
        <f>('DATOS GENERALES'!Q112/1000)*(((1/(D159-D143))-(1/(D165-D143))))*((0.34844/(D144+273.15))/1000)</f>
        <v>1.0446337815410744E-6</v>
      </c>
      <c r="M156" s="323">
        <f>I156*L156</f>
        <v>2.2981943540221425E-7</v>
      </c>
      <c r="N156" s="323">
        <f>M156^2</f>
        <v>5.281697288859253E-14</v>
      </c>
      <c r="O156" s="232">
        <v>50</v>
      </c>
      <c r="P156" s="340">
        <f>N156^2/O156</f>
        <v>5.5792652502286367E-29</v>
      </c>
      <c r="Q156" s="120"/>
      <c r="T156" s="57">
        <f t="shared" si="29"/>
        <v>2.3921151484264941E-5</v>
      </c>
      <c r="U156" s="121"/>
    </row>
    <row r="157" spans="1:21" x14ac:dyDescent="0.2">
      <c r="A157" s="98"/>
      <c r="B157" s="1"/>
      <c r="C157" s="100" t="s">
        <v>211</v>
      </c>
      <c r="D157" s="1"/>
      <c r="E157" s="1" t="s">
        <v>222</v>
      </c>
      <c r="F157" s="102" t="s">
        <v>61</v>
      </c>
      <c r="G157" s="1">
        <f>MIN('DATOS CORRECCIONES EQUIPOS EMPL'!K50:K59)-MAX('DATOS CORRECCIONES EQUIPOS EMPL'!K50:K59)</f>
        <v>-0.996273691256647</v>
      </c>
      <c r="H157" s="102" t="s">
        <v>228</v>
      </c>
      <c r="I157" s="114">
        <f>G157/SQRT(12)</f>
        <v>-0.28759944191678366</v>
      </c>
      <c r="J157" s="1"/>
      <c r="K157" s="104" t="s">
        <v>236</v>
      </c>
      <c r="L157" s="114">
        <f>+L156</f>
        <v>1.0446337815410744E-6</v>
      </c>
      <c r="M157" s="125">
        <f>I157*L157</f>
        <v>-3.0043609257863231E-7</v>
      </c>
      <c r="N157" s="126">
        <f t="shared" ref="N157:N158" si="33">M157^2</f>
        <v>9.0261845723916525E-14</v>
      </c>
      <c r="O157" s="1">
        <v>100</v>
      </c>
      <c r="P157" s="331">
        <f t="shared" ref="P157:P158" si="34">N157^2/O157</f>
        <v>8.1472007934881077E-29</v>
      </c>
      <c r="T157" s="57">
        <f t="shared" si="29"/>
        <v>4.0880178600267694E-5</v>
      </c>
      <c r="U157" s="121"/>
    </row>
    <row r="158" spans="1:21" ht="13.5" thickBot="1" x14ac:dyDescent="0.25">
      <c r="A158" s="324"/>
      <c r="B158" s="325"/>
      <c r="C158" s="223" t="s">
        <v>182</v>
      </c>
      <c r="D158" s="325"/>
      <c r="E158" s="325" t="s">
        <v>221</v>
      </c>
      <c r="F158" s="224" t="s">
        <v>61</v>
      </c>
      <c r="G158" s="325">
        <f>Trazabilidad!AB13</f>
        <v>1</v>
      </c>
      <c r="H158" s="224" t="s">
        <v>228</v>
      </c>
      <c r="I158" s="334">
        <f>G158/SQRT(12)</f>
        <v>0.28867513459481292</v>
      </c>
      <c r="J158" s="325"/>
      <c r="K158" s="226" t="s">
        <v>236</v>
      </c>
      <c r="L158" s="334">
        <f>+L156</f>
        <v>1.0446337815410744E-6</v>
      </c>
      <c r="M158" s="338">
        <f>I158*L158</f>
        <v>3.0155979748865808E-7</v>
      </c>
      <c r="N158" s="234">
        <f t="shared" si="33"/>
        <v>9.0938311461400474E-14</v>
      </c>
      <c r="O158" s="325">
        <v>100</v>
      </c>
      <c r="P158" s="332">
        <f t="shared" si="34"/>
        <v>8.2697764914506811E-29</v>
      </c>
      <c r="T158" s="57">
        <f t="shared" si="29"/>
        <v>4.1186554344564909E-5</v>
      </c>
      <c r="U158" s="121"/>
    </row>
    <row r="159" spans="1:21" x14ac:dyDescent="0.2">
      <c r="A159" s="241">
        <v>3</v>
      </c>
      <c r="B159" s="227" t="s">
        <v>382</v>
      </c>
      <c r="C159" s="227"/>
      <c r="D159" s="820">
        <f>'DATOS GENERALES'!O112</f>
        <v>0.99810573126845648</v>
      </c>
      <c r="E159" s="227"/>
      <c r="F159" s="327"/>
      <c r="G159" s="227"/>
      <c r="H159" s="327"/>
      <c r="I159" s="328"/>
      <c r="J159" s="227"/>
      <c r="K159" s="329"/>
      <c r="L159" s="827"/>
      <c r="M159" s="227"/>
      <c r="N159" s="227"/>
      <c r="O159" s="227"/>
      <c r="P159" s="330"/>
      <c r="T159" s="57">
        <f t="shared" si="29"/>
        <v>0</v>
      </c>
      <c r="U159" s="121"/>
    </row>
    <row r="160" spans="1:21" x14ac:dyDescent="0.2">
      <c r="A160" s="219" t="s">
        <v>215</v>
      </c>
      <c r="B160" s="232"/>
      <c r="C160" s="211" t="s">
        <v>214</v>
      </c>
      <c r="D160" s="232"/>
      <c r="E160" s="232" t="str">
        <f>E99</f>
        <v>TANAKA</v>
      </c>
      <c r="F160" s="213" t="s">
        <v>225</v>
      </c>
      <c r="G160" s="283">
        <f>IF(E160="kell",SQRT((SQRT(G162^2+G163^2+G164^2)*Q141)^2),0.00000083)</f>
        <v>8.2999999999999999E-7</v>
      </c>
      <c r="H160" s="102" t="s">
        <v>228</v>
      </c>
      <c r="I160" s="234">
        <f>IF(E160="kell",G160/SQRT(3),G160/2)</f>
        <v>4.15E-7</v>
      </c>
      <c r="J160" s="232"/>
      <c r="K160" s="215" t="s">
        <v>234</v>
      </c>
      <c r="L160" s="283">
        <f>IF(E160="Kell",-(('DATOS GENERALES'!$A$112-'DATOS GENERALES'!$C$112)/('DATOS GENERALES'!$O$112^2))*'DATOS GENERALES'!U112,((-'DATOS GENERALES'!Q112/1000)/(D159-D143)))</f>
        <v>-1.0074338046482143</v>
      </c>
      <c r="M160" s="338">
        <f>I160*L160</f>
        <v>-4.1808502892900893E-7</v>
      </c>
      <c r="N160" s="338">
        <f>M160^2</f>
        <v>1.7479509141457024E-13</v>
      </c>
      <c r="O160" s="232">
        <v>100</v>
      </c>
      <c r="P160" s="336">
        <f>N160^2/O160</f>
        <v>3.0553323982627964E-28</v>
      </c>
      <c r="Q160" s="120"/>
      <c r="T160" s="57">
        <f t="shared" si="29"/>
        <v>7.9165836884547303E-5</v>
      </c>
      <c r="U160" s="121"/>
    </row>
    <row r="161" spans="1:22" x14ac:dyDescent="0.2">
      <c r="A161" s="98"/>
      <c r="B161" s="1"/>
      <c r="C161" s="100" t="s">
        <v>238</v>
      </c>
      <c r="D161" s="339">
        <f>AVERAGE('DATOS CORRECCIONES EQUIPOS EMPL'!E50:E59)</f>
        <v>20.48323296573697</v>
      </c>
      <c r="E161" s="1"/>
      <c r="F161" s="102"/>
      <c r="G161" s="1"/>
      <c r="H161" s="102"/>
      <c r="I161" s="114"/>
      <c r="J161" s="1"/>
      <c r="K161" s="104"/>
      <c r="L161" s="829"/>
      <c r="M161" s="1"/>
      <c r="N161" s="1"/>
      <c r="O161" s="1"/>
      <c r="P161" s="1"/>
      <c r="T161" s="57">
        <f t="shared" si="29"/>
        <v>0</v>
      </c>
      <c r="U161" s="121"/>
    </row>
    <row r="162" spans="1:22" x14ac:dyDescent="0.2">
      <c r="A162" s="219"/>
      <c r="B162" s="232"/>
      <c r="C162" s="211" t="s">
        <v>204</v>
      </c>
      <c r="D162" s="232"/>
      <c r="E162" s="232" t="s">
        <v>66</v>
      </c>
      <c r="F162" s="213" t="s">
        <v>23</v>
      </c>
      <c r="G162" s="283">
        <f>'DATOS CORRECCIONES EQUIPOS EMPL'!U62</f>
        <v>5.3999999999999999E-2</v>
      </c>
      <c r="H162" s="213" t="s">
        <v>229</v>
      </c>
      <c r="I162" s="283">
        <f>G162/2</f>
        <v>2.7E-2</v>
      </c>
      <c r="J162" s="232"/>
      <c r="K162" s="215" t="s">
        <v>234</v>
      </c>
      <c r="L162" s="283">
        <f>((-'DATOS GENERALES'!Q112/1000)/(D159-D143))*(0.99997495/522528.9)*(((D161-3.983035)^2*(D161+301.797)/(D161+69.34881)^2)-((D161-3.983035)^2/(D161+69.34881))-(2*(D161-3.983035)*(D161+301.797)/(D161+69.34881)))</f>
        <v>2.1313370255435303E-4</v>
      </c>
      <c r="M162" s="323">
        <f>I162*L162</f>
        <v>5.7546099689675315E-6</v>
      </c>
      <c r="N162" s="338">
        <f>M162^2</f>
        <v>3.3115535894940494E-11</v>
      </c>
      <c r="O162" s="232">
        <v>50</v>
      </c>
      <c r="P162" s="340">
        <f>N162^2/O162</f>
        <v>2.1932774352181845E-23</v>
      </c>
      <c r="T162" s="57">
        <f t="shared" si="29"/>
        <v>1.4998242180527858E-2</v>
      </c>
      <c r="U162" s="121"/>
    </row>
    <row r="163" spans="1:22" x14ac:dyDescent="0.2">
      <c r="A163" s="98"/>
      <c r="B163" s="1"/>
      <c r="C163" s="100" t="s">
        <v>213</v>
      </c>
      <c r="D163" s="1"/>
      <c r="E163" s="1" t="s">
        <v>222</v>
      </c>
      <c r="F163" s="102" t="s">
        <v>23</v>
      </c>
      <c r="G163" s="1">
        <f>MIN('DATOS CORRECCIONES EQUIPOS EMPL'!E50:E59)-MAX('DATOS CORRECCIONES EQUIPOS EMPL'!E50:E59)</f>
        <v>-7.0028619164617112E-2</v>
      </c>
      <c r="H163" s="102" t="s">
        <v>228</v>
      </c>
      <c r="I163" s="114">
        <f>G163/SQRT(12)</f>
        <v>-2.0215521062834738E-2</v>
      </c>
      <c r="J163" s="1"/>
      <c r="K163" s="104" t="s">
        <v>234</v>
      </c>
      <c r="L163" s="114">
        <f>+L162</f>
        <v>2.1313370255435303E-4</v>
      </c>
      <c r="M163" s="125">
        <f>I163*L163</f>
        <v>-4.3086088531874776E-6</v>
      </c>
      <c r="N163" s="126">
        <f t="shared" ref="N163:N164" si="35">M163^2</f>
        <v>1.8564110249765512E-11</v>
      </c>
      <c r="O163" s="1">
        <v>100</v>
      </c>
      <c r="P163" s="331">
        <f>N163^2/O163</f>
        <v>3.4462618936544889E-24</v>
      </c>
      <c r="T163" s="57">
        <f t="shared" si="29"/>
        <v>8.4078066039855927E-3</v>
      </c>
      <c r="U163" s="121"/>
    </row>
    <row r="164" spans="1:22" ht="13.5" thickBot="1" x14ac:dyDescent="0.25">
      <c r="A164" s="219"/>
      <c r="B164" s="232"/>
      <c r="C164" s="211" t="s">
        <v>182</v>
      </c>
      <c r="D164" s="232"/>
      <c r="E164" s="232" t="s">
        <v>221</v>
      </c>
      <c r="F164" s="213" t="s">
        <v>23</v>
      </c>
      <c r="G164" s="325">
        <f>Trazabilidad!AA10</f>
        <v>0.01</v>
      </c>
      <c r="H164" s="213" t="s">
        <v>228</v>
      </c>
      <c r="I164" s="283">
        <f>G164/SQRT(12)</f>
        <v>2.886751345948129E-3</v>
      </c>
      <c r="J164" s="232"/>
      <c r="K164" s="215" t="s">
        <v>234</v>
      </c>
      <c r="L164" s="283">
        <f>+L163</f>
        <v>2.1313370255435303E-4</v>
      </c>
      <c r="M164" s="234">
        <f>I164*L164</f>
        <v>6.1526400271568675E-7</v>
      </c>
      <c r="N164" s="234">
        <f t="shared" si="35"/>
        <v>3.785497930377286E-13</v>
      </c>
      <c r="O164" s="232">
        <v>100</v>
      </c>
      <c r="P164" s="332">
        <f>N164^2/O164</f>
        <v>1.4329994580890716E-27</v>
      </c>
      <c r="T164" s="57">
        <f t="shared" si="29"/>
        <v>1.7144767010205601E-4</v>
      </c>
      <c r="U164" s="121"/>
    </row>
    <row r="165" spans="1:22" ht="13.5" thickBot="1" x14ac:dyDescent="0.25">
      <c r="A165" s="341">
        <v>4</v>
      </c>
      <c r="B165" s="245" t="s">
        <v>216</v>
      </c>
      <c r="C165" s="245"/>
      <c r="D165" s="245">
        <f>'DATOS GENERALES'!$R$21</f>
        <v>7.96</v>
      </c>
      <c r="E165" s="245" t="s">
        <v>223</v>
      </c>
      <c r="F165" s="248"/>
      <c r="G165" s="245">
        <f>140/100</f>
        <v>1.4</v>
      </c>
      <c r="H165" s="248" t="s">
        <v>230</v>
      </c>
      <c r="I165" s="252">
        <f>G165/SQRT(12)</f>
        <v>0.40414518843273806</v>
      </c>
      <c r="J165" s="245"/>
      <c r="K165" s="250" t="s">
        <v>237</v>
      </c>
      <c r="L165" s="408">
        <f>('DATOS GENERALES'!Q112/1000)*'INCERTIDUMBRE DE LA MEDIDA'!D143/('INCERTIDUMBRE DE LA MEDIDA'!D165*('INCERTIDUMBRE DE LA MEDIDA'!D165-'INCERTIDUMBRE DE LA MEDIDA'!D143))</f>
        <v>1.7022284905964693E-5</v>
      </c>
      <c r="M165" s="252">
        <f>I165*L165</f>
        <v>6.8794745408768539E-6</v>
      </c>
      <c r="N165" s="252">
        <f>M165^2</f>
        <v>4.7327169958572799E-11</v>
      </c>
      <c r="O165" s="245">
        <v>100</v>
      </c>
      <c r="P165" s="342">
        <f>N165^2/O165</f>
        <v>2.2398610162876355E-23</v>
      </c>
      <c r="T165" s="57">
        <f t="shared" si="29"/>
        <v>2.1434783933728427E-2</v>
      </c>
      <c r="U165" s="121"/>
    </row>
    <row r="166" spans="1:22" ht="13.5" thickBot="1" x14ac:dyDescent="0.25">
      <c r="A166" s="341">
        <v>5</v>
      </c>
      <c r="B166" s="245" t="s">
        <v>217</v>
      </c>
      <c r="C166" s="245"/>
      <c r="D166" s="597">
        <f>AVERAGE('DATOS CORRECCIONES EQUIPOS EMPL'!G50:G59)</f>
        <v>20.786416832831947</v>
      </c>
      <c r="E166" s="245"/>
      <c r="F166" s="248"/>
      <c r="G166" s="245"/>
      <c r="H166" s="248"/>
      <c r="I166" s="252"/>
      <c r="J166" s="245"/>
      <c r="K166" s="250"/>
      <c r="L166" s="832"/>
      <c r="M166" s="251"/>
      <c r="N166" s="252"/>
      <c r="O166" s="245"/>
      <c r="P166" s="342"/>
      <c r="T166" s="57">
        <f t="shared" si="29"/>
        <v>0</v>
      </c>
      <c r="U166" s="121"/>
    </row>
    <row r="167" spans="1:22" x14ac:dyDescent="0.2">
      <c r="A167" s="343"/>
      <c r="B167" s="314"/>
      <c r="C167" s="292" t="s">
        <v>204</v>
      </c>
      <c r="D167" s="314"/>
      <c r="E167" s="314" t="s">
        <v>66</v>
      </c>
      <c r="F167" s="293" t="s">
        <v>23</v>
      </c>
      <c r="G167" s="344">
        <f>'DATOS CORRECCIONES EQUIPOS EMPL'!AB62</f>
        <v>0.27981562539672206</v>
      </c>
      <c r="H167" s="293" t="s">
        <v>229</v>
      </c>
      <c r="I167" s="344">
        <f>G167/2</f>
        <v>0.13990781269836103</v>
      </c>
      <c r="J167" s="314"/>
      <c r="K167" s="202" t="s">
        <v>234</v>
      </c>
      <c r="L167" s="344">
        <f>((-'DATOS GENERALES'!Q112/1000)/(D159-D143))*(0.99997495/522528.9)*(((D161-3.983035)^2*(D161+301.797)/(D161+69.34881)^2)-((D161-3.983035)^2/(D161+69.34881))-(2*(D161-3.983035)*(D161+301.797)/(D161+69.34881)))</f>
        <v>2.1313370255435303E-4</v>
      </c>
      <c r="M167" s="345">
        <f t="shared" ref="M167:M169" si="36">I167*L167</f>
        <v>2.9819070136682615E-5</v>
      </c>
      <c r="N167" s="345">
        <f>M167^2</f>
        <v>8.8917694381639694E-10</v>
      </c>
      <c r="O167" s="314">
        <v>50</v>
      </c>
      <c r="P167" s="349">
        <f t="shared" ref="P167:P169" si="37">N167^2/O167</f>
        <v>1.581271274829336E-20</v>
      </c>
      <c r="T167" s="57">
        <f t="shared" si="29"/>
        <v>0.40271403691031521</v>
      </c>
      <c r="U167" s="121"/>
    </row>
    <row r="168" spans="1:22" x14ac:dyDescent="0.2">
      <c r="A168" s="99"/>
      <c r="C168" s="100" t="s">
        <v>548</v>
      </c>
      <c r="D168" s="127"/>
      <c r="E168" t="s">
        <v>222</v>
      </c>
      <c r="F168" s="102" t="s">
        <v>23</v>
      </c>
      <c r="G168" s="313">
        <f>D166-D161</f>
        <v>0.30318386709497602</v>
      </c>
      <c r="H168" s="102" t="s">
        <v>228</v>
      </c>
      <c r="I168" s="37">
        <f>G168/SQRT(12)</f>
        <v>8.7521643640618069E-2</v>
      </c>
      <c r="K168" s="104" t="s">
        <v>234</v>
      </c>
      <c r="L168" s="114">
        <f>+L167</f>
        <v>2.1313370255435303E-4</v>
      </c>
      <c r="M168" s="351">
        <f t="shared" si="36"/>
        <v>1.8653811962767576E-5</v>
      </c>
      <c r="N168" s="118">
        <f t="shared" ref="N168:N169" si="38">M168^2</f>
        <v>3.4796470074229074E-10</v>
      </c>
      <c r="O168" s="116">
        <v>100</v>
      </c>
      <c r="P168" s="117">
        <f t="shared" si="37"/>
        <v>1.2107943296267196E-21</v>
      </c>
      <c r="T168" s="57">
        <f t="shared" si="29"/>
        <v>0.15759548233085166</v>
      </c>
      <c r="U168" s="121"/>
    </row>
    <row r="169" spans="1:22" ht="12.75" customHeight="1" thickBot="1" x14ac:dyDescent="0.25">
      <c r="A169" s="296"/>
      <c r="B169" s="297"/>
      <c r="C169" s="298" t="s">
        <v>182</v>
      </c>
      <c r="D169" s="297"/>
      <c r="E169" s="297" t="s">
        <v>221</v>
      </c>
      <c r="F169" s="299" t="s">
        <v>23</v>
      </c>
      <c r="G169" s="297">
        <f>Trazabilidad!AB12</f>
        <v>0.1</v>
      </c>
      <c r="H169" s="299" t="s">
        <v>228</v>
      </c>
      <c r="I169" s="300">
        <f>G169/SQRT(12)</f>
        <v>2.8867513459481291E-2</v>
      </c>
      <c r="J169" s="297"/>
      <c r="K169" s="301" t="s">
        <v>234</v>
      </c>
      <c r="L169" s="344">
        <f>+L167</f>
        <v>2.1313370255435303E-4</v>
      </c>
      <c r="M169" s="352">
        <f t="shared" si="36"/>
        <v>6.1526400271568678E-6</v>
      </c>
      <c r="N169" s="294">
        <f t="shared" si="38"/>
        <v>3.785497930377286E-11</v>
      </c>
      <c r="O169" s="302">
        <v>100</v>
      </c>
      <c r="P169" s="295">
        <f t="shared" si="37"/>
        <v>1.4329994580890718E-23</v>
      </c>
      <c r="T169" s="57">
        <f t="shared" si="29"/>
        <v>1.7144767010205602E-2</v>
      </c>
      <c r="U169" s="121"/>
    </row>
    <row r="170" spans="1:22" ht="12.75" customHeight="1" thickBot="1" x14ac:dyDescent="0.25">
      <c r="A170" s="341"/>
      <c r="B170" s="250"/>
      <c r="C170" s="598" t="s">
        <v>547</v>
      </c>
      <c r="D170" s="245">
        <f>Trazabilidad!AC10</f>
        <v>-0.14599999999999999</v>
      </c>
      <c r="E170" s="245"/>
      <c r="F170" s="299" t="s">
        <v>23</v>
      </c>
      <c r="G170" s="245">
        <f>D170</f>
        <v>-0.14599999999999999</v>
      </c>
      <c r="H170" s="248" t="s">
        <v>255</v>
      </c>
      <c r="I170" s="408">
        <f>G170/SQRT(3)</f>
        <v>-8.429313930168536E-2</v>
      </c>
      <c r="J170" s="245"/>
      <c r="K170" s="250"/>
      <c r="L170" s="408">
        <f>-((D135-D133)/D165)*(D165-D143)/(D159-D143)*D171</f>
        <v>2.4109433172312794E-4</v>
      </c>
      <c r="M170" s="852">
        <f>I170*L170</f>
        <v>-2.0322598088784363E-5</v>
      </c>
      <c r="N170" s="328">
        <f>M170^2</f>
        <v>4.1300799307826181E-10</v>
      </c>
      <c r="O170" s="245">
        <v>100</v>
      </c>
      <c r="P170" s="853">
        <f>N170^2/O170</f>
        <v>1.7057560234653356E-21</v>
      </c>
      <c r="T170" s="57"/>
      <c r="U170" s="121"/>
    </row>
    <row r="171" spans="1:22" ht="26.25" thickBot="1" x14ac:dyDescent="0.25">
      <c r="A171" s="244">
        <v>6</v>
      </c>
      <c r="B171" s="255" t="s">
        <v>219</v>
      </c>
      <c r="C171" s="246"/>
      <c r="D171" s="246">
        <f>'DATOS GENERALES'!$F$22</f>
        <v>2.4000000000000001E-4</v>
      </c>
      <c r="E171" s="256" t="s">
        <v>224</v>
      </c>
      <c r="F171" s="247"/>
      <c r="G171" s="281">
        <f>D171*0.1</f>
        <v>2.4000000000000001E-5</v>
      </c>
      <c r="H171" s="248" t="s">
        <v>228</v>
      </c>
      <c r="I171" s="347">
        <f>G171/SQRT(12)</f>
        <v>6.9282032302755094E-6</v>
      </c>
      <c r="J171" s="246"/>
      <c r="K171" s="250" t="s">
        <v>234</v>
      </c>
      <c r="L171" s="408">
        <f>(-'DATOS GENERALES'!Q112/1000)*(D161-20)/(1-D171*(D161-20))</f>
        <v>-0.48543667003964319</v>
      </c>
      <c r="M171" s="346">
        <f t="shared" ref="M171:M177" si="39">I171*L171</f>
        <v>-3.3632039054628424E-6</v>
      </c>
      <c r="N171" s="346">
        <f>M171^2</f>
        <v>1.1311140509720516E-11</v>
      </c>
      <c r="O171" s="259">
        <v>100</v>
      </c>
      <c r="P171" s="348">
        <f t="shared" ref="P171:P177" si="40">N171^2/O171</f>
        <v>1.2794189963064049E-24</v>
      </c>
      <c r="T171" s="57">
        <f t="shared" si="29"/>
        <v>5.1228893061243475E-3</v>
      </c>
      <c r="U171" s="121"/>
      <c r="V171">
        <v>3</v>
      </c>
    </row>
    <row r="172" spans="1:22" ht="13.5" thickBot="1" x14ac:dyDescent="0.25">
      <c r="A172" s="244">
        <v>7</v>
      </c>
      <c r="B172" s="255" t="s">
        <v>254</v>
      </c>
      <c r="C172" s="246"/>
      <c r="D172" s="246"/>
      <c r="E172" s="245" t="s">
        <v>220</v>
      </c>
      <c r="F172" s="248" t="s">
        <v>256</v>
      </c>
      <c r="G172" s="263">
        <f>+$Q$65</f>
        <v>-3.0052770464246936E-5</v>
      </c>
      <c r="H172" s="248" t="s">
        <v>255</v>
      </c>
      <c r="I172" s="257">
        <f>G172/SQRT(12)</f>
        <v>-8.6754875587135026E-6</v>
      </c>
      <c r="J172" s="246"/>
      <c r="K172" s="250" t="s">
        <v>351</v>
      </c>
      <c r="L172" s="833">
        <f>L134</f>
        <v>1.0027257779641947</v>
      </c>
      <c r="M172" s="312">
        <f t="shared" si="39"/>
        <v>-8.699135011529689E-6</v>
      </c>
      <c r="N172" s="261">
        <f>M172^2</f>
        <v>7.5674949948821647E-11</v>
      </c>
      <c r="O172" s="259">
        <v>100</v>
      </c>
      <c r="P172" s="262">
        <f t="shared" si="40"/>
        <v>5.7266980497566621E-23</v>
      </c>
      <c r="T172" s="57">
        <f t="shared" si="29"/>
        <v>3.4273678370554748E-2</v>
      </c>
      <c r="U172" s="121"/>
    </row>
    <row r="173" spans="1:22" ht="13.5" thickBot="1" x14ac:dyDescent="0.25">
      <c r="A173" s="244">
        <v>8</v>
      </c>
      <c r="B173" s="255" t="s">
        <v>545</v>
      </c>
      <c r="C173" s="246"/>
      <c r="D173" s="246"/>
      <c r="E173" s="246"/>
      <c r="F173" s="248" t="s">
        <v>227</v>
      </c>
      <c r="G173" s="246">
        <f>STDEV('DATOS GENERALES'!Q102:R111)/1000</f>
        <v>9.5650920825827892E-4</v>
      </c>
      <c r="H173" s="248" t="s">
        <v>232</v>
      </c>
      <c r="I173" s="257">
        <f>G173/SQRT(10)</f>
        <v>3.024747701020499E-4</v>
      </c>
      <c r="J173" s="246"/>
      <c r="K173" s="250" t="str">
        <f>+K172</f>
        <v>cm³</v>
      </c>
      <c r="L173" s="245">
        <v>1</v>
      </c>
      <c r="M173" s="312">
        <f t="shared" si="39"/>
        <v>3.024747701020499E-4</v>
      </c>
      <c r="N173" s="261">
        <f>M173^2</f>
        <v>9.1490986548287945E-8</v>
      </c>
      <c r="O173" s="259">
        <v>9</v>
      </c>
      <c r="P173" s="262">
        <f t="shared" si="40"/>
        <v>9.3006673550877854E-16</v>
      </c>
      <c r="T173" s="57">
        <f t="shared" si="29"/>
        <v>41.436864495866097</v>
      </c>
      <c r="U173" s="121"/>
    </row>
    <row r="174" spans="1:22" ht="13.5" thickBot="1" x14ac:dyDescent="0.25">
      <c r="A174" s="244"/>
      <c r="B174" s="471" t="s">
        <v>448</v>
      </c>
      <c r="C174" s="246"/>
      <c r="D174" s="472">
        <f>IF('DATOS GENERALES'!$N$21='DATOS GENERALES'!$H$165,D131/1000,IF('DATOS GENERALES'!$N$21='DATOS GENERALES'!$H$164,D131,IF('DATOS GENERALES'!$N$21='DATOS GENERALES'!$H$166,D131*1000)))</f>
        <v>1</v>
      </c>
      <c r="E174" s="246"/>
      <c r="F174" s="248" t="s">
        <v>227</v>
      </c>
      <c r="G174" s="246">
        <f>IF('DATOS GENERALES'!$F$24="DKD",IF(AND('DATOS GENERALES'!$D$25="Si",'DATOS GENERALES'!$D$24="Fijo"),0.07*D174/100,IF('DATOS GENERALES'!$D$25="No",0,0.1*D174/100)),IF(AND('DATOS GENERALES'!$D$25="Si",'DATOS GENERALES'!$D$24="Fijo"),0.07*D174/100,IF('DATOS GENERALES'!$D$25="No",0,0.1*D174/100))*0)</f>
        <v>0</v>
      </c>
      <c r="H174" s="248" t="s">
        <v>255</v>
      </c>
      <c r="I174" s="257">
        <f>G174/SQRT(12)</f>
        <v>0</v>
      </c>
      <c r="J174" s="246"/>
      <c r="K174" s="250" t="str">
        <f>+K173</f>
        <v>cm³</v>
      </c>
      <c r="L174" s="245">
        <v>1</v>
      </c>
      <c r="M174" s="312">
        <f t="shared" si="39"/>
        <v>0</v>
      </c>
      <c r="N174" s="261">
        <f t="shared" ref="N174:N177" si="41">M174^2</f>
        <v>0</v>
      </c>
      <c r="O174" s="259">
        <v>100</v>
      </c>
      <c r="P174" s="262">
        <f t="shared" si="40"/>
        <v>0</v>
      </c>
      <c r="R174" s="154"/>
      <c r="S174" s="306"/>
      <c r="T174" s="154"/>
      <c r="U174" s="3"/>
    </row>
    <row r="175" spans="1:22" ht="13.5" thickBot="1" x14ac:dyDescent="0.25">
      <c r="A175" s="244"/>
      <c r="B175" s="471" t="s">
        <v>449</v>
      </c>
      <c r="C175" s="246"/>
      <c r="D175" s="246">
        <f>IF('DATOS GENERALES'!$T$19='DATOS GENERALES'!$H$165,'DATOS GENERALES'!$P$19/1000,IF('DATOS GENERALES'!$T$19='DATOS GENERALES'!$H$164,'DATOS GENERALES'!$P$19,IF('DATOS GENERALES'!$T$19='DATOS GENERALES'!$H$166,'DATOS GENERALES'!$P$19*1000)))</f>
        <v>1E-3</v>
      </c>
      <c r="E175" s="246"/>
      <c r="F175" s="248" t="s">
        <v>227</v>
      </c>
      <c r="G175" s="246">
        <f>IF(AND('DATOS GENERALES'!$E$26="Si",'DATOS GENERALES'!$D$24="Variable"),D175,0)</f>
        <v>0</v>
      </c>
      <c r="H175" s="248" t="s">
        <v>255</v>
      </c>
      <c r="I175" s="257">
        <f>G175/SQRT(12)</f>
        <v>0</v>
      </c>
      <c r="J175" s="246"/>
      <c r="K175" s="250" t="str">
        <f>+K174</f>
        <v>cm³</v>
      </c>
      <c r="L175" s="245">
        <v>1</v>
      </c>
      <c r="M175" s="312">
        <f t="shared" si="39"/>
        <v>0</v>
      </c>
      <c r="N175" s="261">
        <f t="shared" si="41"/>
        <v>0</v>
      </c>
      <c r="O175" s="259">
        <v>100</v>
      </c>
      <c r="P175" s="262">
        <f t="shared" si="40"/>
        <v>0</v>
      </c>
      <c r="R175" s="154"/>
      <c r="S175" s="306"/>
      <c r="T175" s="154"/>
      <c r="U175" s="3"/>
    </row>
    <row r="176" spans="1:22" ht="13.5" thickBot="1" x14ac:dyDescent="0.25">
      <c r="A176" s="244"/>
      <c r="B176" s="471" t="s">
        <v>582</v>
      </c>
      <c r="C176" s="246"/>
      <c r="D176" s="246">
        <f>IF('DATOS GENERALES'!$T$19='DATOS GENERALES'!$H$165,'DATOS GENERALES'!$P$19/1000,IF('DATOS GENERALES'!$T$19='DATOS GENERALES'!$H$164,'DATOS GENERALES'!$P$19,IF('DATOS GENERALES'!$T$19='DATOS GENERALES'!$H$166,'DATOS GENERALES'!$P$19*1000)))</f>
        <v>1E-3</v>
      </c>
      <c r="E176" s="246"/>
      <c r="F176" s="248" t="s">
        <v>227</v>
      </c>
      <c r="G176" s="246">
        <f>IF('DATOS GENERALES'!$C$17="",0,IF(AND(ISNUMBER(SEARCH("digital",'DATOS GENERALES'!$C$17)),'DATOS GENERALES'!$D$24="Variable"),0,IF('DATOS GENERALES'!$D$24="Fijo",0,D176)))</f>
        <v>1E-3</v>
      </c>
      <c r="H176" s="248" t="s">
        <v>255</v>
      </c>
      <c r="I176" s="257">
        <f>G176/SQRT(12)</f>
        <v>2.886751345948129E-4</v>
      </c>
      <c r="J176" s="246"/>
      <c r="K176" s="250" t="str">
        <f>+K175</f>
        <v>cm³</v>
      </c>
      <c r="L176" s="245">
        <v>1</v>
      </c>
      <c r="M176" s="312">
        <f t="shared" si="39"/>
        <v>2.886751345948129E-4</v>
      </c>
      <c r="N176" s="261">
        <f t="shared" si="41"/>
        <v>8.3333333333333338E-8</v>
      </c>
      <c r="O176" s="259">
        <v>100</v>
      </c>
      <c r="P176" s="262">
        <f t="shared" si="40"/>
        <v>6.944444444444445E-17</v>
      </c>
      <c r="R176" s="154"/>
      <c r="S176" s="306"/>
      <c r="T176" s="154"/>
      <c r="U176" s="3"/>
    </row>
    <row r="177" spans="1:21" ht="13.5" thickBot="1" x14ac:dyDescent="0.25">
      <c r="A177" s="244"/>
      <c r="B177" s="471" t="s">
        <v>450</v>
      </c>
      <c r="C177" s="246"/>
      <c r="D177" s="472">
        <f>IF('DATOS GENERALES'!$T$19='DATOS GENERALES'!$H$165,'DATOS GENERALES'!$Q$112/1000,IF('DATOS GENERALES'!$T$19='DATOS GENERALES'!$H$164,'DATOS GENERALES'!$Q$112,IF('DATOS GENERALES'!$T$19='DATOS GENERALES'!$H$166,'DATOS GENERALES'!$Q$112*1000)))</f>
        <v>1.0044438303975805</v>
      </c>
      <c r="E177" s="246"/>
      <c r="F177" s="248" t="s">
        <v>227</v>
      </c>
      <c r="G177" s="246">
        <f>D177*0.1%</f>
        <v>1.0044438303975804E-3</v>
      </c>
      <c r="H177" s="248" t="s">
        <v>232</v>
      </c>
      <c r="I177" s="257">
        <f>G177/SQRT(3)</f>
        <v>5.7991591586590186E-4</v>
      </c>
      <c r="J177" s="246"/>
      <c r="K177" s="250" t="str">
        <f>+K175</f>
        <v>cm³</v>
      </c>
      <c r="L177" s="245">
        <v>1</v>
      </c>
      <c r="M177" s="312">
        <f t="shared" si="39"/>
        <v>5.7991591586590186E-4</v>
      </c>
      <c r="N177" s="261">
        <f t="shared" si="41"/>
        <v>3.3630246947458777E-7</v>
      </c>
      <c r="O177" s="259">
        <v>100</v>
      </c>
      <c r="P177" s="262">
        <f t="shared" si="40"/>
        <v>1.1309935097470605E-15</v>
      </c>
      <c r="R177" s="154"/>
      <c r="S177" s="306"/>
      <c r="T177" s="154"/>
      <c r="U177" s="3"/>
    </row>
    <row r="178" spans="1:21" ht="13.5" thickBot="1" x14ac:dyDescent="0.25">
      <c r="A178" s="244"/>
      <c r="B178" s="1571" t="s">
        <v>546</v>
      </c>
      <c r="C178" s="1571"/>
      <c r="D178" s="246"/>
      <c r="E178" s="246"/>
      <c r="F178" s="299"/>
      <c r="G178" s="246"/>
      <c r="H178" s="248"/>
      <c r="I178" s="257"/>
      <c r="J178" s="246"/>
      <c r="K178" s="250"/>
      <c r="L178" s="830"/>
      <c r="M178" s="312"/>
      <c r="N178" s="261"/>
      <c r="O178" s="259"/>
      <c r="P178" s="262"/>
      <c r="R178" s="154"/>
      <c r="S178" s="306"/>
      <c r="T178" s="154"/>
      <c r="U178" s="3"/>
    </row>
    <row r="179" spans="1:21" ht="13.5" thickBot="1" x14ac:dyDescent="0.25">
      <c r="A179" s="244"/>
      <c r="B179" s="594" t="s">
        <v>542</v>
      </c>
      <c r="C179" s="595"/>
      <c r="D179" s="585">
        <f>MAX(D161,D166,D144)-MIN(D161,D166,D144)</f>
        <v>0.30318386709497602</v>
      </c>
      <c r="E179" s="246"/>
      <c r="F179" s="299" t="s">
        <v>23</v>
      </c>
      <c r="G179" s="585">
        <f>D179</f>
        <v>0.30318386709497602</v>
      </c>
      <c r="H179" s="248" t="s">
        <v>255</v>
      </c>
      <c r="I179" s="257">
        <f>G179/SQRT(3)</f>
        <v>0.17504328728123614</v>
      </c>
      <c r="J179" s="246"/>
      <c r="K179" s="250"/>
      <c r="L179" s="257">
        <f>('DATOS GENERALES'!$Q$112/1000)*(((1/(D159-D143))-(1/(D165-D143))))*(((-0.00252*D180*(D179+273.15))-(0.34844*D181+D180*(-0.00252*D179+273.15)))/((D179+273.15)^2)/1000)</f>
        <v>-1.8199402378420089E-4</v>
      </c>
      <c r="M179" s="312">
        <f t="shared" ref="M179:M181" si="42">I179*L179</f>
        <v>-3.1856832188725999E-5</v>
      </c>
      <c r="N179" s="261">
        <f t="shared" ref="N179:N181" si="43">M179^2</f>
        <v>1.0148577571006489E-9</v>
      </c>
      <c r="O179" s="259">
        <v>100</v>
      </c>
      <c r="P179" s="262">
        <f t="shared" ref="P179:P181" si="44">N179^2/O179</f>
        <v>1.0299362671473597E-20</v>
      </c>
      <c r="R179" s="154"/>
      <c r="S179" s="306"/>
      <c r="T179" s="154"/>
      <c r="U179" s="3"/>
    </row>
    <row r="180" spans="1:21" ht="13.5" thickBot="1" x14ac:dyDescent="0.25">
      <c r="A180" s="244"/>
      <c r="B180" s="594" t="s">
        <v>540</v>
      </c>
      <c r="C180" s="595"/>
      <c r="D180" s="583">
        <f>D151</f>
        <v>55.235986726753104</v>
      </c>
      <c r="E180" s="246"/>
      <c r="F180" s="248" t="s">
        <v>226</v>
      </c>
      <c r="G180" s="585">
        <f>G153</f>
        <v>-1.6093765367299397</v>
      </c>
      <c r="H180" s="248" t="s">
        <v>255</v>
      </c>
      <c r="I180" s="257">
        <f t="shared" ref="I180" si="45">G180/SQRT(3)</f>
        <v>-0.92917397670849844</v>
      </c>
      <c r="J180" s="246"/>
      <c r="K180" s="250"/>
      <c r="L180" s="257">
        <f>('DATOS GENERALES'!Q112/1000)*(((1/(D159-D143))-(1/(D165-D143))))*(((-0.00252*D179+0.020582)/(D179+273.15))/1000)</f>
        <v>6.3865421799832541E-8</v>
      </c>
      <c r="M180" s="312">
        <f t="shared" si="42"/>
        <v>-5.9342087947916028E-8</v>
      </c>
      <c r="N180" s="261">
        <f t="shared" si="43"/>
        <v>3.5214834020182008E-15</v>
      </c>
      <c r="O180" s="259">
        <v>100</v>
      </c>
      <c r="P180" s="262">
        <f t="shared" si="44"/>
        <v>1.2400845350689682E-31</v>
      </c>
      <c r="R180" s="154"/>
      <c r="S180" s="306"/>
      <c r="T180" s="154"/>
      <c r="U180" s="3"/>
    </row>
    <row r="181" spans="1:21" ht="13.5" thickBot="1" x14ac:dyDescent="0.25">
      <c r="A181" s="244"/>
      <c r="B181" s="594" t="s">
        <v>541</v>
      </c>
      <c r="C181" s="595"/>
      <c r="D181" s="584">
        <f>D155</f>
        <v>910.74263555378423</v>
      </c>
      <c r="E181" s="246"/>
      <c r="F181" s="248" t="s">
        <v>61</v>
      </c>
      <c r="G181" s="246">
        <v>20</v>
      </c>
      <c r="H181" s="248" t="s">
        <v>544</v>
      </c>
      <c r="I181" s="257">
        <f>G181/SQRT(6)</f>
        <v>8.1649658092772608</v>
      </c>
      <c r="J181" s="246"/>
      <c r="K181" s="250"/>
      <c r="L181" s="257">
        <f>('DATOS GENERALES'!Q112/1000)*(((1/(D159-D143))-((1/(D165-D143))))*(0.34844/(D179+273.15))/1000)</f>
        <v>1.1228829238936622E-6</v>
      </c>
      <c r="M181" s="312">
        <f t="shared" si="42"/>
        <v>9.1683006814130321E-6</v>
      </c>
      <c r="N181" s="261">
        <f t="shared" si="43"/>
        <v>8.4057737384798667E-11</v>
      </c>
      <c r="O181" s="259">
        <v>100</v>
      </c>
      <c r="P181" s="262">
        <f t="shared" si="44"/>
        <v>7.0657032142517786E-23</v>
      </c>
      <c r="R181" s="154"/>
      <c r="S181" s="306"/>
      <c r="T181" s="154"/>
      <c r="U181" s="3"/>
    </row>
    <row r="182" spans="1:21" ht="13.5" thickBot="1" x14ac:dyDescent="0.25">
      <c r="A182" s="244"/>
      <c r="B182" s="255"/>
      <c r="C182" s="246"/>
      <c r="D182" s="246"/>
      <c r="E182" s="246"/>
      <c r="F182" s="248"/>
      <c r="G182" s="413"/>
      <c r="H182" s="248"/>
      <c r="I182" s="257"/>
      <c r="J182" s="246"/>
      <c r="K182" s="250"/>
      <c r="L182" s="246"/>
      <c r="M182" s="258"/>
      <c r="N182" s="470"/>
      <c r="O182" s="259"/>
      <c r="P182" s="262"/>
      <c r="U182" s="120"/>
    </row>
    <row r="183" spans="1:21" ht="13.5" thickBot="1" x14ac:dyDescent="0.25">
      <c r="A183" s="264"/>
      <c r="B183" s="265" t="s">
        <v>239</v>
      </c>
      <c r="C183" s="266"/>
      <c r="D183" s="266"/>
      <c r="E183" s="563">
        <f>M183</f>
        <v>8.0095620090659422E-4</v>
      </c>
      <c r="F183" s="267" t="s">
        <v>227</v>
      </c>
      <c r="G183" s="266"/>
      <c r="H183" s="267" t="s">
        <v>231</v>
      </c>
      <c r="I183" s="268"/>
      <c r="J183" s="266"/>
      <c r="K183" s="269" t="s">
        <v>227</v>
      </c>
      <c r="L183" s="266"/>
      <c r="M183" s="270">
        <f>+SQRT(SUM(N131:N181))</f>
        <v>8.0095620090659422E-4</v>
      </c>
      <c r="N183" s="231"/>
      <c r="O183" s="272" t="s">
        <v>244</v>
      </c>
      <c r="P183" s="282">
        <f>+POWER(M183,4)/SUM(P131:P181)</f>
        <v>180.97441535843438</v>
      </c>
      <c r="Q183" s="37"/>
      <c r="U183" s="121"/>
    </row>
    <row r="184" spans="1:21" ht="13.5" thickBot="1" x14ac:dyDescent="0.25">
      <c r="A184" s="264"/>
      <c r="B184" s="265" t="s">
        <v>68</v>
      </c>
      <c r="C184" s="266"/>
      <c r="D184" s="266"/>
      <c r="E184" s="564">
        <f>P185</f>
        <v>1.6131149</v>
      </c>
      <c r="F184" s="267" t="s">
        <v>227</v>
      </c>
      <c r="G184" s="266"/>
      <c r="H184" s="267" t="s">
        <v>231</v>
      </c>
      <c r="I184" s="268"/>
      <c r="J184" s="266"/>
      <c r="K184" s="269" t="s">
        <v>227</v>
      </c>
      <c r="L184" s="266"/>
      <c r="M184" s="271">
        <f>+M183*P184</f>
        <v>1.6131148884467623E-3</v>
      </c>
      <c r="N184" s="1"/>
      <c r="O184" s="273"/>
      <c r="P184" s="274">
        <f>+TINV(0.0455,P183)</f>
        <v>2.013986391042224</v>
      </c>
      <c r="U184" s="121"/>
    </row>
    <row r="185" spans="1:21" ht="13.5" thickBot="1" x14ac:dyDescent="0.25">
      <c r="A185" s="264"/>
      <c r="B185" s="265" t="s">
        <v>68</v>
      </c>
      <c r="C185" s="266"/>
      <c r="D185" s="266"/>
      <c r="E185" s="565">
        <f>M185</f>
        <v>0.16131149</v>
      </c>
      <c r="F185" s="267" t="s">
        <v>226</v>
      </c>
      <c r="G185" s="266"/>
      <c r="H185" s="267" t="s">
        <v>231</v>
      </c>
      <c r="I185" s="268"/>
      <c r="J185" s="266"/>
      <c r="K185" s="269" t="s">
        <v>226</v>
      </c>
      <c r="L185" s="266"/>
      <c r="M185" s="271">
        <f>+P185/D131*100</f>
        <v>0.16131149</v>
      </c>
      <c r="N185" s="1"/>
      <c r="O185" s="272" t="s">
        <v>245</v>
      </c>
      <c r="P185" s="271">
        <f>IF('DATOS GENERALES'!$N$21="µL",ROUND(M184,10)*1000,IF('DATOS GENERALES'!$N$21="L",ROUND(M184,10)/1000,ROUND(M184,6)))</f>
        <v>1.6131149</v>
      </c>
      <c r="Q185" t="str">
        <f>+'DATOS GENERALES'!H100</f>
        <v>µL</v>
      </c>
      <c r="U185" s="121"/>
    </row>
    <row r="186" spans="1:21" x14ac:dyDescent="0.2">
      <c r="B186" s="209" t="str">
        <f>O183</f>
        <v>v EF</v>
      </c>
      <c r="C186" s="566">
        <f>P183</f>
        <v>180.97441535843438</v>
      </c>
      <c r="D186" s="212" t="s">
        <v>495</v>
      </c>
      <c r="E186" s="567">
        <f>P184</f>
        <v>2.013986391042224</v>
      </c>
    </row>
    <row r="191" spans="1:21" ht="39" customHeight="1" thickBot="1" x14ac:dyDescent="0.25">
      <c r="A191" s="202" t="s">
        <v>184</v>
      </c>
      <c r="B191" s="1572" t="s">
        <v>186</v>
      </c>
      <c r="C191" s="1572"/>
      <c r="D191" s="203" t="s">
        <v>195</v>
      </c>
      <c r="E191" s="204" t="s">
        <v>185</v>
      </c>
      <c r="F191" s="204" t="s">
        <v>22</v>
      </c>
      <c r="G191" s="204" t="s">
        <v>187</v>
      </c>
      <c r="H191" s="203" t="s">
        <v>188</v>
      </c>
      <c r="I191" s="1572" t="s">
        <v>189</v>
      </c>
      <c r="J191" s="1572"/>
      <c r="K191" s="1572" t="s">
        <v>190</v>
      </c>
      <c r="L191" s="1572"/>
      <c r="M191" s="203" t="s">
        <v>193</v>
      </c>
      <c r="N191" s="203" t="s">
        <v>191</v>
      </c>
      <c r="O191" s="203" t="s">
        <v>192</v>
      </c>
      <c r="P191" s="203" t="s">
        <v>194</v>
      </c>
      <c r="Q191" s="402">
        <v>4</v>
      </c>
      <c r="R191" s="1572" t="s">
        <v>312</v>
      </c>
      <c r="S191" s="1572"/>
      <c r="U191" s="579">
        <v>4</v>
      </c>
    </row>
    <row r="192" spans="1:21" x14ac:dyDescent="0.2">
      <c r="A192" s="275">
        <v>0</v>
      </c>
      <c r="B192" s="1579" t="s">
        <v>196</v>
      </c>
      <c r="C192" s="1579"/>
      <c r="D192" s="280">
        <f>'DATOS GENERALES'!F116</f>
        <v>0</v>
      </c>
      <c r="E192" s="276"/>
      <c r="F192" s="276"/>
      <c r="G192" s="276"/>
      <c r="H192" s="276"/>
      <c r="I192" s="276"/>
      <c r="J192" s="276"/>
      <c r="K192" s="276"/>
      <c r="L192" s="276"/>
      <c r="M192" s="276"/>
      <c r="N192" s="276"/>
      <c r="O192" s="276"/>
      <c r="P192" s="277"/>
      <c r="Q192" s="1"/>
      <c r="R192" s="1" t="s">
        <v>163</v>
      </c>
      <c r="S192" s="37">
        <f>3.4847858/10</f>
        <v>0.34847857999999998</v>
      </c>
    </row>
    <row r="193" spans="1:21" x14ac:dyDescent="0.2">
      <c r="A193" s="208">
        <v>1</v>
      </c>
      <c r="B193" s="1566" t="s">
        <v>197</v>
      </c>
      <c r="C193" s="1566"/>
      <c r="D193" s="279" t="e">
        <f>D194-D196</f>
        <v>#VALUE!</v>
      </c>
      <c r="E193" s="209"/>
      <c r="F193" s="209"/>
      <c r="G193" s="209"/>
      <c r="H193" s="209"/>
      <c r="I193" s="209"/>
      <c r="J193" s="209"/>
      <c r="K193" s="209"/>
      <c r="L193" s="209"/>
      <c r="M193" s="209"/>
      <c r="N193" s="209"/>
      <c r="O193" s="209"/>
      <c r="P193" s="210"/>
      <c r="Q193" s="120"/>
      <c r="R193" s="1" t="s">
        <v>85</v>
      </c>
      <c r="S193" s="37">
        <f>9.1748/1000</f>
        <v>9.1747999999999986E-3</v>
      </c>
    </row>
    <row r="194" spans="1:21" x14ac:dyDescent="0.2">
      <c r="A194" s="98" t="s">
        <v>200</v>
      </c>
      <c r="C194" s="278" t="s">
        <v>198</v>
      </c>
      <c r="D194" s="127" t="str">
        <f>'Certificado de calibración'!F95</f>
        <v xml:space="preserve"> </v>
      </c>
      <c r="F194" s="101"/>
      <c r="H194" s="101"/>
      <c r="K194" s="103"/>
      <c r="P194" s="123"/>
      <c r="R194" s="1" t="s">
        <v>86</v>
      </c>
      <c r="S194" s="37">
        <f>6.2492/100</f>
        <v>6.2491999999999999E-2</v>
      </c>
    </row>
    <row r="195" spans="1:21" x14ac:dyDescent="0.2">
      <c r="A195" s="208"/>
      <c r="B195" s="209"/>
      <c r="C195" s="211" t="s">
        <v>182</v>
      </c>
      <c r="D195" s="209"/>
      <c r="E195" s="209" t="s">
        <v>65</v>
      </c>
      <c r="F195" s="212" t="s">
        <v>67</v>
      </c>
      <c r="G195" s="209">
        <f>'Chequeo Balanza '!$F$12</f>
        <v>1.0000000000000001E-5</v>
      </c>
      <c r="H195" s="213" t="s">
        <v>228</v>
      </c>
      <c r="I195" s="214">
        <f>G195/SQRT(12)</f>
        <v>2.8867513459481293E-6</v>
      </c>
      <c r="J195" s="209"/>
      <c r="K195" s="215" t="s">
        <v>233</v>
      </c>
      <c r="L195" s="283" t="e">
        <f>+('DATOS GENERALES'!$Q$128/1000)/('DATOS GENERALES'!$C$128-'DATOS GENERALES'!$A$128)</f>
        <v>#VALUE!</v>
      </c>
      <c r="M195" s="216" t="e">
        <f>I195*L195</f>
        <v>#VALUE!</v>
      </c>
      <c r="N195" s="217" t="e">
        <f>M195^2</f>
        <v>#VALUE!</v>
      </c>
      <c r="O195" s="209">
        <v>100</v>
      </c>
      <c r="P195" s="218" t="e">
        <f>N195^2/O195</f>
        <v>#VALUE!</v>
      </c>
      <c r="R195" s="1" t="s">
        <v>88</v>
      </c>
      <c r="S195" s="114">
        <f>- 5.23/100000</f>
        <v>-5.2300000000000004E-5</v>
      </c>
      <c r="U195" s="37"/>
    </row>
    <row r="196" spans="1:21" x14ac:dyDescent="0.2">
      <c r="A196" s="98" t="s">
        <v>201</v>
      </c>
      <c r="C196" s="1" t="s">
        <v>199</v>
      </c>
      <c r="D196" s="127" t="str">
        <f>'Certificado de calibración'!C95</f>
        <v xml:space="preserve"> </v>
      </c>
      <c r="F196" s="101"/>
      <c r="H196" s="101"/>
      <c r="K196" s="103"/>
      <c r="L196" s="37"/>
      <c r="P196" s="123"/>
      <c r="R196" s="1" t="s">
        <v>240</v>
      </c>
      <c r="S196">
        <v>273.14999999999998</v>
      </c>
      <c r="U196" s="37"/>
    </row>
    <row r="197" spans="1:21" x14ac:dyDescent="0.2">
      <c r="A197" s="208"/>
      <c r="B197" s="209"/>
      <c r="C197" s="211" t="s">
        <v>182</v>
      </c>
      <c r="D197" s="209"/>
      <c r="E197" s="209" t="s">
        <v>65</v>
      </c>
      <c r="F197" s="212" t="s">
        <v>67</v>
      </c>
      <c r="G197" s="209">
        <f>'Chequeo Balanza '!$F$13</f>
        <v>1.0000000000000001E-5</v>
      </c>
      <c r="H197" s="213" t="s">
        <v>228</v>
      </c>
      <c r="I197" s="214">
        <f>G197/SQRT(12)</f>
        <v>2.8867513459481293E-6</v>
      </c>
      <c r="J197" s="209"/>
      <c r="K197" s="215" t="s">
        <v>233</v>
      </c>
      <c r="L197" s="214" t="e">
        <f>+L195</f>
        <v>#VALUE!</v>
      </c>
      <c r="M197" s="216" t="e">
        <f>I197*L197</f>
        <v>#VALUE!</v>
      </c>
      <c r="N197" s="217" t="e">
        <f>M197^2</f>
        <v>#VALUE!</v>
      </c>
      <c r="O197" s="209">
        <v>100</v>
      </c>
      <c r="P197" s="218" t="e">
        <f>N197^2/O197</f>
        <v>#VALUE!</v>
      </c>
      <c r="R197" s="1" t="s">
        <v>241</v>
      </c>
      <c r="S197" t="e">
        <f>+S194*D204+S195*D216</f>
        <v>#VALUE!</v>
      </c>
      <c r="U197" s="37"/>
    </row>
    <row r="198" spans="1:21" x14ac:dyDescent="0.2">
      <c r="A198" s="98"/>
      <c r="C198" s="100"/>
      <c r="D198" s="322"/>
      <c r="F198" s="101"/>
      <c r="H198" s="101"/>
      <c r="K198" s="103"/>
      <c r="L198" s="37"/>
      <c r="P198" s="123"/>
      <c r="R198" s="1" t="s">
        <v>242</v>
      </c>
      <c r="S198" t="e">
        <f>+EXP(S197)</f>
        <v>#VALUE!</v>
      </c>
      <c r="U198" s="37"/>
    </row>
    <row r="199" spans="1:21" x14ac:dyDescent="0.2">
      <c r="A199" s="219">
        <v>1.3</v>
      </c>
      <c r="B199" s="232"/>
      <c r="C199" s="211" t="s">
        <v>355</v>
      </c>
      <c r="D199" s="232"/>
      <c r="E199" s="232" t="s">
        <v>66</v>
      </c>
      <c r="F199" s="213" t="s">
        <v>67</v>
      </c>
      <c r="G199" s="232">
        <f>IF('Chequeo Balanza '!$N$5='Chequeo Balanza '!$L$6,VLOOKUP('Chequeo Balanza '!$K$12,'INCERTIDUMBRE DE LA MEDIDA'!$R$31:$T$42,3,TRUE),VLOOKUP('Chequeo Balanza '!$K$12,'INCERTIDUMBRE DE LA MEDIDA'!$R$20:$T$30,3,TRUE))</f>
        <v>5.3000000000000001E-5</v>
      </c>
      <c r="H199" s="213" t="s">
        <v>229</v>
      </c>
      <c r="I199" s="323">
        <f>G199/2</f>
        <v>2.65E-5</v>
      </c>
      <c r="J199" s="232"/>
      <c r="K199" s="215" t="s">
        <v>233</v>
      </c>
      <c r="L199" s="283" t="e">
        <f>+L195</f>
        <v>#VALUE!</v>
      </c>
      <c r="M199" s="323" t="e">
        <f>I199*L199</f>
        <v>#VALUE!</v>
      </c>
      <c r="N199" s="234" t="e">
        <f>M199^2</f>
        <v>#VALUE!</v>
      </c>
      <c r="O199" s="232">
        <v>50</v>
      </c>
      <c r="P199" s="321" t="e">
        <f>N199^2/O199</f>
        <v>#VALUE!</v>
      </c>
      <c r="R199" s="1" t="s">
        <v>243</v>
      </c>
      <c r="S199" s="1" t="e">
        <f>273.15+D204</f>
        <v>#VALUE!</v>
      </c>
      <c r="U199" s="37"/>
    </row>
    <row r="200" spans="1:21" x14ac:dyDescent="0.2">
      <c r="A200" s="219">
        <v>1.4</v>
      </c>
      <c r="B200" s="232"/>
      <c r="C200" s="211" t="s">
        <v>356</v>
      </c>
      <c r="D200" s="232"/>
      <c r="E200" s="232" t="s">
        <v>66</v>
      </c>
      <c r="F200" s="213" t="s">
        <v>67</v>
      </c>
      <c r="G200" s="232">
        <f>IF('Chequeo Balanza '!$N$5='Chequeo Balanza '!$L$6,VLOOKUP('Chequeo Balanza '!$K$13,'INCERTIDUMBRE DE LA MEDIDA'!$R$31:$T$42,3,TRUE),VLOOKUP('Chequeo Balanza '!$K$13,'INCERTIDUMBRE DE LA MEDIDA'!$R$20:$T$30,3,TRUE))</f>
        <v>9.1000000000000003E-5</v>
      </c>
      <c r="H200" s="213" t="s">
        <v>229</v>
      </c>
      <c r="I200" s="323">
        <f>G200/2</f>
        <v>4.5500000000000001E-5</v>
      </c>
      <c r="J200" s="232"/>
      <c r="K200" s="215" t="s">
        <v>233</v>
      </c>
      <c r="L200" s="283" t="e">
        <f>+L199</f>
        <v>#VALUE!</v>
      </c>
      <c r="M200" s="323" t="e">
        <f>I200*L200</f>
        <v>#VALUE!</v>
      </c>
      <c r="N200" s="234" t="e">
        <f>M200^2</f>
        <v>#VALUE!</v>
      </c>
      <c r="O200" s="232">
        <v>50</v>
      </c>
      <c r="P200" s="321" t="e">
        <f>N200^2/O200</f>
        <v>#VALUE!</v>
      </c>
      <c r="U200" s="37"/>
    </row>
    <row r="201" spans="1:21" x14ac:dyDescent="0.2">
      <c r="A201" s="219">
        <v>1.5</v>
      </c>
      <c r="B201" s="232"/>
      <c r="C201" s="211" t="s">
        <v>347</v>
      </c>
      <c r="D201" s="322"/>
      <c r="E201" s="232" t="s">
        <v>349</v>
      </c>
      <c r="F201" s="213" t="s">
        <v>67</v>
      </c>
      <c r="G201" s="232">
        <f>+'DATOS GENERALES'!$D$37</f>
        <v>2.0000000000000001E-4</v>
      </c>
      <c r="H201" s="213" t="s">
        <v>228</v>
      </c>
      <c r="I201" s="323">
        <f>G201/SQRT(12)</f>
        <v>5.7735026918962585E-5</v>
      </c>
      <c r="J201" s="232"/>
      <c r="K201" s="213" t="s">
        <v>228</v>
      </c>
      <c r="L201" s="283" t="e">
        <f>+L199</f>
        <v>#VALUE!</v>
      </c>
      <c r="M201" s="323" t="e">
        <f>I201*L201</f>
        <v>#VALUE!</v>
      </c>
      <c r="N201" s="234" t="e">
        <f>M201^2</f>
        <v>#VALUE!</v>
      </c>
      <c r="O201" s="232">
        <v>50</v>
      </c>
      <c r="P201" s="321" t="e">
        <f>N201^2/O201</f>
        <v>#VALUE!</v>
      </c>
      <c r="Q201" s="415"/>
      <c r="U201" s="37"/>
    </row>
    <row r="202" spans="1:21" x14ac:dyDescent="0.2">
      <c r="A202" s="215">
        <v>1.6</v>
      </c>
      <c r="B202" s="232"/>
      <c r="C202" s="211" t="s">
        <v>348</v>
      </c>
      <c r="D202" s="232"/>
      <c r="E202" s="232" t="s">
        <v>349</v>
      </c>
      <c r="F202" s="213" t="s">
        <v>67</v>
      </c>
      <c r="G202" s="283">
        <f>+'DATOS GENERALES'!$D$39</f>
        <v>1E-4</v>
      </c>
      <c r="H202" s="213" t="s">
        <v>228</v>
      </c>
      <c r="I202" s="323">
        <f>G202/SQRT(12)</f>
        <v>2.8867513459481293E-5</v>
      </c>
      <c r="J202" s="232"/>
      <c r="K202" s="213" t="s">
        <v>228</v>
      </c>
      <c r="L202" s="283" t="e">
        <f>+L199</f>
        <v>#VALUE!</v>
      </c>
      <c r="M202" s="323" t="e">
        <f>I202*L202</f>
        <v>#VALUE!</v>
      </c>
      <c r="N202" s="234" t="e">
        <f>M202^2</f>
        <v>#VALUE!</v>
      </c>
      <c r="O202" s="232">
        <v>50</v>
      </c>
      <c r="P202" s="321" t="e">
        <f>N202^2/O202</f>
        <v>#VALUE!</v>
      </c>
      <c r="Q202" s="414"/>
      <c r="U202" s="37"/>
    </row>
    <row r="203" spans="1:21" ht="13.5" thickBot="1" x14ac:dyDescent="0.25">
      <c r="A203" s="220">
        <v>1.7</v>
      </c>
      <c r="B203" s="209"/>
      <c r="C203" s="211" t="s">
        <v>352</v>
      </c>
      <c r="D203" s="209"/>
      <c r="E203" s="232" t="s">
        <v>353</v>
      </c>
      <c r="F203" s="213" t="s">
        <v>67</v>
      </c>
      <c r="G203" s="209">
        <f>+G199</f>
        <v>5.3000000000000001E-5</v>
      </c>
      <c r="H203" s="213" t="s">
        <v>228</v>
      </c>
      <c r="I203" s="323">
        <f>G203/SQRT(12)</f>
        <v>1.5299782133525084E-5</v>
      </c>
      <c r="J203" s="209"/>
      <c r="K203" s="213" t="s">
        <v>228</v>
      </c>
      <c r="L203" s="283" t="e">
        <f>+L202</f>
        <v>#VALUE!</v>
      </c>
      <c r="M203" s="323" t="e">
        <f>I203*L203</f>
        <v>#VALUE!</v>
      </c>
      <c r="N203" s="234" t="e">
        <f>M203^2</f>
        <v>#VALUE!</v>
      </c>
      <c r="O203" s="232">
        <v>51</v>
      </c>
      <c r="P203" s="321" t="e">
        <f>N203^2/O203</f>
        <v>#VALUE!</v>
      </c>
      <c r="U203" s="37"/>
    </row>
    <row r="204" spans="1:21" x14ac:dyDescent="0.2">
      <c r="A204" s="205">
        <v>2</v>
      </c>
      <c r="B204" s="227" t="s">
        <v>346</v>
      </c>
      <c r="C204" s="206"/>
      <c r="D204" s="206" t="str">
        <f>+'DATOS GENERALES'!$G$128</f>
        <v xml:space="preserve"> </v>
      </c>
      <c r="E204" s="206"/>
      <c r="F204" s="228"/>
      <c r="G204" s="206"/>
      <c r="H204" s="228"/>
      <c r="I204" s="229"/>
      <c r="J204" s="206"/>
      <c r="K204" s="230"/>
      <c r="L204" s="229"/>
      <c r="M204" s="206"/>
      <c r="N204" s="206"/>
      <c r="O204" s="206"/>
      <c r="P204" s="207"/>
      <c r="Q204" s="1"/>
      <c r="U204" s="37"/>
    </row>
    <row r="205" spans="1:21" x14ac:dyDescent="0.2">
      <c r="A205" s="209"/>
      <c r="B205" s="209"/>
      <c r="C205" s="232" t="s">
        <v>628</v>
      </c>
      <c r="D205" s="279" t="e">
        <f>'DATOS GENERALES'!M128:N128</f>
        <v>#VALUE!</v>
      </c>
      <c r="E205" s="209"/>
      <c r="F205" s="213"/>
      <c r="G205" s="233"/>
      <c r="H205" s="213"/>
      <c r="I205" s="214"/>
      <c r="J205" s="209"/>
      <c r="K205" s="215"/>
      <c r="L205" s="283"/>
      <c r="M205" s="233"/>
      <c r="N205" s="234"/>
      <c r="O205" s="209"/>
      <c r="P205" s="218"/>
      <c r="Q205" s="120"/>
      <c r="U205" s="37"/>
    </row>
    <row r="206" spans="1:21" x14ac:dyDescent="0.2">
      <c r="C206" s="1"/>
      <c r="F206" s="102"/>
      <c r="G206" s="120"/>
      <c r="H206" s="102"/>
      <c r="I206" s="37"/>
      <c r="K206" s="104"/>
      <c r="L206" s="114"/>
      <c r="M206" s="125"/>
      <c r="N206" s="126"/>
      <c r="P206" s="122"/>
      <c r="U206" s="37"/>
    </row>
    <row r="207" spans="1:21" x14ac:dyDescent="0.2">
      <c r="A207" s="219" t="s">
        <v>206</v>
      </c>
      <c r="B207" s="209"/>
      <c r="C207" s="232" t="s">
        <v>202</v>
      </c>
      <c r="D207" s="209"/>
      <c r="E207" s="209"/>
      <c r="F207" s="212"/>
      <c r="G207" s="214"/>
      <c r="H207" s="213"/>
      <c r="I207" s="214"/>
      <c r="J207" s="209"/>
      <c r="K207" s="220"/>
      <c r="L207" s="283"/>
      <c r="M207" s="235"/>
      <c r="N207" s="236"/>
      <c r="O207" s="237"/>
      <c r="P207" s="238"/>
      <c r="U207" s="37"/>
    </row>
    <row r="208" spans="1:21" x14ac:dyDescent="0.2">
      <c r="A208" s="98" t="s">
        <v>207</v>
      </c>
      <c r="C208" s="100" t="s">
        <v>203</v>
      </c>
      <c r="L208" s="114"/>
      <c r="M208" s="116"/>
      <c r="N208" s="116"/>
      <c r="O208" s="116"/>
      <c r="P208" s="117"/>
      <c r="U208" s="37"/>
    </row>
    <row r="209" spans="1:21" x14ac:dyDescent="0.2">
      <c r="A209" s="208"/>
      <c r="B209" s="209"/>
      <c r="C209" s="211" t="s">
        <v>204</v>
      </c>
      <c r="D209" s="209"/>
      <c r="E209" s="209" t="s">
        <v>66</v>
      </c>
      <c r="F209" s="213" t="s">
        <v>23</v>
      </c>
      <c r="G209" s="209">
        <f>G148</f>
        <v>0.27981562539672206</v>
      </c>
      <c r="H209" s="213" t="s">
        <v>229</v>
      </c>
      <c r="I209" s="214">
        <f>G209/2</f>
        <v>0.13990781269836103</v>
      </c>
      <c r="J209" s="209"/>
      <c r="K209" s="215" t="s">
        <v>234</v>
      </c>
      <c r="L209" s="283" t="e">
        <f>('DATOS GENERALES'!$C$128-'DATOS GENERALES'!$A$128)/('DATOS GENERALES'!$O$128^2)*('DATOS GENERALES'!$I$128*((-0.00252*20)-0.020582)-(0.34844*('DATOS GENERALES'!$K$128)))/(AVERAGE('DATOS CORRECCIONES EQUIPOS EMPL'!E68:E77)+20)^2/1000</f>
        <v>#VALUE!</v>
      </c>
      <c r="M209" s="235" t="e">
        <f>I209*L209</f>
        <v>#VALUE!</v>
      </c>
      <c r="N209" s="239" t="e">
        <f>M209^2</f>
        <v>#VALUE!</v>
      </c>
      <c r="O209" s="237">
        <v>50</v>
      </c>
      <c r="P209" s="238" t="e">
        <f>N209^2/O209</f>
        <v>#VALUE!</v>
      </c>
      <c r="U209" s="37"/>
    </row>
    <row r="210" spans="1:21" x14ac:dyDescent="0.2">
      <c r="A210" s="99"/>
      <c r="C210" s="100" t="s">
        <v>213</v>
      </c>
      <c r="E210" t="s">
        <v>220</v>
      </c>
      <c r="F210" s="102" t="s">
        <v>23</v>
      </c>
      <c r="G210">
        <f>MIN('DATOS GENERALES'!G118:H127)-MAX('DATOS GENERALES'!G118:H127)</f>
        <v>0</v>
      </c>
      <c r="H210" s="102" t="s">
        <v>228</v>
      </c>
      <c r="I210" s="37">
        <f>G210/SQRT(12)</f>
        <v>0</v>
      </c>
      <c r="K210" s="104" t="s">
        <v>234</v>
      </c>
      <c r="L210" s="114" t="e">
        <f>+L209</f>
        <v>#VALUE!</v>
      </c>
      <c r="M210" s="115" t="e">
        <f>I210*L210</f>
        <v>#VALUE!</v>
      </c>
      <c r="N210" s="118" t="e">
        <f>M210^2</f>
        <v>#VALUE!</v>
      </c>
      <c r="O210" s="116">
        <v>100</v>
      </c>
      <c r="P210" s="117" t="e">
        <f>N210^2/O210</f>
        <v>#VALUE!</v>
      </c>
      <c r="U210" s="37"/>
    </row>
    <row r="211" spans="1:21" ht="13.5" thickBot="1" x14ac:dyDescent="0.25">
      <c r="A211" s="221"/>
      <c r="B211" s="222"/>
      <c r="C211" s="223" t="s">
        <v>182</v>
      </c>
      <c r="D211" s="222"/>
      <c r="E211" s="222" t="s">
        <v>221</v>
      </c>
      <c r="F211" s="224" t="s">
        <v>23</v>
      </c>
      <c r="G211" s="222">
        <f>G150</f>
        <v>0.1</v>
      </c>
      <c r="H211" s="224" t="s">
        <v>228</v>
      </c>
      <c r="I211" s="225">
        <f>G211/SQRT(12)</f>
        <v>2.8867513459481291E-2</v>
      </c>
      <c r="J211" s="222"/>
      <c r="K211" s="226" t="s">
        <v>234</v>
      </c>
      <c r="L211" s="334" t="e">
        <f>+L209</f>
        <v>#VALUE!</v>
      </c>
      <c r="M211" s="235" t="e">
        <f>I211*L211</f>
        <v>#VALUE!</v>
      </c>
      <c r="N211" s="239" t="e">
        <f>M211^2</f>
        <v>#VALUE!</v>
      </c>
      <c r="O211" s="240">
        <v>100</v>
      </c>
      <c r="P211" s="238" t="e">
        <f>N211^2/O211</f>
        <v>#VALUE!</v>
      </c>
      <c r="U211" s="37"/>
    </row>
    <row r="212" spans="1:21" x14ac:dyDescent="0.2">
      <c r="A212" s="241" t="s">
        <v>208</v>
      </c>
      <c r="B212" s="227" t="s">
        <v>205</v>
      </c>
      <c r="C212" s="206"/>
      <c r="D212" s="335" t="str">
        <f>+'DATOS GENERALES'!$I$128</f>
        <v xml:space="preserve"> </v>
      </c>
      <c r="E212" s="206"/>
      <c r="F212" s="228"/>
      <c r="G212" s="206"/>
      <c r="H212" s="228"/>
      <c r="I212" s="229"/>
      <c r="J212" s="206"/>
      <c r="K212" s="230"/>
      <c r="L212" s="261"/>
      <c r="M212" s="242"/>
      <c r="N212" s="242"/>
      <c r="O212" s="242"/>
      <c r="P212" s="243"/>
      <c r="U212" s="37"/>
    </row>
    <row r="213" spans="1:21" x14ac:dyDescent="0.2">
      <c r="A213" s="208"/>
      <c r="B213" s="209"/>
      <c r="C213" s="211" t="s">
        <v>204</v>
      </c>
      <c r="D213" s="232"/>
      <c r="E213" s="209" t="s">
        <v>66</v>
      </c>
      <c r="F213" s="213" t="s">
        <v>226</v>
      </c>
      <c r="G213" s="209">
        <f>G152</f>
        <v>0.76297740875281184</v>
      </c>
      <c r="H213" s="213" t="s">
        <v>229</v>
      </c>
      <c r="I213" s="214">
        <f>G213/2</f>
        <v>0.38148870437640592</v>
      </c>
      <c r="J213" s="209"/>
      <c r="K213" s="215" t="s">
        <v>235</v>
      </c>
      <c r="L213" s="283" t="e">
        <f>('DATOS GENERALES'!$C$128-'DATOS GENERALES'!$A$128)/'DATOS GENERALES'!$O$128^2*(-0.00000252*AVERAGE('DATOS CORRECCIONES EQUIPOS EMPL'!E68:E77)+0.000020582)/(AVERAGE('DATOS CORRECCIONES EQUIPOS EMPL'!E68:E77)+20)</f>
        <v>#VALUE!</v>
      </c>
      <c r="M213" s="235" t="e">
        <f>I213*L213</f>
        <v>#VALUE!</v>
      </c>
      <c r="N213" s="239" t="e">
        <f>M213^2</f>
        <v>#VALUE!</v>
      </c>
      <c r="O213" s="237">
        <v>50</v>
      </c>
      <c r="P213" s="238" t="e">
        <f>N213^2/O213</f>
        <v>#VALUE!</v>
      </c>
      <c r="Q213" s="120"/>
      <c r="U213" s="37"/>
    </row>
    <row r="214" spans="1:21" x14ac:dyDescent="0.2">
      <c r="A214" s="99"/>
      <c r="C214" s="100" t="s">
        <v>212</v>
      </c>
      <c r="D214" s="1"/>
      <c r="E214" t="s">
        <v>222</v>
      </c>
      <c r="F214" s="102" t="s">
        <v>226</v>
      </c>
      <c r="G214">
        <f>MIN('DATOS GENERALES'!I118:J127)-MAX('DATOS GENERALES'!I118:J127)</f>
        <v>0</v>
      </c>
      <c r="H214" s="102" t="s">
        <v>228</v>
      </c>
      <c r="I214" s="37">
        <f>G214/SQRT(12)</f>
        <v>0</v>
      </c>
      <c r="K214" s="104" t="s">
        <v>235</v>
      </c>
      <c r="L214" s="114" t="e">
        <f>+L213</f>
        <v>#VALUE!</v>
      </c>
      <c r="M214" s="115" t="e">
        <f>I214*L214</f>
        <v>#VALUE!</v>
      </c>
      <c r="N214" s="118" t="e">
        <f>M214^2</f>
        <v>#VALUE!</v>
      </c>
      <c r="O214" s="116">
        <v>100</v>
      </c>
      <c r="P214" s="117" t="e">
        <f>N214^2/O214</f>
        <v>#VALUE!</v>
      </c>
      <c r="U214" s="37"/>
    </row>
    <row r="215" spans="1:21" ht="13.5" thickBot="1" x14ac:dyDescent="0.25">
      <c r="A215" s="221"/>
      <c r="B215" s="222"/>
      <c r="C215" s="223" t="s">
        <v>182</v>
      </c>
      <c r="D215" s="325"/>
      <c r="E215" s="222" t="s">
        <v>221</v>
      </c>
      <c r="F215" s="224" t="s">
        <v>226</v>
      </c>
      <c r="G215" s="222">
        <v>0.1</v>
      </c>
      <c r="H215" s="224" t="s">
        <v>228</v>
      </c>
      <c r="I215" s="225">
        <f>G215/SQRT(12)</f>
        <v>2.8867513459481291E-2</v>
      </c>
      <c r="J215" s="222"/>
      <c r="K215" s="226" t="s">
        <v>235</v>
      </c>
      <c r="L215" s="334" t="e">
        <f>+L213</f>
        <v>#VALUE!</v>
      </c>
      <c r="M215" s="235" t="e">
        <f>I215*L215</f>
        <v>#VALUE!</v>
      </c>
      <c r="N215" s="239" t="e">
        <f>M215^2</f>
        <v>#VALUE!</v>
      </c>
      <c r="O215" s="240">
        <v>100</v>
      </c>
      <c r="P215" s="238" t="e">
        <f>N215^2/O215</f>
        <v>#VALUE!</v>
      </c>
      <c r="U215" s="37"/>
    </row>
    <row r="216" spans="1:21" x14ac:dyDescent="0.2">
      <c r="A216" s="241" t="s">
        <v>209</v>
      </c>
      <c r="B216" s="227" t="s">
        <v>210</v>
      </c>
      <c r="C216" s="206"/>
      <c r="D216" s="337" t="str">
        <f>+'DATOS GENERALES'!$K$128</f>
        <v xml:space="preserve"> </v>
      </c>
      <c r="E216" s="206"/>
      <c r="F216" s="228"/>
      <c r="G216" s="206"/>
      <c r="H216" s="228"/>
      <c r="I216" s="229"/>
      <c r="J216" s="206"/>
      <c r="K216" s="230"/>
      <c r="L216" s="261"/>
      <c r="M216" s="242"/>
      <c r="N216" s="242"/>
      <c r="O216" s="242"/>
      <c r="P216" s="243"/>
      <c r="U216" s="37"/>
    </row>
    <row r="217" spans="1:21" x14ac:dyDescent="0.2">
      <c r="A217" s="208"/>
      <c r="B217" s="209"/>
      <c r="C217" s="211" t="s">
        <v>204</v>
      </c>
      <c r="D217" s="209"/>
      <c r="E217" s="209" t="s">
        <v>66</v>
      </c>
      <c r="F217" s="213" t="s">
        <v>61</v>
      </c>
      <c r="G217" s="209">
        <f>G156</f>
        <v>0.44000000663041522</v>
      </c>
      <c r="H217" s="213" t="s">
        <v>229</v>
      </c>
      <c r="I217" s="214">
        <f>G217/2</f>
        <v>0.22000000331520761</v>
      </c>
      <c r="J217" s="209"/>
      <c r="K217" s="215" t="s">
        <v>236</v>
      </c>
      <c r="L217" s="283" t="e">
        <f>('DATOS GENERALES'!$C$128-'DATOS GENERALES'!$A$128)/('DATOS GENERALES'!$O$128^2)*(0.34844/(AVERAGE('DATOS CORRECCIONES EQUIPOS EMPL'!E68:E77)+20)/1000)</f>
        <v>#VALUE!</v>
      </c>
      <c r="M217" s="235" t="e">
        <f>I217*L217</f>
        <v>#VALUE!</v>
      </c>
      <c r="N217" s="239" t="e">
        <f>M217^2</f>
        <v>#VALUE!</v>
      </c>
      <c r="O217" s="237">
        <v>50</v>
      </c>
      <c r="P217" s="238" t="e">
        <f>N217^2/O217</f>
        <v>#VALUE!</v>
      </c>
      <c r="Q217" s="120"/>
      <c r="U217" s="37"/>
    </row>
    <row r="218" spans="1:21" x14ac:dyDescent="0.2">
      <c r="A218" s="99"/>
      <c r="C218" s="100" t="s">
        <v>211</v>
      </c>
      <c r="E218" t="s">
        <v>222</v>
      </c>
      <c r="F218" s="102" t="s">
        <v>61</v>
      </c>
      <c r="G218">
        <f>MIN('DATOS GENERALES'!K118:L127)-MAX('DATOS GENERALES'!K118:L127)</f>
        <v>0</v>
      </c>
      <c r="H218" s="102" t="s">
        <v>228</v>
      </c>
      <c r="I218" s="37">
        <f>G218/SQRT(12)</f>
        <v>0</v>
      </c>
      <c r="K218" s="104" t="s">
        <v>236</v>
      </c>
      <c r="L218" s="409" t="e">
        <f>+L217</f>
        <v>#VALUE!</v>
      </c>
      <c r="M218" s="115" t="e">
        <f>I218*L218</f>
        <v>#VALUE!</v>
      </c>
      <c r="N218" s="118" t="e">
        <f>M218^2</f>
        <v>#VALUE!</v>
      </c>
      <c r="O218" s="116">
        <v>100</v>
      </c>
      <c r="P218" s="117" t="e">
        <f>N218^2/O218</f>
        <v>#VALUE!</v>
      </c>
      <c r="U218" s="37"/>
    </row>
    <row r="219" spans="1:21" ht="13.5" thickBot="1" x14ac:dyDescent="0.25">
      <c r="A219" s="221"/>
      <c r="B219" s="222"/>
      <c r="C219" s="223" t="s">
        <v>182</v>
      </c>
      <c r="D219" s="222"/>
      <c r="E219" s="222" t="s">
        <v>221</v>
      </c>
      <c r="F219" s="224" t="s">
        <v>61</v>
      </c>
      <c r="G219" s="222">
        <f>G158</f>
        <v>1</v>
      </c>
      <c r="H219" s="224" t="s">
        <v>228</v>
      </c>
      <c r="I219" s="225">
        <f>G219/SQRT(12)</f>
        <v>0.28867513459481292</v>
      </c>
      <c r="J219" s="222"/>
      <c r="K219" s="226" t="s">
        <v>236</v>
      </c>
      <c r="L219" s="410" t="e">
        <f>+L217</f>
        <v>#VALUE!</v>
      </c>
      <c r="M219" s="235" t="e">
        <f>I219*L219</f>
        <v>#VALUE!</v>
      </c>
      <c r="N219" s="239" t="e">
        <f>M219^2</f>
        <v>#VALUE!</v>
      </c>
      <c r="O219" s="240">
        <v>100</v>
      </c>
      <c r="P219" s="238" t="e">
        <f>N219^2/O219</f>
        <v>#VALUE!</v>
      </c>
      <c r="U219" s="37"/>
    </row>
    <row r="220" spans="1:21" x14ac:dyDescent="0.2">
      <c r="A220" s="205">
        <v>3</v>
      </c>
      <c r="B220" s="227" t="s">
        <v>382</v>
      </c>
      <c r="C220" s="206"/>
      <c r="D220" s="206" t="e">
        <f>'Certificado de calibración'!M95</f>
        <v>#VALUE!</v>
      </c>
      <c r="E220" s="206"/>
      <c r="F220" s="228"/>
      <c r="G220" s="206"/>
      <c r="H220" s="228"/>
      <c r="I220" s="229"/>
      <c r="J220" s="206"/>
      <c r="K220" s="230"/>
      <c r="L220" s="229"/>
      <c r="M220" s="206"/>
      <c r="N220" s="206"/>
      <c r="O220" s="206"/>
      <c r="P220" s="207"/>
      <c r="U220" s="37"/>
    </row>
    <row r="221" spans="1:21" x14ac:dyDescent="0.2">
      <c r="A221" s="219" t="s">
        <v>215</v>
      </c>
      <c r="B221" s="232"/>
      <c r="C221" s="211" t="s">
        <v>214</v>
      </c>
      <c r="D221" s="232"/>
      <c r="E221" s="232" t="str">
        <f>E160</f>
        <v>TANAKA</v>
      </c>
      <c r="F221" s="213" t="s">
        <v>225</v>
      </c>
      <c r="G221" s="283">
        <f>IF(E221="kell",SQRT((SQRT(G223^2+G224^2+G225^2)*Q202)^2),0.00000083)</f>
        <v>8.2999999999999999E-7</v>
      </c>
      <c r="H221" s="102" t="s">
        <v>228</v>
      </c>
      <c r="I221" s="234">
        <f>IF(E221="kell",G221/SQRT(3),G221/2)</f>
        <v>4.15E-7</v>
      </c>
      <c r="J221" s="232"/>
      <c r="K221" s="215" t="s">
        <v>234</v>
      </c>
      <c r="L221" s="283" t="e">
        <f>IF(E221="Kell",-(('DATOS GENERALES'!$A$128-'DATOS GENERALES'!$C$128)/('DATOS GENERALES'!$O$128^2))*'DATOS GENERALES'!U128,((-'DATOS GENERALES'!Q128/1000)/(D220-D205)))</f>
        <v>#VALUE!</v>
      </c>
      <c r="M221" s="216" t="e">
        <f>I221*L221</f>
        <v>#VALUE!</v>
      </c>
      <c r="N221" s="217" t="e">
        <f>M221^2</f>
        <v>#VALUE!</v>
      </c>
      <c r="O221" s="209">
        <v>100</v>
      </c>
      <c r="P221" s="218" t="e">
        <f>N221^2/O221</f>
        <v>#VALUE!</v>
      </c>
      <c r="Q221" s="120"/>
      <c r="U221" s="37"/>
    </row>
    <row r="222" spans="1:21" x14ac:dyDescent="0.2">
      <c r="A222" s="99"/>
      <c r="C222" s="100" t="s">
        <v>238</v>
      </c>
      <c r="D222" t="e">
        <f>AVERAGE('DATOS CORRECCIONES EQUIPOS EMPL'!E68:E77)</f>
        <v>#VALUE!</v>
      </c>
      <c r="F222" s="101"/>
      <c r="H222" s="101"/>
      <c r="I222" s="37"/>
      <c r="K222" s="103"/>
      <c r="L222" s="37"/>
      <c r="U222" s="37"/>
    </row>
    <row r="223" spans="1:21" x14ac:dyDescent="0.2">
      <c r="A223" s="208"/>
      <c r="B223" s="209"/>
      <c r="C223" s="211" t="s">
        <v>204</v>
      </c>
      <c r="D223" s="209"/>
      <c r="E223" s="209" t="s">
        <v>66</v>
      </c>
      <c r="F223" s="213" t="s">
        <v>23</v>
      </c>
      <c r="G223" s="209">
        <f>G162</f>
        <v>5.3999999999999999E-2</v>
      </c>
      <c r="H223" s="213" t="s">
        <v>229</v>
      </c>
      <c r="I223" s="214">
        <f>G223/2</f>
        <v>2.7E-2</v>
      </c>
      <c r="J223" s="209"/>
      <c r="K223" s="215" t="s">
        <v>234</v>
      </c>
      <c r="L223" s="236" t="e">
        <f>+L221</f>
        <v>#VALUE!</v>
      </c>
      <c r="M223" s="235" t="e">
        <f>I223*L223</f>
        <v>#VALUE!</v>
      </c>
      <c r="N223" s="239" t="e">
        <f>M223^2</f>
        <v>#VALUE!</v>
      </c>
      <c r="O223" s="237">
        <v>50</v>
      </c>
      <c r="P223" s="238" t="e">
        <f>N223^2/O223</f>
        <v>#VALUE!</v>
      </c>
      <c r="U223" s="37"/>
    </row>
    <row r="224" spans="1:21" x14ac:dyDescent="0.2">
      <c r="A224" s="99"/>
      <c r="C224" s="100" t="s">
        <v>213</v>
      </c>
      <c r="E224" t="s">
        <v>222</v>
      </c>
      <c r="F224" s="102" t="s">
        <v>23</v>
      </c>
      <c r="G224">
        <f>MIN('DATOS GENERALES'!E118:F127)-MAX('DATOS GENERALES'!E118:F127)</f>
        <v>0</v>
      </c>
      <c r="H224" s="102" t="s">
        <v>228</v>
      </c>
      <c r="I224" s="37">
        <f>G224/SQRT(12)</f>
        <v>0</v>
      </c>
      <c r="K224" s="104" t="s">
        <v>234</v>
      </c>
      <c r="L224" s="409" t="e">
        <f>+L223</f>
        <v>#VALUE!</v>
      </c>
      <c r="M224" s="115" t="e">
        <f>I224*L224</f>
        <v>#VALUE!</v>
      </c>
      <c r="N224" s="118" t="e">
        <f>M224^2</f>
        <v>#VALUE!</v>
      </c>
      <c r="O224" s="116">
        <v>100</v>
      </c>
      <c r="P224" s="117" t="e">
        <f>N224^2/O224</f>
        <v>#VALUE!</v>
      </c>
      <c r="U224" s="37"/>
    </row>
    <row r="225" spans="1:22" ht="13.5" thickBot="1" x14ac:dyDescent="0.25">
      <c r="A225" s="208"/>
      <c r="B225" s="209"/>
      <c r="C225" s="211" t="s">
        <v>182</v>
      </c>
      <c r="D225" s="209"/>
      <c r="E225" s="209" t="s">
        <v>221</v>
      </c>
      <c r="F225" s="213" t="s">
        <v>23</v>
      </c>
      <c r="G225" s="222">
        <f>G164</f>
        <v>0.01</v>
      </c>
      <c r="H225" s="213" t="s">
        <v>228</v>
      </c>
      <c r="I225" s="214">
        <f>G225/SQRT(12)</f>
        <v>2.886751345948129E-3</v>
      </c>
      <c r="J225" s="209"/>
      <c r="K225" s="215" t="s">
        <v>234</v>
      </c>
      <c r="L225" s="236" t="e">
        <f>+L224</f>
        <v>#VALUE!</v>
      </c>
      <c r="M225" s="235" t="e">
        <f>I225*L225</f>
        <v>#VALUE!</v>
      </c>
      <c r="N225" s="239" t="e">
        <f>M225^2</f>
        <v>#VALUE!</v>
      </c>
      <c r="O225" s="237">
        <v>100</v>
      </c>
      <c r="P225" s="238" t="e">
        <f>N225^2/O225</f>
        <v>#VALUE!</v>
      </c>
      <c r="U225" s="37"/>
    </row>
    <row r="226" spans="1:22" ht="13.5" thickBot="1" x14ac:dyDescent="0.25">
      <c r="A226" s="244">
        <v>4</v>
      </c>
      <c r="B226" s="245" t="s">
        <v>216</v>
      </c>
      <c r="C226" s="246"/>
      <c r="D226" s="246">
        <f>'DATOS GENERALES'!$R$21</f>
        <v>7.96</v>
      </c>
      <c r="E226" s="246" t="s">
        <v>223</v>
      </c>
      <c r="F226" s="247"/>
      <c r="G226" s="246">
        <f>'Chequeo Balanza '!N13</f>
        <v>3.3000000000000003E-5</v>
      </c>
      <c r="H226" s="248" t="s">
        <v>230</v>
      </c>
      <c r="I226" s="252">
        <f>G226/SQRT(12)</f>
        <v>9.5262794416288263E-6</v>
      </c>
      <c r="J226" s="246"/>
      <c r="K226" s="250" t="s">
        <v>237</v>
      </c>
      <c r="L226" s="257">
        <v>1</v>
      </c>
      <c r="M226" s="251">
        <f>I226*L226</f>
        <v>9.5262794416288263E-6</v>
      </c>
      <c r="N226" s="252">
        <f>M226^2</f>
        <v>9.0750000000000023E-11</v>
      </c>
      <c r="O226" s="246">
        <v>100</v>
      </c>
      <c r="P226" s="253">
        <f>N226^2/O226</f>
        <v>8.2355625000000033E-23</v>
      </c>
      <c r="U226" s="37"/>
      <c r="V226">
        <v>4</v>
      </c>
    </row>
    <row r="227" spans="1:22" ht="13.5" thickBot="1" x14ac:dyDescent="0.25">
      <c r="A227" s="244">
        <v>5</v>
      </c>
      <c r="B227" s="245" t="s">
        <v>217</v>
      </c>
      <c r="C227" s="246"/>
      <c r="D227" s="254">
        <f>$D$44</f>
        <v>20.983065402808371</v>
      </c>
      <c r="E227" s="246"/>
      <c r="F227" s="247"/>
      <c r="G227" s="246"/>
      <c r="H227" s="248"/>
      <c r="I227" s="249"/>
      <c r="J227" s="246"/>
      <c r="K227" s="250"/>
      <c r="L227" s="257"/>
      <c r="M227" s="251"/>
      <c r="N227" s="252"/>
      <c r="O227" s="246"/>
      <c r="P227" s="253"/>
      <c r="U227" s="37"/>
    </row>
    <row r="228" spans="1:22" x14ac:dyDescent="0.2">
      <c r="A228" s="208"/>
      <c r="B228" s="209"/>
      <c r="C228" s="211" t="s">
        <v>204</v>
      </c>
      <c r="D228" s="209"/>
      <c r="E228" s="209" t="s">
        <v>66</v>
      </c>
      <c r="F228" s="213" t="s">
        <v>23</v>
      </c>
      <c r="G228" s="314">
        <f>G167</f>
        <v>0.27981562539672206</v>
      </c>
      <c r="H228" s="213" t="s">
        <v>229</v>
      </c>
      <c r="I228" s="214">
        <f>G228/2</f>
        <v>0.13990781269836103</v>
      </c>
      <c r="J228" s="209"/>
      <c r="K228" s="215" t="s">
        <v>234</v>
      </c>
      <c r="L228" s="344" t="e">
        <f>-(('DATOS GENERALES'!$A$128-'DATOS GENERALES'!$C$128)/'DATOS GENERALES'!$R$21)*('DATOS GENERALES'!$R$21-'DATOS GENERALES'!$M$128)/('DATOS GENERALES'!O$128-'DATOS GENERALES'!$M$128)*'DATOS GENERALES'!$F$22</f>
        <v>#VALUE!</v>
      </c>
      <c r="M228" s="235" t="e">
        <f t="shared" ref="M228:M234" si="46">I228*L228</f>
        <v>#VALUE!</v>
      </c>
      <c r="N228" s="239" t="e">
        <f t="shared" ref="N228:N234" si="47">M228^2</f>
        <v>#VALUE!</v>
      </c>
      <c r="O228" s="237">
        <v>50</v>
      </c>
      <c r="P228" s="238" t="e">
        <f t="shared" ref="P228:P234" si="48">N228^2/O228</f>
        <v>#VALUE!</v>
      </c>
      <c r="U228" s="37"/>
    </row>
    <row r="229" spans="1:22" x14ac:dyDescent="0.2">
      <c r="A229" s="99"/>
      <c r="C229" s="100" t="s">
        <v>218</v>
      </c>
      <c r="E229" t="s">
        <v>222</v>
      </c>
      <c r="F229" s="102" t="s">
        <v>23</v>
      </c>
      <c r="G229" s="1">
        <f>G168</f>
        <v>0.30318386709497602</v>
      </c>
      <c r="H229" s="102" t="s">
        <v>228</v>
      </c>
      <c r="I229" s="37">
        <f>G229/SQRT(12)</f>
        <v>8.7521643640618069E-2</v>
      </c>
      <c r="K229" s="104" t="s">
        <v>234</v>
      </c>
      <c r="L229" s="409" t="e">
        <f>+L228</f>
        <v>#VALUE!</v>
      </c>
      <c r="M229" s="115" t="e">
        <f t="shared" si="46"/>
        <v>#VALUE!</v>
      </c>
      <c r="N229" s="118" t="e">
        <f t="shared" si="47"/>
        <v>#VALUE!</v>
      </c>
      <c r="O229" s="116">
        <v>100</v>
      </c>
      <c r="P229" s="117" t="e">
        <f t="shared" si="48"/>
        <v>#VALUE!</v>
      </c>
      <c r="U229" s="37"/>
    </row>
    <row r="230" spans="1:22" ht="13.5" thickBot="1" x14ac:dyDescent="0.25">
      <c r="A230" s="221"/>
      <c r="B230" s="222"/>
      <c r="C230" s="223" t="s">
        <v>182</v>
      </c>
      <c r="D230" s="222"/>
      <c r="E230" s="222" t="s">
        <v>221</v>
      </c>
      <c r="F230" s="224" t="s">
        <v>23</v>
      </c>
      <c r="G230" s="314">
        <f>G169</f>
        <v>0.1</v>
      </c>
      <c r="H230" s="224" t="s">
        <v>228</v>
      </c>
      <c r="I230" s="225">
        <f>G230/SQRT(12)</f>
        <v>2.8867513459481291E-2</v>
      </c>
      <c r="J230" s="222"/>
      <c r="K230" s="226" t="s">
        <v>234</v>
      </c>
      <c r="L230" s="236" t="e">
        <f>+L229</f>
        <v>#VALUE!</v>
      </c>
      <c r="M230" s="235" t="e">
        <f t="shared" si="46"/>
        <v>#VALUE!</v>
      </c>
      <c r="N230" s="239" t="e">
        <f t="shared" si="47"/>
        <v>#VALUE!</v>
      </c>
      <c r="O230" s="240">
        <v>100</v>
      </c>
      <c r="P230" s="238" t="e">
        <f t="shared" si="48"/>
        <v>#VALUE!</v>
      </c>
      <c r="U230" s="37"/>
    </row>
    <row r="231" spans="1:22" ht="13.5" thickBot="1" x14ac:dyDescent="0.25">
      <c r="A231" s="221"/>
      <c r="B231" s="222"/>
      <c r="C231" s="223"/>
      <c r="D231" s="222"/>
      <c r="E231" s="222"/>
      <c r="F231" s="224"/>
      <c r="G231" s="314"/>
      <c r="H231" s="224"/>
      <c r="I231" s="225"/>
      <c r="J231" s="222"/>
      <c r="K231" s="226"/>
      <c r="L231" s="236"/>
      <c r="M231" s="235"/>
      <c r="N231" s="239"/>
      <c r="O231" s="240"/>
      <c r="P231" s="238"/>
      <c r="U231" s="37"/>
    </row>
    <row r="232" spans="1:22" ht="26.25" thickBot="1" x14ac:dyDescent="0.25">
      <c r="A232" s="244">
        <v>6</v>
      </c>
      <c r="B232" s="255" t="s">
        <v>219</v>
      </c>
      <c r="C232" s="246"/>
      <c r="D232" s="246">
        <f>'DATOS GENERALES'!$F$22</f>
        <v>2.4000000000000001E-4</v>
      </c>
      <c r="E232" s="256" t="s">
        <v>224</v>
      </c>
      <c r="F232" s="247"/>
      <c r="G232" s="281">
        <f>D232</f>
        <v>2.4000000000000001E-4</v>
      </c>
      <c r="H232" s="248" t="s">
        <v>228</v>
      </c>
      <c r="I232" s="257">
        <f>G232/SQRT(12)</f>
        <v>6.9282032302755094E-5</v>
      </c>
      <c r="J232" s="246"/>
      <c r="K232" s="250" t="s">
        <v>234</v>
      </c>
      <c r="L232" s="258" t="e">
        <f>-(('DATOS GENERALES'!$A$128-'DATOS GENERALES'!$C$128)/('DATOS GENERALES'!$O$128))*(AVERAGE('DATOS CORRECCIONES EQUIPOS EMPL'!E68:E77)-20)</f>
        <v>#VALUE!</v>
      </c>
      <c r="M232" s="258" t="e">
        <f t="shared" si="46"/>
        <v>#VALUE!</v>
      </c>
      <c r="N232" s="258" t="e">
        <f t="shared" si="47"/>
        <v>#VALUE!</v>
      </c>
      <c r="O232" s="259">
        <v>100</v>
      </c>
      <c r="P232" s="260" t="e">
        <f t="shared" si="48"/>
        <v>#VALUE!</v>
      </c>
      <c r="U232" s="37"/>
    </row>
    <row r="233" spans="1:22" ht="13.5" thickBot="1" x14ac:dyDescent="0.25">
      <c r="A233" s="244">
        <v>7</v>
      </c>
      <c r="B233" s="255" t="s">
        <v>254</v>
      </c>
      <c r="C233" s="246"/>
      <c r="D233" s="246"/>
      <c r="E233" s="245" t="s">
        <v>220</v>
      </c>
      <c r="F233" s="248" t="s">
        <v>256</v>
      </c>
      <c r="G233" s="263">
        <f>+$Q$65</f>
        <v>-3.0052770464246936E-5</v>
      </c>
      <c r="H233" s="248" t="s">
        <v>255</v>
      </c>
      <c r="I233" s="257">
        <f>G233/SQRT(12)</f>
        <v>-8.6754875587135026E-6</v>
      </c>
      <c r="J233" s="246"/>
      <c r="K233" s="250" t="s">
        <v>351</v>
      </c>
      <c r="L233" s="246">
        <v>1</v>
      </c>
      <c r="M233" s="258">
        <f t="shared" si="46"/>
        <v>-8.6754875587135026E-6</v>
      </c>
      <c r="N233" s="261">
        <f t="shared" si="47"/>
        <v>7.5264084381392765E-11</v>
      </c>
      <c r="O233" s="259">
        <v>100</v>
      </c>
      <c r="P233" s="262">
        <f t="shared" si="48"/>
        <v>5.6646823977694104E-23</v>
      </c>
      <c r="U233" s="37"/>
    </row>
    <row r="234" spans="1:22" ht="13.5" thickBot="1" x14ac:dyDescent="0.25">
      <c r="A234" s="244">
        <v>8</v>
      </c>
      <c r="B234" s="255" t="s">
        <v>311</v>
      </c>
      <c r="C234" s="246"/>
      <c r="D234" s="246"/>
      <c r="E234" s="246"/>
      <c r="F234" s="248" t="s">
        <v>227</v>
      </c>
      <c r="G234" s="246" t="e">
        <f>STDEV('DATOS GENERALES'!Q118:R127)/1000</f>
        <v>#VALUE!</v>
      </c>
      <c r="H234" s="248" t="s">
        <v>232</v>
      </c>
      <c r="I234" s="257" t="e">
        <f>G234/SQRT(10)</f>
        <v>#VALUE!</v>
      </c>
      <c r="J234" s="246"/>
      <c r="K234" s="250" t="str">
        <f>+K233</f>
        <v>cm³</v>
      </c>
      <c r="L234" s="246">
        <v>1</v>
      </c>
      <c r="M234" s="258" t="e">
        <f t="shared" si="46"/>
        <v>#VALUE!</v>
      </c>
      <c r="N234" s="261" t="e">
        <f t="shared" si="47"/>
        <v>#VALUE!</v>
      </c>
      <c r="O234" s="259">
        <v>9</v>
      </c>
      <c r="P234" s="262" t="e">
        <f t="shared" si="48"/>
        <v>#VALUE!</v>
      </c>
      <c r="U234" s="37"/>
    </row>
    <row r="235" spans="1:22" ht="13.5" thickBot="1" x14ac:dyDescent="0.25">
      <c r="A235" s="244"/>
      <c r="B235" s="471" t="s">
        <v>448</v>
      </c>
      <c r="C235" s="246"/>
      <c r="D235" s="472">
        <f>IF('DATOS GENERALES'!$N$21='DATOS GENERALES'!$H$165,D192/1000,IF('DATOS GENERALES'!$N$21='DATOS GENERALES'!$H$164,D192,IF('DATOS GENERALES'!$N$21='DATOS GENERALES'!$H$166,D192*1000)))*0</f>
        <v>0</v>
      </c>
      <c r="E235" s="246"/>
      <c r="F235" s="248" t="s">
        <v>227</v>
      </c>
      <c r="G235" s="246">
        <f>IF('DATOS GENERALES'!$F$24="DKD",IF(AND('DATOS GENERALES'!$D$25="Si",'DATOS GENERALES'!$D$24="Fijo"),0.07*D235/100,IF('DATOS GENERALES'!$D$25="No",0,0.1*D235/100)),IF(AND('DATOS GENERALES'!$D$25="Si",'DATOS GENERALES'!$D$24="Fijo"),0.07*D235/100,IF('DATOS GENERALES'!$D$25="No",0,0.1*D235/100))*0)</f>
        <v>0</v>
      </c>
      <c r="H235" s="248" t="s">
        <v>255</v>
      </c>
      <c r="I235" s="257">
        <f>G235/SQRT(12)</f>
        <v>0</v>
      </c>
      <c r="J235" s="246"/>
      <c r="K235" s="250" t="str">
        <f>+K234</f>
        <v>cm³</v>
      </c>
      <c r="L235" s="246">
        <v>1</v>
      </c>
      <c r="M235" s="312">
        <f t="shared" ref="M235:M242" si="49">I235*L235</f>
        <v>0</v>
      </c>
      <c r="N235" s="261">
        <f t="shared" ref="N235:N242" si="50">M235^2</f>
        <v>0</v>
      </c>
      <c r="O235" s="259">
        <v>100</v>
      </c>
      <c r="P235" s="262">
        <f t="shared" ref="P235:P242" si="51">N235^2/O235</f>
        <v>0</v>
      </c>
      <c r="R235" s="154"/>
      <c r="S235" s="306"/>
      <c r="T235" s="154"/>
      <c r="U235" s="3"/>
    </row>
    <row r="236" spans="1:22" ht="13.5" thickBot="1" x14ac:dyDescent="0.25">
      <c r="A236" s="244"/>
      <c r="B236" s="471" t="s">
        <v>449</v>
      </c>
      <c r="C236" s="246"/>
      <c r="D236" s="246">
        <f>IF('DATOS GENERALES'!$T$19='DATOS GENERALES'!$H$165,'DATOS GENERALES'!$P$19/1000,IF('DATOS GENERALES'!$T$19='DATOS GENERALES'!$H$164,'DATOS GENERALES'!$P$19,IF('DATOS GENERALES'!$T$19='DATOS GENERALES'!$H$166,'DATOS GENERALES'!$P$19*1000)))*0</f>
        <v>0</v>
      </c>
      <c r="E236" s="246"/>
      <c r="F236" s="248" t="s">
        <v>227</v>
      </c>
      <c r="G236" s="246">
        <f>IF(AND('DATOS GENERALES'!$E$26="Si",'DATOS GENERALES'!$D$24="Variable"),D236,0)</f>
        <v>0</v>
      </c>
      <c r="H236" s="248" t="s">
        <v>255</v>
      </c>
      <c r="I236" s="257">
        <f>G236/SQRT(12)</f>
        <v>0</v>
      </c>
      <c r="J236" s="246"/>
      <c r="K236" s="250" t="str">
        <f>+K235</f>
        <v>cm³</v>
      </c>
      <c r="L236" s="246">
        <v>1</v>
      </c>
      <c r="M236" s="312">
        <f t="shared" si="49"/>
        <v>0</v>
      </c>
      <c r="N236" s="261">
        <f t="shared" si="50"/>
        <v>0</v>
      </c>
      <c r="O236" s="259">
        <v>100</v>
      </c>
      <c r="P236" s="262">
        <f t="shared" si="51"/>
        <v>0</v>
      </c>
      <c r="R236" s="154"/>
      <c r="S236" s="306"/>
      <c r="T236" s="154"/>
      <c r="U236" s="3"/>
    </row>
    <row r="237" spans="1:22" ht="13.5" thickBot="1" x14ac:dyDescent="0.25">
      <c r="A237" s="244"/>
      <c r="B237" s="699" t="s">
        <v>582</v>
      </c>
      <c r="C237" s="246"/>
      <c r="D237" s="246">
        <f>IF('DATOS GENERALES'!$T$19='DATOS GENERALES'!$H$165,'DATOS GENERALES'!$P$19/1000,IF('DATOS GENERALES'!$T$19='DATOS GENERALES'!$H$164,'DATOS GENERALES'!$P$19,IF('DATOS GENERALES'!$T$19='DATOS GENERALES'!$H$166,'DATOS GENERALES'!$P$19*1000)))</f>
        <v>1E-3</v>
      </c>
      <c r="E237" s="246"/>
      <c r="F237" s="248" t="s">
        <v>227</v>
      </c>
      <c r="G237" s="246">
        <f>IF('DATOS GENERALES'!$C$17="",0,IF(AND(ISNUMBER(SEARCH("digital",'DATOS GENERALES'!$C$17)),'DATOS GENERALES'!$D$24="Variable"),0,IF('DATOS GENERALES'!$D$24="Fijo",0,D237)))</f>
        <v>1E-3</v>
      </c>
      <c r="H237" s="248" t="s">
        <v>255</v>
      </c>
      <c r="I237" s="257">
        <f>G237/SQRT(12)</f>
        <v>2.886751345948129E-4</v>
      </c>
      <c r="J237" s="246"/>
      <c r="K237" s="250" t="str">
        <f>+K236</f>
        <v>cm³</v>
      </c>
      <c r="L237" s="246">
        <v>1</v>
      </c>
      <c r="M237" s="312">
        <f t="shared" si="49"/>
        <v>2.886751345948129E-4</v>
      </c>
      <c r="N237" s="261">
        <f t="shared" si="50"/>
        <v>8.3333333333333338E-8</v>
      </c>
      <c r="O237" s="259">
        <v>100</v>
      </c>
      <c r="P237" s="262">
        <f t="shared" si="51"/>
        <v>6.944444444444445E-17</v>
      </c>
      <c r="R237" s="154"/>
      <c r="S237" s="306"/>
      <c r="T237" s="154"/>
      <c r="U237" s="3"/>
    </row>
    <row r="238" spans="1:22" ht="13.5" thickBot="1" x14ac:dyDescent="0.25">
      <c r="A238" s="244"/>
      <c r="B238" s="471" t="s">
        <v>450</v>
      </c>
      <c r="C238" s="246"/>
      <c r="D238" s="246">
        <v>0</v>
      </c>
      <c r="E238" s="246"/>
      <c r="F238" s="248" t="s">
        <v>227</v>
      </c>
      <c r="G238" s="246">
        <f>D238</f>
        <v>0</v>
      </c>
      <c r="H238" s="248" t="s">
        <v>232</v>
      </c>
      <c r="I238" s="257">
        <f>G238/SQRT(40)</f>
        <v>0</v>
      </c>
      <c r="J238" s="246"/>
      <c r="K238" s="250" t="str">
        <f>+K236</f>
        <v>cm³</v>
      </c>
      <c r="L238" s="246">
        <v>1</v>
      </c>
      <c r="M238" s="312">
        <f t="shared" si="49"/>
        <v>0</v>
      </c>
      <c r="N238" s="261">
        <f t="shared" si="50"/>
        <v>0</v>
      </c>
      <c r="O238" s="259">
        <v>39</v>
      </c>
      <c r="P238" s="262">
        <f t="shared" si="51"/>
        <v>0</v>
      </c>
      <c r="R238" s="154"/>
      <c r="S238" s="306"/>
      <c r="T238" s="154"/>
      <c r="U238" s="3"/>
    </row>
    <row r="239" spans="1:22" ht="13.5" thickBot="1" x14ac:dyDescent="0.25">
      <c r="A239" s="244"/>
      <c r="B239" s="1571" t="s">
        <v>546</v>
      </c>
      <c r="C239" s="1571"/>
      <c r="D239" s="246"/>
      <c r="E239" s="246"/>
      <c r="F239" s="299"/>
      <c r="G239" s="246"/>
      <c r="H239" s="248"/>
      <c r="I239" s="257"/>
      <c r="J239" s="246"/>
      <c r="K239" s="250"/>
      <c r="L239" s="246"/>
      <c r="M239" s="312"/>
      <c r="N239" s="261"/>
      <c r="O239" s="259"/>
      <c r="P239" s="262"/>
      <c r="R239" s="154"/>
      <c r="S239" s="306"/>
      <c r="T239" s="154"/>
      <c r="U239" s="3"/>
    </row>
    <row r="240" spans="1:22" ht="13.5" thickBot="1" x14ac:dyDescent="0.25">
      <c r="A240" s="244"/>
      <c r="B240" s="594" t="s">
        <v>542</v>
      </c>
      <c r="C240" s="595"/>
      <c r="D240" s="246">
        <f>AVERAGE('DATOS GENERALES'!$A$53:$E$53:'DATOS GENERALES'!$F$53:$J$53)-D227</f>
        <v>-0.40879966022662728</v>
      </c>
      <c r="E240" s="246"/>
      <c r="F240" s="299" t="s">
        <v>23</v>
      </c>
      <c r="G240" s="246">
        <f>D240</f>
        <v>-0.40879966022662728</v>
      </c>
      <c r="H240" s="248" t="s">
        <v>255</v>
      </c>
      <c r="I240" s="257">
        <f>G240/SQRT(3)</f>
        <v>-0.23602059387647081</v>
      </c>
      <c r="J240" s="246"/>
      <c r="K240" s="250"/>
      <c r="L240" s="257" t="e">
        <f>-(('DATOS GENERALES'!$A$128-'DATOS GENERALES'!$C$128)/'DATOS GENERALES'!$R$21)*('DATOS GENERALES'!$R$21-'DATOS GENERALES'!$M$128)/('DATOS GENERALES'!O$128-'DATOS GENERALES'!$M$128)*'DATOS GENERALES'!$F$22</f>
        <v>#VALUE!</v>
      </c>
      <c r="M240" s="312" t="e">
        <f t="shared" si="49"/>
        <v>#VALUE!</v>
      </c>
      <c r="N240" s="261" t="e">
        <f t="shared" si="50"/>
        <v>#VALUE!</v>
      </c>
      <c r="O240" s="259">
        <v>100</v>
      </c>
      <c r="P240" s="262" t="e">
        <f t="shared" si="51"/>
        <v>#VALUE!</v>
      </c>
      <c r="R240" s="154"/>
      <c r="S240" s="306"/>
      <c r="T240" s="154"/>
      <c r="U240" s="3"/>
    </row>
    <row r="241" spans="1:21" ht="13.5" thickBot="1" x14ac:dyDescent="0.25">
      <c r="A241" s="244"/>
      <c r="B241" s="594" t="s">
        <v>540</v>
      </c>
      <c r="C241" s="595"/>
      <c r="D241" s="583" t="str">
        <f>D212</f>
        <v xml:space="preserve"> </v>
      </c>
      <c r="E241" s="246"/>
      <c r="F241" s="248" t="s">
        <v>226</v>
      </c>
      <c r="G241" s="585">
        <f>'DATOS GENERALES'!$P$46-'DATOS GENERALES'!$P$45</f>
        <v>1.6093765367299397</v>
      </c>
      <c r="H241" s="248" t="s">
        <v>255</v>
      </c>
      <c r="I241" s="257">
        <f t="shared" ref="I241" si="52">G241/SQRT(3)</f>
        <v>0.92917397670849844</v>
      </c>
      <c r="J241" s="246"/>
      <c r="K241" s="250"/>
      <c r="L241" s="257" t="e">
        <f>('DATOS GENERALES'!$C$128-'DATOS GENERALES'!$A$128)/'DATOS GENERALES'!$O$128^2*(-0.00000252*AVERAGE('DATOS CORRECCIONES EQUIPOS EMPL'!E68:E77)+0.000020582)/(AVERAGE('DATOS CORRECCIONES EQUIPOS EMPL'!E68:E77)+20)</f>
        <v>#VALUE!</v>
      </c>
      <c r="M241" s="312" t="e">
        <f t="shared" si="49"/>
        <v>#VALUE!</v>
      </c>
      <c r="N241" s="261" t="e">
        <f t="shared" si="50"/>
        <v>#VALUE!</v>
      </c>
      <c r="O241" s="259">
        <v>100</v>
      </c>
      <c r="P241" s="262" t="e">
        <f t="shared" si="51"/>
        <v>#VALUE!</v>
      </c>
      <c r="R241" s="154"/>
      <c r="S241" s="306"/>
      <c r="T241" s="154"/>
      <c r="U241" s="3"/>
    </row>
    <row r="242" spans="1:21" ht="13.5" thickBot="1" x14ac:dyDescent="0.25">
      <c r="A242" s="244"/>
      <c r="B242" s="594" t="s">
        <v>541</v>
      </c>
      <c r="C242" s="595"/>
      <c r="D242" s="584" t="str">
        <f>D216</f>
        <v xml:space="preserve"> </v>
      </c>
      <c r="E242" s="246"/>
      <c r="F242" s="213" t="s">
        <v>61</v>
      </c>
      <c r="G242" s="246">
        <v>20</v>
      </c>
      <c r="H242" s="248" t="s">
        <v>544</v>
      </c>
      <c r="I242" s="257">
        <f>G242/SQRT(6)</f>
        <v>8.1649658092772608</v>
      </c>
      <c r="J242" s="246"/>
      <c r="K242" s="250"/>
      <c r="L242" s="257" t="e">
        <f>('DATOS GENERALES'!$C$128-'DATOS GENERALES'!$A$128)/('DATOS GENERALES'!$O$128^2)*(0.34844/(AVERAGE('DATOS CORRECCIONES EQUIPOS EMPL'!E68:E77)+20)/1000)</f>
        <v>#VALUE!</v>
      </c>
      <c r="M242" s="312" t="e">
        <f t="shared" si="49"/>
        <v>#VALUE!</v>
      </c>
      <c r="N242" s="261" t="e">
        <f t="shared" si="50"/>
        <v>#VALUE!</v>
      </c>
      <c r="O242" s="259">
        <v>100</v>
      </c>
      <c r="P242" s="262" t="e">
        <f t="shared" si="51"/>
        <v>#VALUE!</v>
      </c>
      <c r="R242" s="154"/>
      <c r="S242" s="306"/>
      <c r="T242" s="154"/>
      <c r="U242" s="3"/>
    </row>
    <row r="243" spans="1:21" ht="13.5" thickBot="1" x14ac:dyDescent="0.25">
      <c r="A243" s="244"/>
      <c r="B243" s="255"/>
      <c r="C243" s="246"/>
      <c r="D243" s="246"/>
      <c r="E243" s="246"/>
      <c r="F243" s="248"/>
      <c r="G243" s="246"/>
      <c r="H243" s="248"/>
      <c r="I243" s="257"/>
      <c r="J243" s="246"/>
      <c r="K243" s="250"/>
      <c r="L243" s="246"/>
      <c r="M243" s="258"/>
      <c r="N243" s="470"/>
      <c r="O243" s="259"/>
      <c r="P243" s="262"/>
      <c r="U243" s="37"/>
    </row>
    <row r="244" spans="1:21" ht="13.5" thickBot="1" x14ac:dyDescent="0.25">
      <c r="A244" s="264"/>
      <c r="B244" s="265" t="s">
        <v>239</v>
      </c>
      <c r="C244" s="266"/>
      <c r="D244" s="266"/>
      <c r="E244" s="563" t="e">
        <f>M244</f>
        <v>#VALUE!</v>
      </c>
      <c r="F244" s="267" t="s">
        <v>227</v>
      </c>
      <c r="G244" s="266"/>
      <c r="H244" s="267" t="s">
        <v>231</v>
      </c>
      <c r="I244" s="268"/>
      <c r="J244" s="266"/>
      <c r="K244" s="269" t="s">
        <v>227</v>
      </c>
      <c r="L244" s="266"/>
      <c r="M244" s="590" t="e">
        <f>+SQRT(SUM(N192:N242))</f>
        <v>#VALUE!</v>
      </c>
      <c r="N244" s="231"/>
      <c r="O244" s="272" t="s">
        <v>244</v>
      </c>
      <c r="P244" s="282" t="e">
        <f>+POWER(M244,4)/SUM(P192:P242)</f>
        <v>#VALUE!</v>
      </c>
      <c r="Q244" s="37"/>
      <c r="U244" s="37"/>
    </row>
    <row r="245" spans="1:21" ht="13.5" thickBot="1" x14ac:dyDescent="0.25">
      <c r="A245" s="264"/>
      <c r="B245" s="265" t="s">
        <v>68</v>
      </c>
      <c r="C245" s="266"/>
      <c r="D245" s="266"/>
      <c r="E245" s="564" t="e">
        <f>P246</f>
        <v>#VALUE!</v>
      </c>
      <c r="F245" s="267" t="s">
        <v>227</v>
      </c>
      <c r="G245" s="266"/>
      <c r="H245" s="267" t="s">
        <v>231</v>
      </c>
      <c r="I245" s="268"/>
      <c r="J245" s="266"/>
      <c r="K245" s="269" t="s">
        <v>227</v>
      </c>
      <c r="L245" s="266"/>
      <c r="M245" s="588" t="e">
        <f>+M244*P245</f>
        <v>#VALUE!</v>
      </c>
      <c r="N245" s="1"/>
      <c r="O245" s="273"/>
      <c r="P245" s="589" t="e">
        <f>+TINV(0.0455,P244)</f>
        <v>#VALUE!</v>
      </c>
      <c r="U245" s="37"/>
    </row>
    <row r="246" spans="1:21" ht="13.5" thickBot="1" x14ac:dyDescent="0.25">
      <c r="A246" s="264"/>
      <c r="B246" s="265" t="s">
        <v>68</v>
      </c>
      <c r="C246" s="266"/>
      <c r="D246" s="266"/>
      <c r="E246" s="565" t="e">
        <f>M246</f>
        <v>#VALUE!</v>
      </c>
      <c r="F246" s="267" t="s">
        <v>226</v>
      </c>
      <c r="G246" s="266"/>
      <c r="H246" s="267" t="s">
        <v>231</v>
      </c>
      <c r="I246" s="268"/>
      <c r="J246" s="266"/>
      <c r="K246" s="269" t="s">
        <v>226</v>
      </c>
      <c r="L246" s="266"/>
      <c r="M246" s="271" t="e">
        <f>+P246/D192*100</f>
        <v>#VALUE!</v>
      </c>
      <c r="N246" s="1"/>
      <c r="O246" s="272" t="s">
        <v>245</v>
      </c>
      <c r="P246" s="287" t="e">
        <f>IF('DATOS GENERALES'!$N$21="µL",ROUND(M245,10)*1000,ROUND(M245,6))</f>
        <v>#VALUE!</v>
      </c>
      <c r="U246" s="37"/>
    </row>
    <row r="247" spans="1:21" x14ac:dyDescent="0.2">
      <c r="B247" s="209" t="str">
        <f>O244</f>
        <v>v EF</v>
      </c>
      <c r="C247" s="566" t="e">
        <f>P244</f>
        <v>#VALUE!</v>
      </c>
      <c r="D247" s="212" t="s">
        <v>495</v>
      </c>
      <c r="E247" s="567" t="e">
        <f>P245</f>
        <v>#VALUE!</v>
      </c>
    </row>
    <row r="248" spans="1:21" x14ac:dyDescent="0.2">
      <c r="C248" s="50"/>
    </row>
    <row r="249" spans="1:21" x14ac:dyDescent="0.2">
      <c r="C249" s="50"/>
    </row>
    <row r="250" spans="1:21" x14ac:dyDescent="0.2">
      <c r="C250" s="50"/>
    </row>
    <row r="252" spans="1:21" ht="39" customHeight="1" thickBot="1" x14ac:dyDescent="0.25">
      <c r="A252" s="202" t="s">
        <v>184</v>
      </c>
      <c r="B252" s="1572" t="s">
        <v>186</v>
      </c>
      <c r="C252" s="1572"/>
      <c r="D252" s="203" t="s">
        <v>195</v>
      </c>
      <c r="E252" s="204" t="s">
        <v>185</v>
      </c>
      <c r="F252" s="204" t="s">
        <v>22</v>
      </c>
      <c r="G252" s="204" t="s">
        <v>187</v>
      </c>
      <c r="H252" s="203" t="s">
        <v>188</v>
      </c>
      <c r="I252" s="1572" t="s">
        <v>189</v>
      </c>
      <c r="J252" s="1572"/>
      <c r="K252" s="1572" t="s">
        <v>190</v>
      </c>
      <c r="L252" s="1572"/>
      <c r="M252" s="203" t="s">
        <v>193</v>
      </c>
      <c r="N252" s="203" t="s">
        <v>191</v>
      </c>
      <c r="O252" s="203" t="s">
        <v>192</v>
      </c>
      <c r="P252" s="203" t="s">
        <v>194</v>
      </c>
      <c r="Q252" s="402">
        <v>5</v>
      </c>
      <c r="R252" s="1572" t="s">
        <v>312</v>
      </c>
      <c r="S252" s="1572"/>
      <c r="U252" s="579">
        <v>5</v>
      </c>
    </row>
    <row r="253" spans="1:21" x14ac:dyDescent="0.2">
      <c r="A253" s="275">
        <v>0</v>
      </c>
      <c r="B253" s="1579" t="s">
        <v>196</v>
      </c>
      <c r="C253" s="1579"/>
      <c r="D253" s="280">
        <f>'DATOS GENERALES'!F132</f>
        <v>0</v>
      </c>
      <c r="E253" s="276"/>
      <c r="F253" s="276"/>
      <c r="G253" s="276"/>
      <c r="H253" s="276"/>
      <c r="I253" s="276"/>
      <c r="J253" s="276"/>
      <c r="K253" s="276"/>
      <c r="L253" s="276"/>
      <c r="M253" s="276"/>
      <c r="N253" s="276"/>
      <c r="O253" s="276"/>
      <c r="P253" s="277"/>
      <c r="Q253" s="1"/>
      <c r="R253" s="1" t="s">
        <v>163</v>
      </c>
      <c r="S253" s="37">
        <f>3.4847858/10</f>
        <v>0.34847857999999998</v>
      </c>
    </row>
    <row r="254" spans="1:21" x14ac:dyDescent="0.2">
      <c r="A254" s="208">
        <v>1</v>
      </c>
      <c r="B254" s="1566" t="s">
        <v>197</v>
      </c>
      <c r="C254" s="1566"/>
      <c r="D254" s="279" t="e">
        <f>D255-D257</f>
        <v>#VALUE!</v>
      </c>
      <c r="E254" s="209"/>
      <c r="F254" s="209"/>
      <c r="G254" s="209"/>
      <c r="H254" s="209"/>
      <c r="I254" s="209"/>
      <c r="J254" s="209"/>
      <c r="K254" s="209"/>
      <c r="L254" s="209"/>
      <c r="M254" s="209"/>
      <c r="N254" s="209"/>
      <c r="O254" s="209"/>
      <c r="P254" s="210"/>
      <c r="Q254" s="120"/>
      <c r="R254" s="1" t="s">
        <v>85</v>
      </c>
      <c r="S254" s="37">
        <f>9.1748/1000</f>
        <v>9.1747999999999986E-3</v>
      </c>
    </row>
    <row r="255" spans="1:21" x14ac:dyDescent="0.2">
      <c r="A255" s="98" t="s">
        <v>200</v>
      </c>
      <c r="C255" s="278" t="s">
        <v>198</v>
      </c>
      <c r="D255" s="127" t="str">
        <f>'Certificado de calibración'!F96</f>
        <v xml:space="preserve"> </v>
      </c>
      <c r="F255" s="101"/>
      <c r="H255" s="101"/>
      <c r="K255" s="103"/>
      <c r="P255" s="123"/>
      <c r="R255" s="1" t="s">
        <v>86</v>
      </c>
      <c r="S255" s="37">
        <f>6.2492/100</f>
        <v>6.2491999999999999E-2</v>
      </c>
    </row>
    <row r="256" spans="1:21" x14ac:dyDescent="0.2">
      <c r="A256" s="208"/>
      <c r="B256" s="209"/>
      <c r="C256" s="211" t="s">
        <v>182</v>
      </c>
      <c r="D256" s="209"/>
      <c r="E256" s="209" t="s">
        <v>65</v>
      </c>
      <c r="F256" s="212" t="s">
        <v>67</v>
      </c>
      <c r="G256" s="209">
        <f>'Chequeo Balanza '!$F$12</f>
        <v>1.0000000000000001E-5</v>
      </c>
      <c r="H256" s="213" t="s">
        <v>228</v>
      </c>
      <c r="I256" s="214">
        <f>G256/SQRT(12)</f>
        <v>2.8867513459481293E-6</v>
      </c>
      <c r="J256" s="209"/>
      <c r="K256" s="215" t="s">
        <v>233</v>
      </c>
      <c r="L256" s="283" t="e">
        <f>+('DATOS GENERALES'!$Q$144/1000)/('DATOS GENERALES'!$C$144-'DATOS GENERALES'!$A$144)</f>
        <v>#VALUE!</v>
      </c>
      <c r="M256" s="216" t="e">
        <f>I256*L256</f>
        <v>#VALUE!</v>
      </c>
      <c r="N256" s="217" t="e">
        <f>M256^2</f>
        <v>#VALUE!</v>
      </c>
      <c r="O256" s="209">
        <v>100</v>
      </c>
      <c r="P256" s="218" t="e">
        <f>N256^2/O256</f>
        <v>#VALUE!</v>
      </c>
      <c r="R256" s="1" t="s">
        <v>88</v>
      </c>
      <c r="S256" s="114">
        <f>- 5.23/100000</f>
        <v>-5.2300000000000004E-5</v>
      </c>
      <c r="U256" s="37"/>
    </row>
    <row r="257" spans="1:21" x14ac:dyDescent="0.2">
      <c r="A257" s="98" t="s">
        <v>201</v>
      </c>
      <c r="C257" s="1" t="s">
        <v>199</v>
      </c>
      <c r="D257" s="127" t="str">
        <f>'Certificado de calibración'!C96</f>
        <v xml:space="preserve"> </v>
      </c>
      <c r="F257" s="101"/>
      <c r="H257" s="101"/>
      <c r="K257" s="103"/>
      <c r="L257" s="37"/>
      <c r="P257" s="123"/>
      <c r="R257" s="1" t="s">
        <v>240</v>
      </c>
      <c r="S257">
        <v>273.14999999999998</v>
      </c>
      <c r="U257" s="37"/>
    </row>
    <row r="258" spans="1:21" x14ac:dyDescent="0.2">
      <c r="A258" s="208"/>
      <c r="B258" s="209"/>
      <c r="C258" s="211" t="s">
        <v>182</v>
      </c>
      <c r="D258" s="209"/>
      <c r="E258" s="209" t="s">
        <v>65</v>
      </c>
      <c r="F258" s="212" t="s">
        <v>67</v>
      </c>
      <c r="G258" s="209">
        <f>'Chequeo Balanza '!$F$13</f>
        <v>1.0000000000000001E-5</v>
      </c>
      <c r="H258" s="213" t="s">
        <v>228</v>
      </c>
      <c r="I258" s="214">
        <f>G258/SQRT(12)</f>
        <v>2.8867513459481293E-6</v>
      </c>
      <c r="J258" s="209"/>
      <c r="K258" s="215" t="s">
        <v>233</v>
      </c>
      <c r="L258" s="214" t="e">
        <f>+L256</f>
        <v>#VALUE!</v>
      </c>
      <c r="M258" s="216" t="e">
        <f>I258*L258</f>
        <v>#VALUE!</v>
      </c>
      <c r="N258" s="217" t="e">
        <f>M258^2</f>
        <v>#VALUE!</v>
      </c>
      <c r="O258" s="209">
        <v>100</v>
      </c>
      <c r="P258" s="218" t="e">
        <f>N258^2/O258</f>
        <v>#VALUE!</v>
      </c>
      <c r="R258" s="1" t="s">
        <v>241</v>
      </c>
      <c r="S258" t="e">
        <f>+S255*D265+S256*D277</f>
        <v>#VALUE!</v>
      </c>
      <c r="U258" s="37"/>
    </row>
    <row r="259" spans="1:21" x14ac:dyDescent="0.2">
      <c r="A259" s="98"/>
      <c r="C259" s="100"/>
      <c r="D259" s="322"/>
      <c r="F259" s="101"/>
      <c r="H259" s="101"/>
      <c r="K259" s="103"/>
      <c r="L259" s="37"/>
      <c r="P259" s="123"/>
      <c r="R259" s="1" t="s">
        <v>242</v>
      </c>
      <c r="S259" t="e">
        <f>+EXP(S258)</f>
        <v>#VALUE!</v>
      </c>
      <c r="U259" s="37"/>
    </row>
    <row r="260" spans="1:21" x14ac:dyDescent="0.2">
      <c r="A260" s="219">
        <v>1.3</v>
      </c>
      <c r="B260" s="232"/>
      <c r="C260" s="211" t="s">
        <v>355</v>
      </c>
      <c r="D260" s="232"/>
      <c r="E260" s="232" t="s">
        <v>66</v>
      </c>
      <c r="F260" s="213" t="s">
        <v>67</v>
      </c>
      <c r="G260" s="232">
        <f>IF('Chequeo Balanza '!$N$5='Chequeo Balanza '!$L$6,VLOOKUP('Chequeo Balanza '!$K$12,'INCERTIDUMBRE DE LA MEDIDA'!$R$31:$T$42,3,TRUE),VLOOKUP('Chequeo Balanza '!$K$12,'INCERTIDUMBRE DE LA MEDIDA'!$R$20:$T$30,3,TRUE))</f>
        <v>5.3000000000000001E-5</v>
      </c>
      <c r="H260" s="213" t="s">
        <v>229</v>
      </c>
      <c r="I260" s="323">
        <f>G260/2</f>
        <v>2.65E-5</v>
      </c>
      <c r="J260" s="232"/>
      <c r="K260" s="215" t="s">
        <v>233</v>
      </c>
      <c r="L260" s="283" t="e">
        <f>+L256</f>
        <v>#VALUE!</v>
      </c>
      <c r="M260" s="323" t="e">
        <f>I260*L260</f>
        <v>#VALUE!</v>
      </c>
      <c r="N260" s="234" t="e">
        <f>M260^2</f>
        <v>#VALUE!</v>
      </c>
      <c r="O260" s="232">
        <v>50</v>
      </c>
      <c r="P260" s="321" t="e">
        <f>N260^2/O260</f>
        <v>#VALUE!</v>
      </c>
      <c r="R260" s="1" t="s">
        <v>243</v>
      </c>
      <c r="S260" s="1" t="e">
        <f>273.15+D265</f>
        <v>#VALUE!</v>
      </c>
      <c r="U260" s="37"/>
    </row>
    <row r="261" spans="1:21" x14ac:dyDescent="0.2">
      <c r="A261" s="219">
        <v>1.4</v>
      </c>
      <c r="B261" s="232"/>
      <c r="C261" s="211" t="s">
        <v>356</v>
      </c>
      <c r="D261" s="232"/>
      <c r="E261" s="232" t="s">
        <v>66</v>
      </c>
      <c r="F261" s="213" t="s">
        <v>67</v>
      </c>
      <c r="G261" s="232">
        <f>IF('Chequeo Balanza '!$N$5='Chequeo Balanza '!$L$6,VLOOKUP('Chequeo Balanza '!$K$13,'INCERTIDUMBRE DE LA MEDIDA'!$R$31:$T$42,3,TRUE),VLOOKUP('Chequeo Balanza '!$K$13,'INCERTIDUMBRE DE LA MEDIDA'!$R$20:$T$30,3,TRUE))</f>
        <v>9.1000000000000003E-5</v>
      </c>
      <c r="H261" s="213" t="s">
        <v>229</v>
      </c>
      <c r="I261" s="323">
        <f>G261/2</f>
        <v>4.5500000000000001E-5</v>
      </c>
      <c r="J261" s="232"/>
      <c r="K261" s="215" t="s">
        <v>233</v>
      </c>
      <c r="L261" s="283" t="e">
        <f>+L260</f>
        <v>#VALUE!</v>
      </c>
      <c r="M261" s="323" t="e">
        <f>I261*L261</f>
        <v>#VALUE!</v>
      </c>
      <c r="N261" s="234" t="e">
        <f>M261^2</f>
        <v>#VALUE!</v>
      </c>
      <c r="O261" s="232">
        <v>50</v>
      </c>
      <c r="P261" s="321" t="e">
        <f>N261^2/O261</f>
        <v>#VALUE!</v>
      </c>
      <c r="U261" s="37"/>
    </row>
    <row r="262" spans="1:21" x14ac:dyDescent="0.2">
      <c r="A262" s="219">
        <v>1.5</v>
      </c>
      <c r="B262" s="232"/>
      <c r="C262" s="211" t="s">
        <v>347</v>
      </c>
      <c r="D262" s="322"/>
      <c r="E262" s="232" t="s">
        <v>349</v>
      </c>
      <c r="F262" s="213" t="s">
        <v>67</v>
      </c>
      <c r="G262" s="232">
        <f>+'DATOS GENERALES'!$D$37</f>
        <v>2.0000000000000001E-4</v>
      </c>
      <c r="H262" s="213" t="s">
        <v>228</v>
      </c>
      <c r="I262" s="323">
        <f>G262/SQRT(12)</f>
        <v>5.7735026918962585E-5</v>
      </c>
      <c r="J262" s="232"/>
      <c r="K262" s="213" t="s">
        <v>228</v>
      </c>
      <c r="L262" s="283" t="e">
        <f>+L260</f>
        <v>#VALUE!</v>
      </c>
      <c r="M262" s="323" t="e">
        <f>I262*L262</f>
        <v>#VALUE!</v>
      </c>
      <c r="N262" s="234" t="e">
        <f>M262^2</f>
        <v>#VALUE!</v>
      </c>
      <c r="O262" s="232">
        <v>50</v>
      </c>
      <c r="P262" s="321" t="e">
        <f>N262^2/O262</f>
        <v>#VALUE!</v>
      </c>
      <c r="Q262" s="415"/>
      <c r="U262" s="37"/>
    </row>
    <row r="263" spans="1:21" x14ac:dyDescent="0.2">
      <c r="A263" s="215">
        <v>1.6</v>
      </c>
      <c r="B263" s="232"/>
      <c r="C263" s="211" t="s">
        <v>348</v>
      </c>
      <c r="D263" s="232"/>
      <c r="E263" s="232" t="s">
        <v>349</v>
      </c>
      <c r="F263" s="213" t="s">
        <v>67</v>
      </c>
      <c r="G263" s="283">
        <f>+'DATOS GENERALES'!$D$39</f>
        <v>1E-4</v>
      </c>
      <c r="H263" s="213" t="s">
        <v>228</v>
      </c>
      <c r="I263" s="323">
        <f>G263/SQRT(12)</f>
        <v>2.8867513459481293E-5</v>
      </c>
      <c r="J263" s="232"/>
      <c r="K263" s="213" t="s">
        <v>228</v>
      </c>
      <c r="L263" s="283" t="e">
        <f>+L260</f>
        <v>#VALUE!</v>
      </c>
      <c r="M263" s="323" t="e">
        <f>I263*L263</f>
        <v>#VALUE!</v>
      </c>
      <c r="N263" s="234" t="e">
        <f>M263^2</f>
        <v>#VALUE!</v>
      </c>
      <c r="O263" s="232">
        <v>50</v>
      </c>
      <c r="P263" s="321" t="e">
        <f>N263^2/O263</f>
        <v>#VALUE!</v>
      </c>
      <c r="Q263" s="414"/>
      <c r="U263" s="37"/>
    </row>
    <row r="264" spans="1:21" ht="13.5" thickBot="1" x14ac:dyDescent="0.25">
      <c r="A264" s="220">
        <v>1.7</v>
      </c>
      <c r="B264" s="209"/>
      <c r="C264" s="211" t="s">
        <v>352</v>
      </c>
      <c r="D264" s="209"/>
      <c r="E264" s="232" t="s">
        <v>353</v>
      </c>
      <c r="F264" s="213" t="s">
        <v>67</v>
      </c>
      <c r="G264" s="209">
        <f>+G260</f>
        <v>5.3000000000000001E-5</v>
      </c>
      <c r="H264" s="213" t="s">
        <v>228</v>
      </c>
      <c r="I264" s="323">
        <f>G264/SQRT(12)</f>
        <v>1.5299782133525084E-5</v>
      </c>
      <c r="J264" s="209"/>
      <c r="K264" s="213" t="s">
        <v>228</v>
      </c>
      <c r="L264" s="283" t="e">
        <f>+L263</f>
        <v>#VALUE!</v>
      </c>
      <c r="M264" s="323" t="e">
        <f>I264*L264</f>
        <v>#VALUE!</v>
      </c>
      <c r="N264" s="234" t="e">
        <f>M264^2</f>
        <v>#VALUE!</v>
      </c>
      <c r="O264" s="232">
        <v>51</v>
      </c>
      <c r="P264" s="321" t="e">
        <f>N264^2/O264</f>
        <v>#VALUE!</v>
      </c>
      <c r="U264" s="37"/>
    </row>
    <row r="265" spans="1:21" x14ac:dyDescent="0.2">
      <c r="A265" s="205">
        <v>2</v>
      </c>
      <c r="B265" s="227" t="s">
        <v>346</v>
      </c>
      <c r="C265" s="206"/>
      <c r="D265" s="206" t="str">
        <f>+'DATOS GENERALES'!$G$128</f>
        <v xml:space="preserve"> </v>
      </c>
      <c r="E265" s="206"/>
      <c r="F265" s="228"/>
      <c r="G265" s="206"/>
      <c r="H265" s="228"/>
      <c r="I265" s="229"/>
      <c r="J265" s="206"/>
      <c r="K265" s="230"/>
      <c r="L265" s="229"/>
      <c r="M265" s="206"/>
      <c r="N265" s="206"/>
      <c r="O265" s="206"/>
      <c r="P265" s="207"/>
      <c r="Q265" s="1"/>
      <c r="U265" s="37"/>
    </row>
    <row r="266" spans="1:21" x14ac:dyDescent="0.2">
      <c r="A266" s="209"/>
      <c r="B266" s="209"/>
      <c r="C266" s="232" t="s">
        <v>628</v>
      </c>
      <c r="D266" s="279" t="e">
        <f>'DATOS GENERALES'!M144:N144</f>
        <v>#VALUE!</v>
      </c>
      <c r="E266" s="209"/>
      <c r="F266" s="213"/>
      <c r="G266" s="233"/>
      <c r="H266" s="213"/>
      <c r="I266" s="214"/>
      <c r="J266" s="209"/>
      <c r="K266" s="215"/>
      <c r="L266" s="283"/>
      <c r="M266" s="233"/>
      <c r="N266" s="234"/>
      <c r="O266" s="209"/>
      <c r="P266" s="218"/>
      <c r="Q266" s="120"/>
      <c r="U266" s="37"/>
    </row>
    <row r="267" spans="1:21" x14ac:dyDescent="0.2">
      <c r="C267" s="1"/>
      <c r="F267" s="102"/>
      <c r="G267" s="120"/>
      <c r="H267" s="102"/>
      <c r="I267" s="37"/>
      <c r="K267" s="104"/>
      <c r="L267" s="114"/>
      <c r="M267" s="125"/>
      <c r="N267" s="126"/>
      <c r="P267" s="122"/>
      <c r="U267" s="37"/>
    </row>
    <row r="268" spans="1:21" x14ac:dyDescent="0.2">
      <c r="A268" s="219" t="s">
        <v>206</v>
      </c>
      <c r="B268" s="209"/>
      <c r="C268" s="232" t="s">
        <v>202</v>
      </c>
      <c r="D268" s="209"/>
      <c r="E268" s="209"/>
      <c r="F268" s="212"/>
      <c r="G268" s="214"/>
      <c r="H268" s="213"/>
      <c r="I268" s="214"/>
      <c r="J268" s="209"/>
      <c r="K268" s="220"/>
      <c r="L268" s="283"/>
      <c r="M268" s="235"/>
      <c r="N268" s="236"/>
      <c r="O268" s="237"/>
      <c r="P268" s="238"/>
      <c r="U268" s="37"/>
    </row>
    <row r="269" spans="1:21" x14ac:dyDescent="0.2">
      <c r="A269" s="98" t="s">
        <v>207</v>
      </c>
      <c r="C269" s="100" t="s">
        <v>203</v>
      </c>
      <c r="L269" s="114"/>
      <c r="M269" s="116"/>
      <c r="N269" s="116"/>
      <c r="O269" s="116"/>
      <c r="P269" s="117"/>
      <c r="U269" s="37"/>
    </row>
    <row r="270" spans="1:21" x14ac:dyDescent="0.2">
      <c r="A270" s="208"/>
      <c r="B270" s="209"/>
      <c r="C270" s="211" t="s">
        <v>204</v>
      </c>
      <c r="D270" s="209"/>
      <c r="E270" s="209" t="s">
        <v>66</v>
      </c>
      <c r="F270" s="213" t="s">
        <v>23</v>
      </c>
      <c r="G270" s="209">
        <f>G209</f>
        <v>0.27981562539672206</v>
      </c>
      <c r="H270" s="213" t="s">
        <v>229</v>
      </c>
      <c r="I270" s="214">
        <f>G270/2</f>
        <v>0.13990781269836103</v>
      </c>
      <c r="J270" s="209"/>
      <c r="K270" s="215" t="s">
        <v>234</v>
      </c>
      <c r="L270" s="283" t="e">
        <f>('DATOS GENERALES'!$C$144-'DATOS GENERALES'!$A$144)/('DATOS GENERALES'!$O$144^2)*('DATOS GENERALES'!$I$144*((-0.00252*20)-0.020582)-(0.34844*('DATOS GENERALES'!$K$144)))/(AVERAGE('DATOS CORRECCIONES EQUIPOS EMPL'!E86:E95)+20)^2/1000</f>
        <v>#VALUE!</v>
      </c>
      <c r="M270" s="235" t="e">
        <f>I270*L270</f>
        <v>#VALUE!</v>
      </c>
      <c r="N270" s="239" t="e">
        <f>M270^2</f>
        <v>#VALUE!</v>
      </c>
      <c r="O270" s="237">
        <v>50</v>
      </c>
      <c r="P270" s="238" t="e">
        <f>N270^2/O270</f>
        <v>#VALUE!</v>
      </c>
      <c r="U270" s="37"/>
    </row>
    <row r="271" spans="1:21" x14ac:dyDescent="0.2">
      <c r="A271" s="99"/>
      <c r="C271" s="100" t="s">
        <v>213</v>
      </c>
      <c r="E271" t="s">
        <v>220</v>
      </c>
      <c r="F271" s="102" t="s">
        <v>23</v>
      </c>
      <c r="G271">
        <f>MIN('DATOS GENERALES'!G191:H200)-MAX('DATOS GENERALES'!G191:H200)</f>
        <v>0</v>
      </c>
      <c r="H271" s="102" t="s">
        <v>228</v>
      </c>
      <c r="I271" s="37">
        <f>G271/SQRT(12)</f>
        <v>0</v>
      </c>
      <c r="K271" s="104" t="s">
        <v>234</v>
      </c>
      <c r="L271" s="114" t="e">
        <f>+L270</f>
        <v>#VALUE!</v>
      </c>
      <c r="M271" s="115" t="e">
        <f>I271*L271</f>
        <v>#VALUE!</v>
      </c>
      <c r="N271" s="118" t="e">
        <f>M271^2</f>
        <v>#VALUE!</v>
      </c>
      <c r="O271" s="116">
        <v>100</v>
      </c>
      <c r="P271" s="117" t="e">
        <f>N271^2/O271</f>
        <v>#VALUE!</v>
      </c>
      <c r="U271" s="37"/>
    </row>
    <row r="272" spans="1:21" ht="13.5" thickBot="1" x14ac:dyDescent="0.25">
      <c r="A272" s="221"/>
      <c r="B272" s="222"/>
      <c r="C272" s="223" t="s">
        <v>182</v>
      </c>
      <c r="D272" s="222"/>
      <c r="E272" s="222" t="s">
        <v>221</v>
      </c>
      <c r="F272" s="224" t="s">
        <v>23</v>
      </c>
      <c r="G272" s="222">
        <f>G211</f>
        <v>0.1</v>
      </c>
      <c r="H272" s="224" t="s">
        <v>228</v>
      </c>
      <c r="I272" s="225">
        <f>G272/SQRT(12)</f>
        <v>2.8867513459481291E-2</v>
      </c>
      <c r="J272" s="222"/>
      <c r="K272" s="226" t="s">
        <v>234</v>
      </c>
      <c r="L272" s="334" t="e">
        <f>+L270</f>
        <v>#VALUE!</v>
      </c>
      <c r="M272" s="235" t="e">
        <f>I272*L272</f>
        <v>#VALUE!</v>
      </c>
      <c r="N272" s="239" t="e">
        <f>M272^2</f>
        <v>#VALUE!</v>
      </c>
      <c r="O272" s="240">
        <v>100</v>
      </c>
      <c r="P272" s="238" t="e">
        <f>N272^2/O272</f>
        <v>#VALUE!</v>
      </c>
      <c r="U272" s="37"/>
    </row>
    <row r="273" spans="1:22" x14ac:dyDescent="0.2">
      <c r="A273" s="241" t="s">
        <v>208</v>
      </c>
      <c r="B273" s="227" t="s">
        <v>205</v>
      </c>
      <c r="C273" s="206"/>
      <c r="D273" s="335" t="str">
        <f>+'DATOS GENERALES'!$I$128</f>
        <v xml:space="preserve"> </v>
      </c>
      <c r="E273" s="206"/>
      <c r="F273" s="228"/>
      <c r="G273" s="206"/>
      <c r="H273" s="228"/>
      <c r="I273" s="229"/>
      <c r="J273" s="206"/>
      <c r="K273" s="230"/>
      <c r="L273" s="261"/>
      <c r="M273" s="242"/>
      <c r="N273" s="242"/>
      <c r="O273" s="242"/>
      <c r="P273" s="243"/>
      <c r="U273" s="37"/>
    </row>
    <row r="274" spans="1:22" x14ac:dyDescent="0.2">
      <c r="A274" s="208"/>
      <c r="B274" s="209"/>
      <c r="C274" s="211" t="s">
        <v>204</v>
      </c>
      <c r="D274" s="232"/>
      <c r="E274" s="209" t="s">
        <v>66</v>
      </c>
      <c r="F274" s="213" t="s">
        <v>226</v>
      </c>
      <c r="G274" s="209">
        <f>G213</f>
        <v>0.76297740875281184</v>
      </c>
      <c r="H274" s="213" t="s">
        <v>229</v>
      </c>
      <c r="I274" s="214">
        <f>G274/2</f>
        <v>0.38148870437640592</v>
      </c>
      <c r="J274" s="209"/>
      <c r="K274" s="215" t="s">
        <v>235</v>
      </c>
      <c r="L274" s="283" t="e">
        <f>('DATOS GENERALES'!$C$144-'DATOS GENERALES'!$A$144)/'DATOS GENERALES'!$O$144^2*(-0.00000252*AVERAGE('DATOS CORRECCIONES EQUIPOS EMPL'!E86:E95)+0.000020582)/(AVERAGE('DATOS CORRECCIONES EQUIPOS EMPL'!E86:E95)+20)</f>
        <v>#VALUE!</v>
      </c>
      <c r="M274" s="235" t="e">
        <f>I274*L274</f>
        <v>#VALUE!</v>
      </c>
      <c r="N274" s="239" t="e">
        <f>M274^2</f>
        <v>#VALUE!</v>
      </c>
      <c r="O274" s="237">
        <v>50</v>
      </c>
      <c r="P274" s="238" t="e">
        <f>N274^2/O274</f>
        <v>#VALUE!</v>
      </c>
      <c r="Q274" s="120"/>
      <c r="U274" s="37"/>
    </row>
    <row r="275" spans="1:22" x14ac:dyDescent="0.2">
      <c r="A275" s="99"/>
      <c r="C275" s="100" t="s">
        <v>212</v>
      </c>
      <c r="D275" s="1"/>
      <c r="E275" t="s">
        <v>222</v>
      </c>
      <c r="F275" s="102" t="s">
        <v>226</v>
      </c>
      <c r="G275">
        <f>MIN('DATOS GENERALES'!I191:J200)-MAX('DATOS GENERALES'!I191:J200)</f>
        <v>0</v>
      </c>
      <c r="H275" s="102" t="s">
        <v>228</v>
      </c>
      <c r="I275" s="37">
        <f>G275/SQRT(12)</f>
        <v>0</v>
      </c>
      <c r="K275" s="104" t="s">
        <v>235</v>
      </c>
      <c r="L275" s="114" t="e">
        <f>+L274</f>
        <v>#VALUE!</v>
      </c>
      <c r="M275" s="115" t="e">
        <f>I275*L275</f>
        <v>#VALUE!</v>
      </c>
      <c r="N275" s="118" t="e">
        <f>M275^2</f>
        <v>#VALUE!</v>
      </c>
      <c r="O275" s="116">
        <v>100</v>
      </c>
      <c r="P275" s="117" t="e">
        <f>N275^2/O275</f>
        <v>#VALUE!</v>
      </c>
      <c r="U275" s="37"/>
    </row>
    <row r="276" spans="1:22" ht="13.5" thickBot="1" x14ac:dyDescent="0.25">
      <c r="A276" s="221"/>
      <c r="B276" s="222"/>
      <c r="C276" s="223" t="s">
        <v>182</v>
      </c>
      <c r="D276" s="325"/>
      <c r="E276" s="222" t="s">
        <v>221</v>
      </c>
      <c r="F276" s="224" t="s">
        <v>226</v>
      </c>
      <c r="G276" s="222">
        <v>0.1</v>
      </c>
      <c r="H276" s="224" t="s">
        <v>228</v>
      </c>
      <c r="I276" s="225">
        <f>G276/SQRT(12)</f>
        <v>2.8867513459481291E-2</v>
      </c>
      <c r="J276" s="222"/>
      <c r="K276" s="226" t="s">
        <v>235</v>
      </c>
      <c r="L276" s="334" t="e">
        <f>+L274</f>
        <v>#VALUE!</v>
      </c>
      <c r="M276" s="235" t="e">
        <f>I276*L276</f>
        <v>#VALUE!</v>
      </c>
      <c r="N276" s="239" t="e">
        <f>M276^2</f>
        <v>#VALUE!</v>
      </c>
      <c r="O276" s="240">
        <v>100</v>
      </c>
      <c r="P276" s="238" t="e">
        <f>N276^2/O276</f>
        <v>#VALUE!</v>
      </c>
      <c r="U276" s="37"/>
    </row>
    <row r="277" spans="1:22" x14ac:dyDescent="0.2">
      <c r="A277" s="241" t="s">
        <v>209</v>
      </c>
      <c r="B277" s="227" t="s">
        <v>210</v>
      </c>
      <c r="C277" s="206"/>
      <c r="D277" s="337" t="str">
        <f>+'DATOS GENERALES'!$K$128</f>
        <v xml:space="preserve"> </v>
      </c>
      <c r="E277" s="206"/>
      <c r="F277" s="228"/>
      <c r="G277" s="206"/>
      <c r="H277" s="228"/>
      <c r="I277" s="229"/>
      <c r="J277" s="206"/>
      <c r="K277" s="230"/>
      <c r="L277" s="261"/>
      <c r="M277" s="242"/>
      <c r="N277" s="242"/>
      <c r="O277" s="242"/>
      <c r="P277" s="243"/>
      <c r="U277" s="37"/>
    </row>
    <row r="278" spans="1:22" x14ac:dyDescent="0.2">
      <c r="A278" s="208"/>
      <c r="B278" s="209"/>
      <c r="C278" s="211" t="s">
        <v>204</v>
      </c>
      <c r="D278" s="209"/>
      <c r="E278" s="209" t="s">
        <v>66</v>
      </c>
      <c r="F278" s="213" t="s">
        <v>61</v>
      </c>
      <c r="G278" s="209">
        <f>G217</f>
        <v>0.44000000663041522</v>
      </c>
      <c r="H278" s="213" t="s">
        <v>229</v>
      </c>
      <c r="I278" s="214">
        <f>G278/2</f>
        <v>0.22000000331520761</v>
      </c>
      <c r="J278" s="209"/>
      <c r="K278" s="215" t="s">
        <v>236</v>
      </c>
      <c r="L278" s="283" t="e">
        <f>('DATOS GENERALES'!$C$144-'DATOS GENERALES'!$A$144)/('DATOS GENERALES'!$O$144^2)*(0.34844/(AVERAGE('DATOS CORRECCIONES EQUIPOS EMPL'!E86:E95)+20)/1000)</f>
        <v>#VALUE!</v>
      </c>
      <c r="M278" s="235" t="e">
        <f>I278*L278</f>
        <v>#VALUE!</v>
      </c>
      <c r="N278" s="239" t="e">
        <f>M278^2</f>
        <v>#VALUE!</v>
      </c>
      <c r="O278" s="237">
        <v>50</v>
      </c>
      <c r="P278" s="238" t="e">
        <f>N278^2/O278</f>
        <v>#VALUE!</v>
      </c>
      <c r="Q278" s="120"/>
      <c r="U278" s="37"/>
    </row>
    <row r="279" spans="1:22" x14ac:dyDescent="0.2">
      <c r="A279" s="99"/>
      <c r="C279" s="100" t="s">
        <v>211</v>
      </c>
      <c r="E279" t="s">
        <v>222</v>
      </c>
      <c r="F279" s="102" t="s">
        <v>61</v>
      </c>
      <c r="G279">
        <f>MIN('DATOS GENERALES'!K191:L200)-MAX('DATOS GENERALES'!K191:L200)</f>
        <v>0</v>
      </c>
      <c r="H279" s="102" t="s">
        <v>228</v>
      </c>
      <c r="I279" s="37">
        <f>G279/SQRT(12)</f>
        <v>0</v>
      </c>
      <c r="K279" s="104" t="s">
        <v>236</v>
      </c>
      <c r="L279" s="409" t="e">
        <f>+L278</f>
        <v>#VALUE!</v>
      </c>
      <c r="M279" s="115" t="e">
        <f>I279*L279</f>
        <v>#VALUE!</v>
      </c>
      <c r="N279" s="118" t="e">
        <f>M279^2</f>
        <v>#VALUE!</v>
      </c>
      <c r="O279" s="116">
        <v>100</v>
      </c>
      <c r="P279" s="117" t="e">
        <f>N279^2/O279</f>
        <v>#VALUE!</v>
      </c>
      <c r="U279" s="37"/>
    </row>
    <row r="280" spans="1:22" ht="13.5" thickBot="1" x14ac:dyDescent="0.25">
      <c r="A280" s="221"/>
      <c r="B280" s="222"/>
      <c r="C280" s="223" t="s">
        <v>182</v>
      </c>
      <c r="D280" s="222"/>
      <c r="E280" s="222" t="s">
        <v>221</v>
      </c>
      <c r="F280" s="224" t="s">
        <v>61</v>
      </c>
      <c r="G280" s="222">
        <f>G219</f>
        <v>1</v>
      </c>
      <c r="H280" s="224" t="s">
        <v>228</v>
      </c>
      <c r="I280" s="225">
        <f>G280/SQRT(12)</f>
        <v>0.28867513459481292</v>
      </c>
      <c r="J280" s="222"/>
      <c r="K280" s="226" t="s">
        <v>236</v>
      </c>
      <c r="L280" s="410" t="e">
        <f>+L278</f>
        <v>#VALUE!</v>
      </c>
      <c r="M280" s="235" t="e">
        <f>I280*L280</f>
        <v>#VALUE!</v>
      </c>
      <c r="N280" s="239" t="e">
        <f>M280^2</f>
        <v>#VALUE!</v>
      </c>
      <c r="O280" s="240">
        <v>100</v>
      </c>
      <c r="P280" s="238" t="e">
        <f>N280^2/O280</f>
        <v>#VALUE!</v>
      </c>
      <c r="U280" s="37"/>
    </row>
    <row r="281" spans="1:22" x14ac:dyDescent="0.2">
      <c r="A281" s="205">
        <v>3</v>
      </c>
      <c r="B281" s="227" t="s">
        <v>382</v>
      </c>
      <c r="C281" s="206"/>
      <c r="D281" s="206" t="e">
        <f>'Certificado de calibración'!M96</f>
        <v>#VALUE!</v>
      </c>
      <c r="E281" s="206"/>
      <c r="F281" s="228"/>
      <c r="G281" s="206"/>
      <c r="H281" s="228"/>
      <c r="I281" s="229"/>
      <c r="J281" s="206"/>
      <c r="K281" s="230"/>
      <c r="L281" s="229"/>
      <c r="M281" s="206"/>
      <c r="N281" s="206"/>
      <c r="O281" s="206"/>
      <c r="P281" s="207"/>
      <c r="U281" s="37"/>
    </row>
    <row r="282" spans="1:22" x14ac:dyDescent="0.2">
      <c r="A282" s="219" t="s">
        <v>215</v>
      </c>
      <c r="B282" s="232"/>
      <c r="C282" s="211" t="s">
        <v>214</v>
      </c>
      <c r="D282" s="232"/>
      <c r="E282" s="232" t="str">
        <f>E221</f>
        <v>TANAKA</v>
      </c>
      <c r="F282" s="213" t="s">
        <v>225</v>
      </c>
      <c r="G282" s="283">
        <f>IF(E282="kell",SQRT((SQRT(G284^2+G285^2+G286^2)*Q263)^2),0.00000083)</f>
        <v>8.2999999999999999E-7</v>
      </c>
      <c r="H282" s="102" t="s">
        <v>228</v>
      </c>
      <c r="I282" s="234">
        <f>IF(E282="Kell",G282/SQRT(3),G282/2)</f>
        <v>4.15E-7</v>
      </c>
      <c r="J282" s="232"/>
      <c r="K282" s="215" t="s">
        <v>234</v>
      </c>
      <c r="L282" s="283" t="e">
        <f>IF(E282="Kell",-(('DATOS GENERALES'!$A$144-'DATOS GENERALES'!$C$144)/('DATOS GENERALES'!$O$144^2))*'DATOS GENERALES'!U144,((-'DATOS GENERALES'!Q144/1000)/(D281-D266)))</f>
        <v>#VALUE!</v>
      </c>
      <c r="M282" s="216" t="e">
        <f>I282*L282</f>
        <v>#VALUE!</v>
      </c>
      <c r="N282" s="217" t="e">
        <f>M282^2</f>
        <v>#VALUE!</v>
      </c>
      <c r="O282" s="209">
        <v>100</v>
      </c>
      <c r="P282" s="218" t="e">
        <f>N282^2/O282</f>
        <v>#VALUE!</v>
      </c>
      <c r="Q282" s="120"/>
      <c r="U282" s="37"/>
    </row>
    <row r="283" spans="1:22" x14ac:dyDescent="0.2">
      <c r="A283" s="99"/>
      <c r="C283" s="100" t="s">
        <v>238</v>
      </c>
      <c r="D283" t="e">
        <f>AVERAGE('DATOS CORRECCIONES EQUIPOS EMPL'!E86:E95)</f>
        <v>#VALUE!</v>
      </c>
      <c r="F283" s="101"/>
      <c r="H283" s="101"/>
      <c r="I283" s="37"/>
      <c r="K283" s="103"/>
      <c r="L283" s="37"/>
      <c r="U283" s="37"/>
    </row>
    <row r="284" spans="1:22" x14ac:dyDescent="0.2">
      <c r="A284" s="208"/>
      <c r="B284" s="209"/>
      <c r="C284" s="211" t="s">
        <v>204</v>
      </c>
      <c r="D284" s="209"/>
      <c r="E284" s="209" t="s">
        <v>66</v>
      </c>
      <c r="F284" s="213" t="s">
        <v>23</v>
      </c>
      <c r="G284" s="209">
        <f>G223</f>
        <v>5.3999999999999999E-2</v>
      </c>
      <c r="H284" s="213" t="s">
        <v>229</v>
      </c>
      <c r="I284" s="214">
        <f>G284/2</f>
        <v>2.7E-2</v>
      </c>
      <c r="J284" s="209"/>
      <c r="K284" s="215" t="s">
        <v>234</v>
      </c>
      <c r="L284" s="236" t="e">
        <f>+L282</f>
        <v>#VALUE!</v>
      </c>
      <c r="M284" s="235" t="e">
        <f>I284*L284</f>
        <v>#VALUE!</v>
      </c>
      <c r="N284" s="239" t="e">
        <f>M284^2</f>
        <v>#VALUE!</v>
      </c>
      <c r="O284" s="237">
        <v>50</v>
      </c>
      <c r="P284" s="238" t="e">
        <f>N284^2/O284</f>
        <v>#VALUE!</v>
      </c>
      <c r="U284" s="37"/>
    </row>
    <row r="285" spans="1:22" x14ac:dyDescent="0.2">
      <c r="A285" s="99"/>
      <c r="C285" s="100" t="s">
        <v>213</v>
      </c>
      <c r="E285" t="s">
        <v>222</v>
      </c>
      <c r="F285" s="102" t="s">
        <v>23</v>
      </c>
      <c r="G285">
        <f>MIN('DATOS GENERALES'!E134:F143)-MAX('DATOS GENERALES'!E134:F143)</f>
        <v>0</v>
      </c>
      <c r="H285" s="102" t="s">
        <v>228</v>
      </c>
      <c r="I285" s="37">
        <f>G285/SQRT(12)</f>
        <v>0</v>
      </c>
      <c r="K285" s="104" t="s">
        <v>234</v>
      </c>
      <c r="L285" s="409" t="e">
        <f>+L284</f>
        <v>#VALUE!</v>
      </c>
      <c r="M285" s="115" t="e">
        <f>I285*L285</f>
        <v>#VALUE!</v>
      </c>
      <c r="N285" s="118" t="e">
        <f>M285^2</f>
        <v>#VALUE!</v>
      </c>
      <c r="O285" s="116">
        <v>100</v>
      </c>
      <c r="P285" s="117" t="e">
        <f>N285^2/O285</f>
        <v>#VALUE!</v>
      </c>
      <c r="U285" s="37"/>
    </row>
    <row r="286" spans="1:22" ht="13.5" thickBot="1" x14ac:dyDescent="0.25">
      <c r="A286" s="208"/>
      <c r="B286" s="209"/>
      <c r="C286" s="211" t="s">
        <v>182</v>
      </c>
      <c r="D286" s="209"/>
      <c r="E286" s="209" t="s">
        <v>221</v>
      </c>
      <c r="F286" s="213" t="s">
        <v>23</v>
      </c>
      <c r="G286" s="222">
        <f>G225</f>
        <v>0.01</v>
      </c>
      <c r="H286" s="213" t="s">
        <v>228</v>
      </c>
      <c r="I286" s="214">
        <f>G286/SQRT(12)</f>
        <v>2.886751345948129E-3</v>
      </c>
      <c r="J286" s="209"/>
      <c r="K286" s="215" t="s">
        <v>234</v>
      </c>
      <c r="L286" s="236" t="e">
        <f>+L285</f>
        <v>#VALUE!</v>
      </c>
      <c r="M286" s="235" t="e">
        <f>I286*L286</f>
        <v>#VALUE!</v>
      </c>
      <c r="N286" s="239" t="e">
        <f>M286^2</f>
        <v>#VALUE!</v>
      </c>
      <c r="O286" s="237">
        <v>100</v>
      </c>
      <c r="P286" s="238" t="e">
        <f>N286^2/O286</f>
        <v>#VALUE!</v>
      </c>
      <c r="U286" s="37"/>
    </row>
    <row r="287" spans="1:22" ht="13.5" thickBot="1" x14ac:dyDescent="0.25">
      <c r="A287" s="244">
        <v>4</v>
      </c>
      <c r="B287" s="245" t="s">
        <v>216</v>
      </c>
      <c r="C287" s="246"/>
      <c r="D287" s="246">
        <f>'DATOS GENERALES'!$R$21</f>
        <v>7.96</v>
      </c>
      <c r="E287" s="246" t="s">
        <v>223</v>
      </c>
      <c r="F287" s="247"/>
      <c r="G287" s="246">
        <f>'Chequeo Balanza '!N13</f>
        <v>3.3000000000000003E-5</v>
      </c>
      <c r="H287" s="248" t="s">
        <v>230</v>
      </c>
      <c r="I287" s="252">
        <f>G287/SQRT(12)</f>
        <v>9.5262794416288263E-6</v>
      </c>
      <c r="J287" s="246"/>
      <c r="K287" s="250" t="s">
        <v>237</v>
      </c>
      <c r="L287" s="257">
        <v>1</v>
      </c>
      <c r="M287" s="251">
        <f>I287*L287</f>
        <v>9.5262794416288263E-6</v>
      </c>
      <c r="N287" s="252">
        <f>M287^2</f>
        <v>9.0750000000000023E-11</v>
      </c>
      <c r="O287" s="246">
        <v>100</v>
      </c>
      <c r="P287" s="253">
        <f>N287^2/O287</f>
        <v>8.2355625000000033E-23</v>
      </c>
      <c r="U287" s="37"/>
      <c r="V287">
        <v>4</v>
      </c>
    </row>
    <row r="288" spans="1:22" ht="13.5" thickBot="1" x14ac:dyDescent="0.25">
      <c r="A288" s="244">
        <v>5</v>
      </c>
      <c r="B288" s="245" t="s">
        <v>217</v>
      </c>
      <c r="C288" s="246"/>
      <c r="D288" s="254">
        <f>$D$44</f>
        <v>20.983065402808371</v>
      </c>
      <c r="E288" s="246"/>
      <c r="F288" s="247"/>
      <c r="G288" s="246"/>
      <c r="H288" s="248"/>
      <c r="I288" s="249"/>
      <c r="J288" s="246"/>
      <c r="K288" s="250"/>
      <c r="L288" s="257"/>
      <c r="M288" s="251"/>
      <c r="N288" s="252"/>
      <c r="O288" s="246"/>
      <c r="P288" s="253"/>
      <c r="U288" s="37"/>
    </row>
    <row r="289" spans="1:21" x14ac:dyDescent="0.2">
      <c r="A289" s="208"/>
      <c r="B289" s="209"/>
      <c r="C289" s="211" t="s">
        <v>204</v>
      </c>
      <c r="D289" s="209"/>
      <c r="E289" s="209" t="s">
        <v>66</v>
      </c>
      <c r="F289" s="213" t="s">
        <v>23</v>
      </c>
      <c r="G289" s="314">
        <f>G228</f>
        <v>0.27981562539672206</v>
      </c>
      <c r="H289" s="213" t="s">
        <v>229</v>
      </c>
      <c r="I289" s="217">
        <f>G289/2</f>
        <v>0.13990781269836103</v>
      </c>
      <c r="J289" s="209"/>
      <c r="K289" s="215" t="s">
        <v>234</v>
      </c>
      <c r="L289" s="344" t="e">
        <f>-(('DATOS GENERALES'!$A$144-'DATOS GENERALES'!$C$144)/'DATOS GENERALES'!$R$21)*('DATOS GENERALES'!$R$21-'DATOS GENERALES'!$M$144)/('DATOS GENERALES'!O$144-'DATOS GENERALES'!$M$144)*'DATOS GENERALES'!$F$22</f>
        <v>#VALUE!</v>
      </c>
      <c r="M289" s="235" t="e">
        <f t="shared" ref="M289:M295" si="53">I289*L289</f>
        <v>#VALUE!</v>
      </c>
      <c r="N289" s="239" t="e">
        <f t="shared" ref="N289:N295" si="54">M289^2</f>
        <v>#VALUE!</v>
      </c>
      <c r="O289" s="237">
        <v>50</v>
      </c>
      <c r="P289" s="238" t="e">
        <f t="shared" ref="P289:P295" si="55">N289^2/O289</f>
        <v>#VALUE!</v>
      </c>
      <c r="U289" s="37"/>
    </row>
    <row r="290" spans="1:21" x14ac:dyDescent="0.2">
      <c r="A290" s="99"/>
      <c r="C290" s="100" t="s">
        <v>218</v>
      </c>
      <c r="E290" t="s">
        <v>222</v>
      </c>
      <c r="F290" s="102" t="s">
        <v>23</v>
      </c>
      <c r="G290" s="1">
        <f>G229</f>
        <v>0.30318386709497602</v>
      </c>
      <c r="H290" s="102" t="s">
        <v>228</v>
      </c>
      <c r="I290" s="121">
        <f>G290/SQRT(12)</f>
        <v>8.7521643640618069E-2</v>
      </c>
      <c r="K290" s="104" t="s">
        <v>234</v>
      </c>
      <c r="L290" s="409" t="e">
        <f>+L289</f>
        <v>#VALUE!</v>
      </c>
      <c r="M290" s="115" t="e">
        <f t="shared" si="53"/>
        <v>#VALUE!</v>
      </c>
      <c r="N290" s="118" t="e">
        <f t="shared" si="54"/>
        <v>#VALUE!</v>
      </c>
      <c r="O290" s="116">
        <v>100</v>
      </c>
      <c r="P290" s="117" t="e">
        <f t="shared" si="55"/>
        <v>#VALUE!</v>
      </c>
      <c r="U290" s="37"/>
    </row>
    <row r="291" spans="1:21" ht="13.5" thickBot="1" x14ac:dyDescent="0.25">
      <c r="A291" s="221"/>
      <c r="B291" s="222"/>
      <c r="C291" s="223" t="s">
        <v>182</v>
      </c>
      <c r="D291" s="222"/>
      <c r="E291" s="222" t="s">
        <v>221</v>
      </c>
      <c r="F291" s="224" t="s">
        <v>23</v>
      </c>
      <c r="G291" s="314">
        <f>G230</f>
        <v>0.1</v>
      </c>
      <c r="H291" s="224" t="s">
        <v>228</v>
      </c>
      <c r="I291" s="591">
        <f>G291/SQRT(12)</f>
        <v>2.8867513459481291E-2</v>
      </c>
      <c r="J291" s="222"/>
      <c r="K291" s="226" t="s">
        <v>234</v>
      </c>
      <c r="L291" s="236" t="e">
        <f>+L290</f>
        <v>#VALUE!</v>
      </c>
      <c r="M291" s="235" t="e">
        <f t="shared" si="53"/>
        <v>#VALUE!</v>
      </c>
      <c r="N291" s="239" t="e">
        <f t="shared" si="54"/>
        <v>#VALUE!</v>
      </c>
      <c r="O291" s="240">
        <v>100</v>
      </c>
      <c r="P291" s="238" t="e">
        <f t="shared" si="55"/>
        <v>#VALUE!</v>
      </c>
      <c r="U291" s="37"/>
    </row>
    <row r="292" spans="1:21" ht="13.5" thickBot="1" x14ac:dyDescent="0.25">
      <c r="A292" s="221"/>
      <c r="B292" s="222"/>
      <c r="C292" s="223"/>
      <c r="D292" s="222"/>
      <c r="E292" s="222"/>
      <c r="F292" s="224"/>
      <c r="G292" s="314"/>
      <c r="H292" s="224"/>
      <c r="I292" s="591"/>
      <c r="J292" s="222"/>
      <c r="K292" s="226"/>
      <c r="L292" s="236"/>
      <c r="M292" s="235"/>
      <c r="N292" s="239"/>
      <c r="O292" s="240"/>
      <c r="P292" s="238"/>
      <c r="U292" s="37"/>
    </row>
    <row r="293" spans="1:21" ht="26.25" thickBot="1" x14ac:dyDescent="0.25">
      <c r="A293" s="244">
        <v>6</v>
      </c>
      <c r="B293" s="255" t="s">
        <v>219</v>
      </c>
      <c r="C293" s="246"/>
      <c r="D293" s="246">
        <f>'DATOS GENERALES'!$F$22</f>
        <v>2.4000000000000001E-4</v>
      </c>
      <c r="E293" s="256" t="s">
        <v>224</v>
      </c>
      <c r="F293" s="247"/>
      <c r="G293" s="281">
        <f>D293</f>
        <v>2.4000000000000001E-4</v>
      </c>
      <c r="H293" s="248" t="s">
        <v>228</v>
      </c>
      <c r="I293" s="257">
        <f>G293/SQRT(12)</f>
        <v>6.9282032302755094E-5</v>
      </c>
      <c r="J293" s="246"/>
      <c r="K293" s="250" t="s">
        <v>234</v>
      </c>
      <c r="L293" s="258" t="e">
        <f>-(('DATOS GENERALES'!$A$144-'DATOS GENERALES'!$C$144)/('DATOS GENERALES'!$O$144))*(AVERAGE('DATOS CORRECCIONES EQUIPOS EMPL'!E86:E95)-20)</f>
        <v>#VALUE!</v>
      </c>
      <c r="M293" s="258" t="e">
        <f t="shared" si="53"/>
        <v>#VALUE!</v>
      </c>
      <c r="N293" s="258" t="e">
        <f t="shared" si="54"/>
        <v>#VALUE!</v>
      </c>
      <c r="O293" s="259">
        <v>100</v>
      </c>
      <c r="P293" s="260" t="e">
        <f t="shared" si="55"/>
        <v>#VALUE!</v>
      </c>
      <c r="U293" s="37"/>
    </row>
    <row r="294" spans="1:21" ht="13.5" thickBot="1" x14ac:dyDescent="0.25">
      <c r="A294" s="244">
        <v>7</v>
      </c>
      <c r="B294" s="255" t="s">
        <v>254</v>
      </c>
      <c r="C294" s="246"/>
      <c r="D294" s="246"/>
      <c r="E294" s="245" t="s">
        <v>220</v>
      </c>
      <c r="F294" s="248" t="s">
        <v>256</v>
      </c>
      <c r="G294" s="263">
        <f>+$Q$65</f>
        <v>-3.0052770464246936E-5</v>
      </c>
      <c r="H294" s="248" t="s">
        <v>255</v>
      </c>
      <c r="I294" s="257">
        <f>G294/SQRT(12)</f>
        <v>-8.6754875587135026E-6</v>
      </c>
      <c r="J294" s="246"/>
      <c r="K294" s="250" t="s">
        <v>351</v>
      </c>
      <c r="L294" s="246">
        <v>1</v>
      </c>
      <c r="M294" s="258">
        <f t="shared" si="53"/>
        <v>-8.6754875587135026E-6</v>
      </c>
      <c r="N294" s="261">
        <f t="shared" si="54"/>
        <v>7.5264084381392765E-11</v>
      </c>
      <c r="O294" s="259">
        <v>100</v>
      </c>
      <c r="P294" s="262">
        <f t="shared" si="55"/>
        <v>5.6646823977694104E-23</v>
      </c>
      <c r="U294" s="37"/>
    </row>
    <row r="295" spans="1:21" ht="13.5" thickBot="1" x14ac:dyDescent="0.25">
      <c r="A295" s="244">
        <v>8</v>
      </c>
      <c r="B295" s="255" t="s">
        <v>311</v>
      </c>
      <c r="C295" s="246"/>
      <c r="D295" s="246"/>
      <c r="E295" s="246"/>
      <c r="F295" s="248" t="s">
        <v>227</v>
      </c>
      <c r="G295" s="246" t="e">
        <f>STDEV('DATOS GENERALES'!Q134:R143)/1000</f>
        <v>#VALUE!</v>
      </c>
      <c r="H295" s="248" t="s">
        <v>232</v>
      </c>
      <c r="I295" s="257" t="e">
        <f>G295/SQRT(10)</f>
        <v>#VALUE!</v>
      </c>
      <c r="J295" s="246"/>
      <c r="K295" s="250" t="str">
        <f>+K294</f>
        <v>cm³</v>
      </c>
      <c r="L295" s="246">
        <v>1</v>
      </c>
      <c r="M295" s="258" t="e">
        <f t="shared" si="53"/>
        <v>#VALUE!</v>
      </c>
      <c r="N295" s="261" t="e">
        <f t="shared" si="54"/>
        <v>#VALUE!</v>
      </c>
      <c r="O295" s="259">
        <v>9</v>
      </c>
      <c r="P295" s="262" t="e">
        <f t="shared" si="55"/>
        <v>#VALUE!</v>
      </c>
      <c r="U295" s="37"/>
    </row>
    <row r="296" spans="1:21" ht="13.5" thickBot="1" x14ac:dyDescent="0.25">
      <c r="A296" s="244"/>
      <c r="B296" s="471" t="s">
        <v>448</v>
      </c>
      <c r="C296" s="246"/>
      <c r="D296" s="472">
        <f>IF('DATOS GENERALES'!$N$21='DATOS GENERALES'!$H$165,D253/1000,IF('DATOS GENERALES'!$N$21='DATOS GENERALES'!$H$164,D253,IF('DATOS GENERALES'!$N$21='DATOS GENERALES'!$H$166,D253*1000)))*0</f>
        <v>0</v>
      </c>
      <c r="E296" s="246"/>
      <c r="F296" s="248" t="s">
        <v>227</v>
      </c>
      <c r="G296" s="246">
        <f>IF('DATOS GENERALES'!$F$24="DKD",IF(AND('DATOS GENERALES'!$D$25="Si",'DATOS GENERALES'!$D$24="Fijo"),0.07*D296/100,IF('DATOS GENERALES'!$D$25="No",0,0.1*D296/100)),IF(AND('DATOS GENERALES'!$D$25="Si",'DATOS GENERALES'!$D$24="Fijo"),0.07*D296/100,IF('DATOS GENERALES'!$D$25="No",0,0.1*D296/100))*0)</f>
        <v>0</v>
      </c>
      <c r="H296" s="248" t="s">
        <v>255</v>
      </c>
      <c r="I296" s="257">
        <f>G296/SQRT(12)</f>
        <v>0</v>
      </c>
      <c r="J296" s="246"/>
      <c r="K296" s="250" t="str">
        <f>+K295</f>
        <v>cm³</v>
      </c>
      <c r="L296" s="246">
        <v>1</v>
      </c>
      <c r="M296" s="312">
        <f t="shared" ref="M296:M303" si="56">I296*L296</f>
        <v>0</v>
      </c>
      <c r="N296" s="261">
        <f t="shared" ref="N296:N303" si="57">M296^2</f>
        <v>0</v>
      </c>
      <c r="O296" s="259">
        <v>100</v>
      </c>
      <c r="P296" s="262">
        <f t="shared" ref="P296:P303" si="58">N296^2/O296</f>
        <v>0</v>
      </c>
      <c r="R296" s="154"/>
      <c r="S296" s="306"/>
      <c r="T296" s="154"/>
      <c r="U296" s="3"/>
    </row>
    <row r="297" spans="1:21" ht="13.5" thickBot="1" x14ac:dyDescent="0.25">
      <c r="A297" s="244"/>
      <c r="B297" s="471" t="s">
        <v>449</v>
      </c>
      <c r="C297" s="246"/>
      <c r="D297" s="246">
        <f>IF('DATOS GENERALES'!$T$19='DATOS GENERALES'!$H$165,'DATOS GENERALES'!$P$19/1000,IF('DATOS GENERALES'!$T$19='DATOS GENERALES'!$H$164,'DATOS GENERALES'!$P$19,IF('DATOS GENERALES'!$T$19='DATOS GENERALES'!$H$166,'DATOS GENERALES'!$P$19*1000)))*0</f>
        <v>0</v>
      </c>
      <c r="E297" s="246"/>
      <c r="F297" s="248" t="s">
        <v>227</v>
      </c>
      <c r="G297" s="246">
        <f>IF(AND('DATOS GENERALES'!$E$26="Si",'DATOS GENERALES'!$D$24="Variable"),D297,0)</f>
        <v>0</v>
      </c>
      <c r="H297" s="248" t="s">
        <v>255</v>
      </c>
      <c r="I297" s="257">
        <f>G297/SQRT(12)</f>
        <v>0</v>
      </c>
      <c r="J297" s="246"/>
      <c r="K297" s="250" t="str">
        <f>+K296</f>
        <v>cm³</v>
      </c>
      <c r="L297" s="246">
        <v>1</v>
      </c>
      <c r="M297" s="312">
        <f t="shared" si="56"/>
        <v>0</v>
      </c>
      <c r="N297" s="261">
        <f t="shared" si="57"/>
        <v>0</v>
      </c>
      <c r="O297" s="259">
        <v>100</v>
      </c>
      <c r="P297" s="262">
        <f t="shared" si="58"/>
        <v>0</v>
      </c>
      <c r="R297" s="154"/>
      <c r="S297" s="306"/>
      <c r="T297" s="154"/>
      <c r="U297" s="3"/>
    </row>
    <row r="298" spans="1:21" ht="13.5" thickBot="1" x14ac:dyDescent="0.25">
      <c r="A298" s="244"/>
      <c r="B298" s="699" t="s">
        <v>582</v>
      </c>
      <c r="C298" s="246"/>
      <c r="D298" s="246">
        <f>IF('DATOS GENERALES'!$T$19='DATOS GENERALES'!$H$165,'DATOS GENERALES'!$P$19/1000,IF('DATOS GENERALES'!$T$19='DATOS GENERALES'!$H$164,'DATOS GENERALES'!$P$19,IF('DATOS GENERALES'!$T$19='DATOS GENERALES'!$H$166,'DATOS GENERALES'!$P$19*1000)))</f>
        <v>1E-3</v>
      </c>
      <c r="E298" s="246"/>
      <c r="F298" s="248" t="s">
        <v>227</v>
      </c>
      <c r="G298" s="246">
        <f>IF('DATOS GENERALES'!$C$17="",0,IF(AND(ISNUMBER(SEARCH("digital",'DATOS GENERALES'!$C$17)),'DATOS GENERALES'!$D$24="Variable"),0,IF('DATOS GENERALES'!$D$24="Fijo",0,D298)))</f>
        <v>1E-3</v>
      </c>
      <c r="H298" s="248" t="s">
        <v>255</v>
      </c>
      <c r="I298" s="257">
        <f>G298/SQRT(12)</f>
        <v>2.886751345948129E-4</v>
      </c>
      <c r="J298" s="246"/>
      <c r="K298" s="250" t="str">
        <f>+K297</f>
        <v>cm³</v>
      </c>
      <c r="L298" s="246">
        <v>1</v>
      </c>
      <c r="M298" s="312">
        <f t="shared" si="56"/>
        <v>2.886751345948129E-4</v>
      </c>
      <c r="N298" s="261">
        <f t="shared" si="57"/>
        <v>8.3333333333333338E-8</v>
      </c>
      <c r="O298" s="259">
        <v>100</v>
      </c>
      <c r="P298" s="262">
        <f t="shared" si="58"/>
        <v>6.944444444444445E-17</v>
      </c>
      <c r="R298" s="154"/>
      <c r="S298" s="306"/>
      <c r="T298" s="154"/>
      <c r="U298" s="3"/>
    </row>
    <row r="299" spans="1:21" ht="13.5" thickBot="1" x14ac:dyDescent="0.25">
      <c r="A299" s="244"/>
      <c r="B299" s="471" t="s">
        <v>450</v>
      </c>
      <c r="C299" s="246"/>
      <c r="D299" s="246">
        <v>0</v>
      </c>
      <c r="E299" s="246"/>
      <c r="F299" s="248" t="s">
        <v>227</v>
      </c>
      <c r="G299" s="246">
        <f>D299</f>
        <v>0</v>
      </c>
      <c r="H299" s="248" t="s">
        <v>232</v>
      </c>
      <c r="I299" s="257">
        <f>G299/SQRT(40)</f>
        <v>0</v>
      </c>
      <c r="J299" s="246"/>
      <c r="K299" s="250" t="str">
        <f>+K297</f>
        <v>cm³</v>
      </c>
      <c r="L299" s="246">
        <v>1</v>
      </c>
      <c r="M299" s="312">
        <f t="shared" si="56"/>
        <v>0</v>
      </c>
      <c r="N299" s="261">
        <f t="shared" si="57"/>
        <v>0</v>
      </c>
      <c r="O299" s="259">
        <v>39</v>
      </c>
      <c r="P299" s="262">
        <f t="shared" si="58"/>
        <v>0</v>
      </c>
      <c r="R299" s="154"/>
      <c r="S299" s="306"/>
      <c r="T299" s="154"/>
      <c r="U299" s="3"/>
    </row>
    <row r="300" spans="1:21" ht="13.5" thickBot="1" x14ac:dyDescent="0.25">
      <c r="A300" s="244"/>
      <c r="B300" s="1571" t="s">
        <v>546</v>
      </c>
      <c r="C300" s="1571"/>
      <c r="D300" s="246"/>
      <c r="E300" s="246"/>
      <c r="F300" s="299"/>
      <c r="G300" s="246"/>
      <c r="H300" s="248"/>
      <c r="I300" s="257"/>
      <c r="J300" s="246"/>
      <c r="K300" s="250"/>
      <c r="L300" s="246"/>
      <c r="M300" s="312"/>
      <c r="N300" s="261"/>
      <c r="O300" s="259"/>
      <c r="P300" s="262"/>
      <c r="R300" s="154"/>
      <c r="S300" s="306"/>
      <c r="T300" s="154"/>
      <c r="U300" s="3"/>
    </row>
    <row r="301" spans="1:21" ht="13.5" thickBot="1" x14ac:dyDescent="0.25">
      <c r="A301" s="244"/>
      <c r="B301" s="594" t="s">
        <v>542</v>
      </c>
      <c r="C301" s="595"/>
      <c r="D301" s="246">
        <f>AVERAGE('DATOS GENERALES'!$A$53:$E$53:'DATOS GENERALES'!$F$53:$J$53)-D288</f>
        <v>-0.40879966022662728</v>
      </c>
      <c r="E301" s="246"/>
      <c r="F301" s="299" t="s">
        <v>23</v>
      </c>
      <c r="G301" s="246">
        <f>D301</f>
        <v>-0.40879966022662728</v>
      </c>
      <c r="H301" s="248" t="s">
        <v>255</v>
      </c>
      <c r="I301" s="257">
        <f>G301/SQRT(3)</f>
        <v>-0.23602059387647081</v>
      </c>
      <c r="J301" s="246"/>
      <c r="K301" s="250"/>
      <c r="L301" s="257" t="e">
        <f>-(('DATOS GENERALES'!$A$144-'DATOS GENERALES'!$C$144)/'DATOS GENERALES'!$R$21)*('DATOS GENERALES'!$R$21-'DATOS GENERALES'!$M$144)/('DATOS GENERALES'!O$144-'DATOS GENERALES'!$M$144)*'DATOS GENERALES'!$F$22</f>
        <v>#VALUE!</v>
      </c>
      <c r="M301" s="312" t="e">
        <f t="shared" si="56"/>
        <v>#VALUE!</v>
      </c>
      <c r="N301" s="261" t="e">
        <f t="shared" si="57"/>
        <v>#VALUE!</v>
      </c>
      <c r="O301" s="259">
        <v>100</v>
      </c>
      <c r="P301" s="262" t="e">
        <f t="shared" si="58"/>
        <v>#VALUE!</v>
      </c>
      <c r="R301" s="154"/>
      <c r="S301" s="306"/>
      <c r="T301" s="154"/>
      <c r="U301" s="3"/>
    </row>
    <row r="302" spans="1:21" ht="13.5" thickBot="1" x14ac:dyDescent="0.25">
      <c r="A302" s="244"/>
      <c r="B302" s="594" t="s">
        <v>540</v>
      </c>
      <c r="C302" s="595"/>
      <c r="D302" s="583" t="str">
        <f>D273</f>
        <v xml:space="preserve"> </v>
      </c>
      <c r="E302" s="246"/>
      <c r="F302" s="248" t="s">
        <v>226</v>
      </c>
      <c r="G302" s="585">
        <f>'DATOS GENERALES'!$P$46-'DATOS GENERALES'!$P$45</f>
        <v>1.6093765367299397</v>
      </c>
      <c r="H302" s="248" t="s">
        <v>255</v>
      </c>
      <c r="I302" s="257">
        <f t="shared" ref="I302" si="59">G302/SQRT(3)</f>
        <v>0.92917397670849844</v>
      </c>
      <c r="J302" s="246"/>
      <c r="K302" s="250"/>
      <c r="L302" s="257" t="e">
        <f>('DATOS GENERALES'!$C$144-'DATOS GENERALES'!$A$144)/'DATOS GENERALES'!$O$144^2*(-0.00000252*AVERAGE('DATOS CORRECCIONES EQUIPOS EMPL'!E86:E95)+0.000020582)/(AVERAGE('DATOS CORRECCIONES EQUIPOS EMPL'!E86:E95)+20)</f>
        <v>#VALUE!</v>
      </c>
      <c r="M302" s="312" t="e">
        <f t="shared" si="56"/>
        <v>#VALUE!</v>
      </c>
      <c r="N302" s="261" t="e">
        <f t="shared" si="57"/>
        <v>#VALUE!</v>
      </c>
      <c r="O302" s="259">
        <v>100</v>
      </c>
      <c r="P302" s="262" t="e">
        <f t="shared" si="58"/>
        <v>#VALUE!</v>
      </c>
      <c r="R302" s="154"/>
      <c r="S302" s="306"/>
      <c r="T302" s="154"/>
      <c r="U302" s="3"/>
    </row>
    <row r="303" spans="1:21" ht="13.5" thickBot="1" x14ac:dyDescent="0.25">
      <c r="A303" s="244"/>
      <c r="B303" s="594" t="s">
        <v>541</v>
      </c>
      <c r="C303" s="595"/>
      <c r="D303" s="584" t="str">
        <f>D277</f>
        <v xml:space="preserve"> </v>
      </c>
      <c r="E303" s="246"/>
      <c r="F303" s="213" t="s">
        <v>61</v>
      </c>
      <c r="G303" s="246">
        <v>20</v>
      </c>
      <c r="H303" s="248" t="s">
        <v>544</v>
      </c>
      <c r="I303" s="257">
        <f>G303/SQRT(6)</f>
        <v>8.1649658092772608</v>
      </c>
      <c r="J303" s="246"/>
      <c r="K303" s="250"/>
      <c r="L303" s="257" t="e">
        <f>('DATOS GENERALES'!$C$144-'DATOS GENERALES'!$A$144)/('DATOS GENERALES'!$O$144^2)*(0.34844/(AVERAGE('DATOS CORRECCIONES EQUIPOS EMPL'!E86:E95)+20)/1000)</f>
        <v>#VALUE!</v>
      </c>
      <c r="M303" s="312" t="e">
        <f t="shared" si="56"/>
        <v>#VALUE!</v>
      </c>
      <c r="N303" s="261" t="e">
        <f t="shared" si="57"/>
        <v>#VALUE!</v>
      </c>
      <c r="O303" s="259">
        <v>100</v>
      </c>
      <c r="P303" s="262" t="e">
        <f t="shared" si="58"/>
        <v>#VALUE!</v>
      </c>
      <c r="R303" s="154"/>
      <c r="S303" s="306"/>
      <c r="T303" s="154"/>
      <c r="U303" s="3"/>
    </row>
    <row r="304" spans="1:21" ht="13.5" thickBot="1" x14ac:dyDescent="0.25">
      <c r="A304" s="244"/>
      <c r="B304" s="255"/>
      <c r="C304" s="246"/>
      <c r="D304" s="246"/>
      <c r="E304" s="246"/>
      <c r="F304" s="248"/>
      <c r="G304" s="246"/>
      <c r="H304" s="248"/>
      <c r="I304" s="257"/>
      <c r="J304" s="246"/>
      <c r="K304" s="250"/>
      <c r="L304" s="246"/>
      <c r="M304" s="258"/>
      <c r="N304" s="470"/>
      <c r="O304" s="259"/>
      <c r="P304" s="262"/>
      <c r="U304" s="37"/>
    </row>
    <row r="305" spans="1:23" ht="13.5" thickBot="1" x14ac:dyDescent="0.25">
      <c r="A305" s="264"/>
      <c r="B305" s="265" t="s">
        <v>239</v>
      </c>
      <c r="C305" s="266"/>
      <c r="D305" s="266"/>
      <c r="E305" s="563" t="e">
        <f>M305</f>
        <v>#VALUE!</v>
      </c>
      <c r="F305" s="267" t="s">
        <v>227</v>
      </c>
      <c r="G305" s="266"/>
      <c r="H305" s="267" t="s">
        <v>231</v>
      </c>
      <c r="I305" s="268"/>
      <c r="J305" s="266"/>
      <c r="K305" s="269" t="s">
        <v>227</v>
      </c>
      <c r="L305" s="266"/>
      <c r="M305" s="590" t="e">
        <f>+SQRT(SUM(N253:N303))</f>
        <v>#VALUE!</v>
      </c>
      <c r="N305" s="231"/>
      <c r="O305" s="272" t="s">
        <v>244</v>
      </c>
      <c r="P305" s="282" t="e">
        <f>+POWER(M305,4)/SUM(P253:P303)</f>
        <v>#VALUE!</v>
      </c>
      <c r="Q305" s="37"/>
      <c r="U305" s="37"/>
    </row>
    <row r="306" spans="1:23" ht="13.5" thickBot="1" x14ac:dyDescent="0.25">
      <c r="A306" s="264"/>
      <c r="B306" s="265" t="s">
        <v>68</v>
      </c>
      <c r="C306" s="266"/>
      <c r="D306" s="266"/>
      <c r="E306" s="564" t="e">
        <f>P307</f>
        <v>#VALUE!</v>
      </c>
      <c r="F306" s="267" t="s">
        <v>227</v>
      </c>
      <c r="G306" s="266"/>
      <c r="H306" s="267" t="s">
        <v>231</v>
      </c>
      <c r="I306" s="268"/>
      <c r="J306" s="266"/>
      <c r="K306" s="269" t="s">
        <v>227</v>
      </c>
      <c r="L306" s="266"/>
      <c r="M306" s="586" t="e">
        <f>+M305*P306</f>
        <v>#VALUE!</v>
      </c>
      <c r="N306" s="1"/>
      <c r="O306" s="273"/>
      <c r="P306" s="587" t="e">
        <f>+TINV(0.0455,P305)</f>
        <v>#VALUE!</v>
      </c>
      <c r="U306" s="37"/>
    </row>
    <row r="307" spans="1:23" ht="13.5" thickBot="1" x14ac:dyDescent="0.25">
      <c r="A307" s="264"/>
      <c r="B307" s="265" t="s">
        <v>68</v>
      </c>
      <c r="C307" s="266"/>
      <c r="D307" s="266"/>
      <c r="E307" s="565" t="e">
        <f>M307</f>
        <v>#VALUE!</v>
      </c>
      <c r="F307" s="267" t="s">
        <v>226</v>
      </c>
      <c r="G307" s="266"/>
      <c r="H307" s="267" t="s">
        <v>231</v>
      </c>
      <c r="I307" s="268"/>
      <c r="J307" s="266"/>
      <c r="K307" s="269" t="s">
        <v>226</v>
      </c>
      <c r="L307" s="266"/>
      <c r="M307" s="271" t="e">
        <f>+P307/D253*100</f>
        <v>#VALUE!</v>
      </c>
      <c r="N307" s="1"/>
      <c r="O307" s="272" t="s">
        <v>245</v>
      </c>
      <c r="P307" s="287" t="e">
        <f>IF('DATOS GENERALES'!$N$21="µL",ROUND(M306,10)*1000,ROUND(M306,6))</f>
        <v>#VALUE!</v>
      </c>
      <c r="U307" s="37"/>
    </row>
    <row r="308" spans="1:23" x14ac:dyDescent="0.2">
      <c r="B308" s="209" t="str">
        <f>O305</f>
        <v>v EF</v>
      </c>
      <c r="C308" s="566" t="e">
        <f>P305</f>
        <v>#VALUE!</v>
      </c>
      <c r="D308" s="212" t="s">
        <v>495</v>
      </c>
      <c r="E308" s="567" t="e">
        <f>P306</f>
        <v>#VALUE!</v>
      </c>
    </row>
    <row r="313" spans="1:23" ht="20.25" x14ac:dyDescent="0.25">
      <c r="A313" s="1595" t="s">
        <v>766</v>
      </c>
      <c r="B313" s="1596"/>
      <c r="C313" s="1596"/>
      <c r="D313" s="1596"/>
      <c r="E313" s="1596"/>
      <c r="F313" s="1596"/>
      <c r="G313" s="1596"/>
      <c r="H313" s="1596"/>
      <c r="I313" s="1596"/>
      <c r="J313" s="1596"/>
      <c r="K313" s="1596"/>
      <c r="L313" s="1596"/>
      <c r="M313" s="1596"/>
      <c r="N313" s="1596"/>
      <c r="O313" s="1596"/>
      <c r="P313" s="1596"/>
      <c r="Q313" s="1596"/>
      <c r="R313" s="1596"/>
      <c r="S313" s="1596"/>
      <c r="T313" s="1596"/>
      <c r="U313" s="1596"/>
      <c r="V313" s="1597"/>
      <c r="W313" s="476"/>
    </row>
    <row r="314" spans="1:23" ht="15.75" customHeight="1" x14ac:dyDescent="0.25">
      <c r="A314" s="1594" t="s">
        <v>451</v>
      </c>
      <c r="B314" s="1594"/>
      <c r="C314" s="1594"/>
      <c r="D314" s="1594" t="s">
        <v>452</v>
      </c>
      <c r="E314" s="1594"/>
      <c r="F314" s="1594"/>
      <c r="G314" s="1594"/>
      <c r="H314" s="1594"/>
      <c r="I314" s="1594"/>
      <c r="J314" s="1594"/>
      <c r="K314" s="1594"/>
      <c r="L314" s="1594"/>
      <c r="M314" s="1594"/>
      <c r="N314" s="1594"/>
      <c r="O314" s="1594"/>
      <c r="P314" s="1594"/>
      <c r="Q314" s="1594"/>
      <c r="R314" s="1594"/>
      <c r="S314" s="1594" t="s">
        <v>453</v>
      </c>
      <c r="T314" s="1594"/>
      <c r="U314" s="1594"/>
      <c r="V314" s="1594"/>
      <c r="W314" s="476"/>
    </row>
    <row r="315" spans="1:23" ht="15.75" customHeight="1" x14ac:dyDescent="0.25">
      <c r="A315" s="1565">
        <v>3</v>
      </c>
      <c r="B315" s="1565"/>
      <c r="C315" s="1565"/>
      <c r="D315" s="1563" t="s">
        <v>767</v>
      </c>
      <c r="E315" s="1563"/>
      <c r="F315" s="1563"/>
      <c r="G315" s="1563"/>
      <c r="H315" s="1563"/>
      <c r="I315" s="1563"/>
      <c r="J315" s="1563"/>
      <c r="K315" s="1563"/>
      <c r="L315" s="1563"/>
      <c r="M315" s="1563"/>
      <c r="N315" s="1563"/>
      <c r="O315" s="1563"/>
      <c r="P315" s="1563"/>
      <c r="Q315" s="1563"/>
      <c r="R315" s="1563"/>
      <c r="S315" s="1564">
        <v>45482</v>
      </c>
      <c r="T315" s="1564"/>
      <c r="U315" s="1564"/>
      <c r="V315" s="1564"/>
      <c r="W315" s="477"/>
    </row>
    <row r="316" spans="1:23" ht="15.75" x14ac:dyDescent="0.25">
      <c r="A316" s="1565">
        <v>2</v>
      </c>
      <c r="B316" s="1565"/>
      <c r="C316" s="1565"/>
      <c r="D316" s="1563" t="s">
        <v>454</v>
      </c>
      <c r="E316" s="1563"/>
      <c r="F316" s="1563"/>
      <c r="G316" s="1563"/>
      <c r="H316" s="1563"/>
      <c r="I316" s="1563"/>
      <c r="J316" s="1563"/>
      <c r="K316" s="1563"/>
      <c r="L316" s="1563"/>
      <c r="M316" s="1563"/>
      <c r="N316" s="1563"/>
      <c r="O316" s="1563"/>
      <c r="P316" s="1563"/>
      <c r="Q316" s="1563"/>
      <c r="R316" s="1563"/>
      <c r="S316" s="1564">
        <v>44231</v>
      </c>
      <c r="T316" s="1564"/>
      <c r="U316" s="1564"/>
      <c r="V316" s="1564"/>
      <c r="W316" s="476"/>
    </row>
    <row r="317" spans="1:23" ht="15" x14ac:dyDescent="0.2">
      <c r="A317" s="1565" t="s">
        <v>259</v>
      </c>
      <c r="B317" s="1565"/>
      <c r="C317" s="1565"/>
      <c r="D317" s="1563" t="s">
        <v>455</v>
      </c>
      <c r="E317" s="1563"/>
      <c r="F317" s="1563"/>
      <c r="G317" s="1563"/>
      <c r="H317" s="1563"/>
      <c r="I317" s="1563"/>
      <c r="J317" s="1563"/>
      <c r="K317" s="1563"/>
      <c r="L317" s="1563"/>
      <c r="M317" s="1563"/>
      <c r="N317" s="1563"/>
      <c r="O317" s="1563"/>
      <c r="P317" s="1563"/>
      <c r="Q317" s="1563"/>
      <c r="R317" s="1563"/>
      <c r="S317" s="1564">
        <v>43665</v>
      </c>
      <c r="T317" s="1564"/>
      <c r="U317" s="1564"/>
      <c r="V317" s="1564"/>
    </row>
    <row r="318" spans="1:23" ht="15" x14ac:dyDescent="0.2">
      <c r="A318" s="1565"/>
      <c r="B318" s="1565"/>
      <c r="C318" s="1565"/>
      <c r="D318" s="1563"/>
      <c r="E318" s="1563"/>
      <c r="F318" s="1563"/>
      <c r="G318" s="1563"/>
      <c r="H318" s="1563"/>
      <c r="I318" s="1563"/>
      <c r="J318" s="1563"/>
      <c r="K318" s="1563"/>
      <c r="L318" s="1563"/>
      <c r="M318" s="1563"/>
      <c r="N318" s="1563"/>
      <c r="O318" s="1563"/>
      <c r="P318" s="1563"/>
      <c r="Q318" s="1563"/>
      <c r="R318" s="1563"/>
      <c r="S318" s="1564"/>
      <c r="T318" s="1564"/>
      <c r="U318" s="1564"/>
      <c r="V318" s="1564"/>
    </row>
    <row r="328" spans="1:27" s="475" customFormat="1" ht="21" x14ac:dyDescent="0.35">
      <c r="A328"/>
      <c r="B328"/>
      <c r="C328"/>
      <c r="D328"/>
      <c r="E328"/>
      <c r="F328"/>
      <c r="G328"/>
      <c r="H328"/>
      <c r="I328"/>
      <c r="J328"/>
      <c r="K328"/>
      <c r="L328"/>
      <c r="M328"/>
      <c r="N328"/>
      <c r="O328"/>
      <c r="P328"/>
      <c r="Q328"/>
      <c r="R328"/>
      <c r="S328"/>
      <c r="T328"/>
      <c r="U328"/>
      <c r="V328"/>
      <c r="W328"/>
      <c r="X328" s="476"/>
      <c r="Y328" s="476"/>
      <c r="Z328" s="476"/>
      <c r="AA328" s="476"/>
    </row>
    <row r="329" spans="1:27" s="475" customFormat="1" ht="21" x14ac:dyDescent="0.35">
      <c r="A329"/>
      <c r="B329"/>
      <c r="C329"/>
      <c r="D329"/>
      <c r="E329"/>
      <c r="F329"/>
      <c r="G329"/>
      <c r="H329"/>
      <c r="I329"/>
      <c r="J329"/>
      <c r="K329"/>
      <c r="L329"/>
      <c r="M329"/>
      <c r="N329"/>
      <c r="O329"/>
      <c r="P329"/>
      <c r="Q329"/>
      <c r="R329"/>
      <c r="S329"/>
      <c r="T329"/>
      <c r="U329"/>
      <c r="V329"/>
      <c r="W329"/>
      <c r="X329" s="476"/>
      <c r="Y329" s="476"/>
      <c r="Z329" s="476"/>
      <c r="AA329" s="476"/>
    </row>
    <row r="330" spans="1:27" s="475" customFormat="1" ht="21" customHeight="1" x14ac:dyDescent="0.35">
      <c r="A330"/>
      <c r="B330"/>
      <c r="C330"/>
      <c r="D330"/>
      <c r="E330"/>
      <c r="F330"/>
      <c r="G330"/>
      <c r="H330"/>
      <c r="I330"/>
      <c r="J330"/>
      <c r="K330"/>
      <c r="L330"/>
      <c r="M330"/>
      <c r="N330"/>
      <c r="O330"/>
      <c r="P330"/>
      <c r="Q330"/>
      <c r="R330"/>
      <c r="S330"/>
      <c r="T330"/>
      <c r="U330"/>
      <c r="V330"/>
      <c r="W330"/>
      <c r="X330" s="476"/>
      <c r="Y330" s="476"/>
      <c r="Z330" s="476"/>
      <c r="AA330" s="476"/>
    </row>
    <row r="331" spans="1:27" s="475" customFormat="1" ht="21" x14ac:dyDescent="0.35">
      <c r="A331"/>
      <c r="B331"/>
      <c r="C331"/>
      <c r="D331"/>
      <c r="E331"/>
      <c r="F331"/>
      <c r="G331"/>
      <c r="H331"/>
      <c r="I331"/>
      <c r="J331"/>
      <c r="K331"/>
      <c r="L331"/>
      <c r="M331"/>
      <c r="N331"/>
      <c r="O331"/>
      <c r="P331"/>
      <c r="Q331"/>
      <c r="R331"/>
      <c r="S331"/>
      <c r="T331"/>
      <c r="U331"/>
      <c r="V331"/>
      <c r="W331"/>
      <c r="X331" s="476"/>
      <c r="Y331" s="476"/>
      <c r="Z331" s="476"/>
      <c r="AA331" s="476"/>
    </row>
  </sheetData>
  <sheetProtection algorithmName="SHA-512" hashValue="K98p9B6oKO4Ej97cWB5POFzMKpcudKt0A6Yb3vIjvKkCB1khJn+PuwXxxc63Zt24fv8Ij8ugxdO2ouOtH4tFFA==" saltValue="x/sdr51pSsLeOs1uMe4oDg==" spinCount="100000" sheet="1" objects="1" scenarios="1"/>
  <mergeCells count="62">
    <mergeCell ref="A316:C316"/>
    <mergeCell ref="D316:R316"/>
    <mergeCell ref="S316:V316"/>
    <mergeCell ref="A315:C315"/>
    <mergeCell ref="A1:P1"/>
    <mergeCell ref="Q1:X4"/>
    <mergeCell ref="B253:C253"/>
    <mergeCell ref="B300:C300"/>
    <mergeCell ref="B254:C254"/>
    <mergeCell ref="D315:R315"/>
    <mergeCell ref="S315:V315"/>
    <mergeCell ref="A314:C314"/>
    <mergeCell ref="A313:V313"/>
    <mergeCell ref="D314:R314"/>
    <mergeCell ref="S314:V314"/>
    <mergeCell ref="I69:J69"/>
    <mergeCell ref="B130:C130"/>
    <mergeCell ref="I130:J130"/>
    <mergeCell ref="A6:P6"/>
    <mergeCell ref="K130:L130"/>
    <mergeCell ref="K69:L69"/>
    <mergeCell ref="A7:P7"/>
    <mergeCell ref="B8:C8"/>
    <mergeCell ref="I8:J8"/>
    <mergeCell ref="K8:L8"/>
    <mergeCell ref="G65:H65"/>
    <mergeCell ref="I65:J65"/>
    <mergeCell ref="K65:L65"/>
    <mergeCell ref="B56:C56"/>
    <mergeCell ref="B252:C252"/>
    <mergeCell ref="I252:J252"/>
    <mergeCell ref="K252:L252"/>
    <mergeCell ref="K191:L191"/>
    <mergeCell ref="B192:C192"/>
    <mergeCell ref="B239:C239"/>
    <mergeCell ref="I191:J191"/>
    <mergeCell ref="R252:S252"/>
    <mergeCell ref="R8:S8"/>
    <mergeCell ref="S62:T62"/>
    <mergeCell ref="S65:T65"/>
    <mergeCell ref="M65:N65"/>
    <mergeCell ref="O65:P65"/>
    <mergeCell ref="Q65:R65"/>
    <mergeCell ref="R191:S191"/>
    <mergeCell ref="R130:S130"/>
    <mergeCell ref="R69:S69"/>
    <mergeCell ref="D2:P2"/>
    <mergeCell ref="A4:P4"/>
    <mergeCell ref="D317:R317"/>
    <mergeCell ref="S317:V317"/>
    <mergeCell ref="A318:C318"/>
    <mergeCell ref="D318:R318"/>
    <mergeCell ref="S318:V318"/>
    <mergeCell ref="A317:C317"/>
    <mergeCell ref="B193:C193"/>
    <mergeCell ref="B69:C69"/>
    <mergeCell ref="A65:B65"/>
    <mergeCell ref="C65:D65"/>
    <mergeCell ref="E65:F65"/>
    <mergeCell ref="B117:C117"/>
    <mergeCell ref="B178:C178"/>
    <mergeCell ref="B191:C191"/>
  </mergeCells>
  <dataValidations disablePrompts="1" count="1">
    <dataValidation type="list" allowBlank="1" showInputMessage="1" showErrorMessage="1" sqref="E38 E99 E160 E221 E282" xr:uid="{00000000-0002-0000-0400-000000000000}">
      <formula1>$Q$12:$Q$13</formula1>
    </dataValidation>
  </dataValidations>
  <printOptions verticalCentered="1"/>
  <pageMargins left="0.31496062992125984" right="0.31496062992125984" top="0.35433070866141736" bottom="0.35433070866141736" header="0.31496062992125984" footer="0.31496062992125984"/>
  <pageSetup scale="50" orientation="landscape" r:id="rId1"/>
  <rowBreaks count="3" manualBreakCount="3">
    <brk id="66" max="27" man="1"/>
    <brk id="127" max="27" man="1"/>
    <brk id="188" max="27" man="1"/>
  </rowBreaks>
  <drawing r:id="rId2"/>
  <legacyDrawing r:id="rId3"/>
  <oleObjects>
    <mc:AlternateContent xmlns:mc="http://schemas.openxmlformats.org/markup-compatibility/2006">
      <mc:Choice Requires="x14">
        <oleObject progId="PBrush" shapeId="11283" r:id="rId4">
          <objectPr defaultSize="0" autoPict="0" r:id="rId5">
            <anchor moveWithCells="1" sizeWithCells="1">
              <from>
                <xdr:col>16</xdr:col>
                <xdr:colOff>1581150</xdr:colOff>
                <xdr:row>0</xdr:row>
                <xdr:rowOff>66675</xdr:rowOff>
              </from>
              <to>
                <xdr:col>19</xdr:col>
                <xdr:colOff>1019175</xdr:colOff>
                <xdr:row>3</xdr:row>
                <xdr:rowOff>123825</xdr:rowOff>
              </to>
            </anchor>
          </objectPr>
        </oleObject>
      </mc:Choice>
      <mc:Fallback>
        <oleObject progId="PBrush" shapeId="11283" r:id="rId4"/>
      </mc:Fallback>
    </mc:AlternateContent>
    <mc:AlternateContent xmlns:mc="http://schemas.openxmlformats.org/markup-compatibility/2006">
      <mc:Choice Requires="x14">
        <oleObject progId="PBrush" shapeId="11284" r:id="rId6">
          <objectPr defaultSize="0" autoPict="0" r:id="rId5">
            <anchor moveWithCells="1" sizeWithCells="1">
              <from>
                <xdr:col>20</xdr:col>
                <xdr:colOff>466725</xdr:colOff>
                <xdr:row>0</xdr:row>
                <xdr:rowOff>114300</xdr:rowOff>
              </from>
              <to>
                <xdr:col>23</xdr:col>
                <xdr:colOff>142875</xdr:colOff>
                <xdr:row>3</xdr:row>
                <xdr:rowOff>171450</xdr:rowOff>
              </to>
            </anchor>
          </objectPr>
        </oleObject>
      </mc:Choice>
      <mc:Fallback>
        <oleObject progId="PBrush" shapeId="11284" r:id="rId6"/>
      </mc:Fallback>
    </mc:AlternateContent>
    <mc:AlternateContent xmlns:mc="http://schemas.openxmlformats.org/markup-compatibility/2006">
      <mc:Choice Requires="x14">
        <oleObject progId="PBrush" shapeId="11351" r:id="rId7">
          <objectPr defaultSize="0" autoPict="0" r:id="rId5">
            <anchor moveWithCells="1" sizeWithCells="1">
              <from>
                <xdr:col>0</xdr:col>
                <xdr:colOff>0</xdr:colOff>
                <xdr:row>0</xdr:row>
                <xdr:rowOff>0</xdr:rowOff>
              </from>
              <to>
                <xdr:col>2</xdr:col>
                <xdr:colOff>1352550</xdr:colOff>
                <xdr:row>1</xdr:row>
                <xdr:rowOff>209550</xdr:rowOff>
              </to>
            </anchor>
          </objectPr>
        </oleObject>
      </mc:Choice>
      <mc:Fallback>
        <oleObject progId="PBrush" shapeId="11351" r:id="rId7"/>
      </mc:Fallback>
    </mc:AlternateContent>
  </oleObjec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T239"/>
  <sheetViews>
    <sheetView topLeftCell="AY1" zoomScaleNormal="100" workbookViewId="0">
      <pane ySplit="2" topLeftCell="A48" activePane="bottomLeft" state="frozen"/>
      <selection pane="bottomLeft" activeCell="BS61" sqref="BS61:BT61"/>
    </sheetView>
  </sheetViews>
  <sheetFormatPr baseColWidth="10" defaultRowHeight="12.75" x14ac:dyDescent="0.2"/>
  <cols>
    <col min="1" max="2" width="11.42578125" customWidth="1"/>
    <col min="3" max="3" width="22.5703125" customWidth="1"/>
    <col min="4" max="4" width="17.85546875" customWidth="1"/>
    <col min="5" max="5" width="14.140625" customWidth="1"/>
    <col min="6" max="6" width="15.7109375" customWidth="1"/>
    <col min="7" max="7" width="11.42578125" customWidth="1"/>
    <col min="8" max="8" width="15.28515625" customWidth="1"/>
    <col min="9" max="9" width="14.5703125" customWidth="1"/>
    <col min="10" max="11" width="11.42578125" customWidth="1"/>
    <col min="12" max="12" width="14" customWidth="1"/>
    <col min="13" max="14" width="11.42578125" customWidth="1"/>
    <col min="15" max="15" width="9.5703125" style="708" customWidth="1"/>
    <col min="16" max="16" width="20.7109375" customWidth="1"/>
    <col min="17" max="17" width="14.85546875" customWidth="1"/>
    <col min="18" max="18" width="12.42578125" customWidth="1"/>
    <col min="19" max="19" width="13.28515625" customWidth="1"/>
    <col min="20" max="20" width="10.28515625" customWidth="1"/>
    <col min="21" max="21" width="14.140625" customWidth="1"/>
    <col min="23" max="23" width="20.5703125" customWidth="1"/>
    <col min="25" max="25" width="19" customWidth="1"/>
    <col min="26" max="26" width="18" bestFit="1" customWidth="1"/>
    <col min="27" max="27" width="16.42578125" bestFit="1" customWidth="1"/>
    <col min="28" max="28" width="13.140625" bestFit="1" customWidth="1"/>
    <col min="29" max="29" width="19.42578125" bestFit="1" customWidth="1"/>
    <col min="35" max="35" width="13.85546875" customWidth="1"/>
    <col min="42" max="42" width="13.140625" customWidth="1"/>
    <col min="49" max="49" width="13.5703125" customWidth="1"/>
    <col min="56" max="56" width="13.28515625" customWidth="1"/>
    <col min="58" max="58" width="17.28515625" customWidth="1"/>
    <col min="59" max="59" width="13.5703125" customWidth="1"/>
    <col min="60" max="60" width="13.140625" customWidth="1"/>
    <col min="64" max="64" width="15.140625" customWidth="1"/>
    <col min="65" max="66" width="13" bestFit="1" customWidth="1"/>
  </cols>
  <sheetData>
    <row r="1" spans="1:72" ht="13.5" thickBot="1" x14ac:dyDescent="0.25">
      <c r="A1" s="1614" t="s">
        <v>95</v>
      </c>
      <c r="B1" s="1614"/>
      <c r="C1" s="1614"/>
      <c r="D1" s="1614"/>
      <c r="E1" s="1614"/>
      <c r="F1" s="1614"/>
      <c r="G1" s="1614"/>
      <c r="H1" s="1614"/>
      <c r="I1" s="1614"/>
      <c r="J1" s="1614"/>
      <c r="K1" s="1614"/>
      <c r="L1" s="1614"/>
      <c r="M1" s="1614"/>
      <c r="N1" s="1614"/>
    </row>
    <row r="2" spans="1:72" ht="46.5" customHeight="1" x14ac:dyDescent="0.2">
      <c r="A2" s="1615" t="s">
        <v>96</v>
      </c>
      <c r="B2" s="1616"/>
      <c r="C2" s="189" t="s">
        <v>97</v>
      </c>
      <c r="D2" s="189" t="s">
        <v>427</v>
      </c>
      <c r="E2" s="189" t="s">
        <v>278</v>
      </c>
      <c r="F2" s="189" t="s">
        <v>98</v>
      </c>
      <c r="G2" s="1617" t="s">
        <v>99</v>
      </c>
      <c r="H2" s="1618"/>
      <c r="I2" s="189" t="s">
        <v>100</v>
      </c>
      <c r="J2" s="1617" t="s">
        <v>101</v>
      </c>
      <c r="K2" s="1618"/>
      <c r="L2" s="189" t="s">
        <v>98</v>
      </c>
      <c r="M2" s="1617" t="s">
        <v>102</v>
      </c>
      <c r="N2" s="1619"/>
      <c r="P2" s="189" t="s">
        <v>97</v>
      </c>
      <c r="Q2" s="189" t="s">
        <v>594</v>
      </c>
      <c r="R2" s="189" t="s">
        <v>595</v>
      </c>
      <c r="S2" s="189" t="s">
        <v>596</v>
      </c>
      <c r="T2" s="189" t="s">
        <v>98</v>
      </c>
      <c r="U2" s="709" t="s">
        <v>99</v>
      </c>
      <c r="V2" s="709" t="s">
        <v>597</v>
      </c>
      <c r="W2" s="709" t="s">
        <v>598</v>
      </c>
      <c r="Y2" t="s">
        <v>373</v>
      </c>
      <c r="Z2" t="s">
        <v>374</v>
      </c>
      <c r="AA2" t="s">
        <v>599</v>
      </c>
      <c r="AB2" t="s">
        <v>600</v>
      </c>
      <c r="AC2" t="s">
        <v>601</v>
      </c>
    </row>
    <row r="3" spans="1:72" s="812" customFormat="1" ht="63" customHeight="1" x14ac:dyDescent="0.2">
      <c r="A3" s="1603" t="s">
        <v>103</v>
      </c>
      <c r="B3" s="1604"/>
      <c r="C3" s="803" t="str">
        <f>'DATOS GENERALES'!F37</f>
        <v>TEC-LAB-BA-07</v>
      </c>
      <c r="D3" s="804">
        <f>'Certificado de calibración'!V55</f>
        <v>46197</v>
      </c>
      <c r="E3" s="803">
        <v>1.0000000000000001E-5</v>
      </c>
      <c r="F3" s="803" t="s">
        <v>67</v>
      </c>
      <c r="G3" s="805">
        <v>2.0000000000000002E-5</v>
      </c>
      <c r="H3" s="806"/>
      <c r="I3" s="803" t="s">
        <v>67</v>
      </c>
      <c r="J3" s="1607">
        <v>3.4E-5</v>
      </c>
      <c r="K3" s="1609"/>
      <c r="L3" s="803" t="s">
        <v>67</v>
      </c>
      <c r="M3" s="1607"/>
      <c r="N3" s="1608"/>
      <c r="O3" s="807"/>
      <c r="P3" s="808" t="s">
        <v>344</v>
      </c>
      <c r="Q3" s="809">
        <v>45142</v>
      </c>
      <c r="R3" s="810">
        <v>1.0000000000000001E-5</v>
      </c>
      <c r="S3" s="810">
        <v>1E-4</v>
      </c>
      <c r="T3" s="810" t="s">
        <v>67</v>
      </c>
      <c r="U3" s="810">
        <v>2.0000000000000002E-5</v>
      </c>
      <c r="V3" s="810">
        <v>3.4E-5</v>
      </c>
      <c r="W3" s="811">
        <v>2E-3</v>
      </c>
      <c r="Y3" s="812" t="str">
        <f>[1]Trazabilidad!T5</f>
        <v>TEC-LAB-BA-07</v>
      </c>
      <c r="Z3" s="812" t="str">
        <f>[1]Trazabilidad!U5</f>
        <v xml:space="preserve">Balanza semimicro </v>
      </c>
      <c r="AA3" s="812" t="str">
        <f>[1]Trazabilidad!Z5</f>
        <v>Tecservice S.A.S</v>
      </c>
      <c r="AB3" s="812" t="str">
        <f>[1]Trazabilidad!W5</f>
        <v>TM704-23A</v>
      </c>
      <c r="AC3" s="813">
        <f>[1]Trazabilidad!X5</f>
        <v>45184</v>
      </c>
    </row>
    <row r="4" spans="1:72" s="812" customFormat="1" ht="51" customHeight="1" x14ac:dyDescent="0.2">
      <c r="A4" s="1603" t="s">
        <v>104</v>
      </c>
      <c r="B4" s="1604"/>
      <c r="C4" s="803" t="str">
        <f>C3</f>
        <v>TEC-LAB-BA-07</v>
      </c>
      <c r="D4" s="804">
        <f>D3</f>
        <v>46197</v>
      </c>
      <c r="E4" s="803">
        <v>1.0000000000000001E-5</v>
      </c>
      <c r="F4" s="803" t="s">
        <v>67</v>
      </c>
      <c r="G4" s="805">
        <v>1E-4</v>
      </c>
      <c r="H4" s="806"/>
      <c r="I4" s="803" t="s">
        <v>67</v>
      </c>
      <c r="J4" s="1607">
        <v>2E-3</v>
      </c>
      <c r="K4" s="1609"/>
      <c r="L4" s="803" t="s">
        <v>67</v>
      </c>
      <c r="M4" s="1607"/>
      <c r="N4" s="1608"/>
      <c r="O4" s="807"/>
      <c r="P4" s="808" t="s">
        <v>317</v>
      </c>
      <c r="Q4" s="809">
        <v>44936</v>
      </c>
      <c r="R4" s="808">
        <v>1E-3</v>
      </c>
      <c r="S4" s="808">
        <v>1E-3</v>
      </c>
      <c r="T4" s="810" t="s">
        <v>67</v>
      </c>
      <c r="U4" s="810">
        <v>2E-3</v>
      </c>
      <c r="V4" s="810">
        <v>9.7999999999999997E-4</v>
      </c>
      <c r="W4" s="810">
        <v>4.7999999999999996E-3</v>
      </c>
      <c r="Y4" s="812" t="str">
        <f>[1]Trazabilidad!T6</f>
        <v>TEC-LAB-BA-04</v>
      </c>
      <c r="Z4" s="812" t="str">
        <f>[1]Trazabilidad!U6</f>
        <v>Balanza</v>
      </c>
      <c r="AA4" s="812" t="str">
        <f>[1]Trazabilidad!Z6</f>
        <v>Detecto</v>
      </c>
      <c r="AB4" s="812" t="str">
        <f>[1]Trazabilidad!W6</f>
        <v>56948-C</v>
      </c>
      <c r="AC4" s="813">
        <f>[1]Trazabilidad!X6</f>
        <v>45202</v>
      </c>
    </row>
    <row r="5" spans="1:72" s="812" customFormat="1" ht="59.25" customHeight="1" x14ac:dyDescent="0.2">
      <c r="A5" s="1603" t="s">
        <v>105</v>
      </c>
      <c r="B5" s="1604"/>
      <c r="C5" s="803" t="str">
        <f>'DATOS GENERALES'!F40</f>
        <v>TEC-LAB-TEM-33</v>
      </c>
      <c r="D5" s="804">
        <f>'Certificado de calibración'!V58</f>
        <v>46060</v>
      </c>
      <c r="E5" s="803">
        <v>0.01</v>
      </c>
      <c r="F5" s="803" t="s">
        <v>106</v>
      </c>
      <c r="G5" s="805">
        <v>-0.16400000000000001</v>
      </c>
      <c r="H5" s="806"/>
      <c r="I5" s="803" t="s">
        <v>106</v>
      </c>
      <c r="J5" s="1605">
        <v>3.5999999999999997E-2</v>
      </c>
      <c r="K5" s="1606"/>
      <c r="L5" s="803" t="s">
        <v>106</v>
      </c>
      <c r="M5" s="1607"/>
      <c r="N5" s="1608"/>
      <c r="O5" s="807"/>
      <c r="P5" s="808" t="s">
        <v>441</v>
      </c>
      <c r="Q5" s="809">
        <v>44937</v>
      </c>
      <c r="R5" s="808">
        <v>0.01</v>
      </c>
      <c r="S5" s="808">
        <v>0.01</v>
      </c>
      <c r="T5" s="810" t="s">
        <v>67</v>
      </c>
      <c r="U5" s="810">
        <v>0.02</v>
      </c>
      <c r="V5" s="810">
        <v>8.2000000000000007E-3</v>
      </c>
      <c r="W5" s="810">
        <v>3.3000000000000002E-2</v>
      </c>
      <c r="Y5" s="812" t="str">
        <f>[1]Trazabilidad!T7</f>
        <v>TEC-LAB-BA-05</v>
      </c>
      <c r="Z5" s="812" t="str">
        <f>[1]Trazabilidad!U7</f>
        <v>Balanza</v>
      </c>
      <c r="AA5" s="812" t="str">
        <f>[1]Trazabilidad!Z7</f>
        <v>Tecservice S.A.S</v>
      </c>
      <c r="AB5" s="812" t="str">
        <f>[1]Trazabilidad!W7</f>
        <v>TM708-23A</v>
      </c>
      <c r="AC5" s="813">
        <f>[1]Trazabilidad!X7</f>
        <v>45184</v>
      </c>
    </row>
    <row r="6" spans="1:72" s="812" customFormat="1" ht="77.25" customHeight="1" x14ac:dyDescent="0.2">
      <c r="A6" s="1603" t="s">
        <v>107</v>
      </c>
      <c r="B6" s="1604"/>
      <c r="C6" s="803" t="str">
        <f>'DATOS GENERALES'!F38</f>
        <v>TEC-LAB-PTHRI-03</v>
      </c>
      <c r="D6" s="804">
        <f>'Certificado de calibración'!V56</f>
        <v>46074</v>
      </c>
      <c r="E6" s="803">
        <v>1</v>
      </c>
      <c r="F6" s="803" t="s">
        <v>108</v>
      </c>
      <c r="G6" s="805">
        <v>-5.3</v>
      </c>
      <c r="H6" s="806"/>
      <c r="I6" s="803" t="s">
        <v>108</v>
      </c>
      <c r="J6" s="1607">
        <v>1</v>
      </c>
      <c r="K6" s="1609"/>
      <c r="L6" s="803" t="s">
        <v>108</v>
      </c>
      <c r="M6" s="1607"/>
      <c r="N6" s="1608"/>
      <c r="O6" s="807"/>
      <c r="P6" s="808" t="s">
        <v>438</v>
      </c>
      <c r="Q6" s="809">
        <v>44938</v>
      </c>
      <c r="R6" s="808">
        <v>0.1</v>
      </c>
      <c r="S6" s="808">
        <v>0.1</v>
      </c>
      <c r="T6" s="810" t="s">
        <v>67</v>
      </c>
      <c r="U6" s="810">
        <v>0.1</v>
      </c>
      <c r="V6" s="810">
        <v>9.8000000000000004E-2</v>
      </c>
      <c r="W6" s="810">
        <v>0.37</v>
      </c>
      <c r="Y6" s="812" t="str">
        <f>[1]Trazabilidad!T8</f>
        <v>TEC-LAB-BA-08</v>
      </c>
      <c r="Z6" s="812" t="str">
        <f>[1]Trazabilidad!U8</f>
        <v>Bascula</v>
      </c>
      <c r="AA6" s="812" t="str">
        <f>[1]Trazabilidad!Z8</f>
        <v>Tecservice S.A.S</v>
      </c>
      <c r="AB6" s="812" t="str">
        <f>[1]Trazabilidad!W8</f>
        <v>TM707-23A</v>
      </c>
      <c r="AC6" s="813">
        <f>[1]Trazabilidad!X8</f>
        <v>45184</v>
      </c>
    </row>
    <row r="7" spans="1:72" s="812" customFormat="1" ht="29.25" customHeight="1" x14ac:dyDescent="0.2">
      <c r="A7" s="1610" t="s">
        <v>109</v>
      </c>
      <c r="B7" s="1611"/>
      <c r="C7" s="814" t="str">
        <f>C6</f>
        <v>TEC-LAB-PTHRI-03</v>
      </c>
      <c r="D7" s="815">
        <f>D6</f>
        <v>46074</v>
      </c>
      <c r="E7" s="814">
        <v>1</v>
      </c>
      <c r="F7" s="814" t="s">
        <v>61</v>
      </c>
      <c r="G7" s="805">
        <v>-1</v>
      </c>
      <c r="H7" s="806"/>
      <c r="I7" s="814" t="s">
        <v>61</v>
      </c>
      <c r="J7" s="1612">
        <v>1.6</v>
      </c>
      <c r="K7" s="1613"/>
      <c r="L7" s="814" t="s">
        <v>61</v>
      </c>
      <c r="M7" s="1607"/>
      <c r="N7" s="1608"/>
      <c r="O7" s="807"/>
      <c r="Y7" s="812" t="str">
        <f>[1]Trazabilidad!T9</f>
        <v>N.A.</v>
      </c>
      <c r="Z7" s="812" t="str">
        <f>[1]Trazabilidad!U9</f>
        <v/>
      </c>
      <c r="AA7" s="812" t="str">
        <f>[1]Trazabilidad!Z9</f>
        <v/>
      </c>
      <c r="AB7" s="812" t="str">
        <f>[1]Trazabilidad!W9</f>
        <v/>
      </c>
      <c r="AC7" s="813" t="str">
        <f>[1]Trazabilidad!X9</f>
        <v/>
      </c>
    </row>
    <row r="8" spans="1:72" s="812" customFormat="1" ht="56.25" customHeight="1" thickBot="1" x14ac:dyDescent="0.25">
      <c r="A8" s="1598" t="s">
        <v>110</v>
      </c>
      <c r="B8" s="1599"/>
      <c r="C8" s="816" t="str">
        <f>C7</f>
        <v>TEC-LAB-PTHRI-03</v>
      </c>
      <c r="D8" s="817">
        <f>D7</f>
        <v>46074</v>
      </c>
      <c r="E8" s="816">
        <v>0.1</v>
      </c>
      <c r="F8" s="816" t="s">
        <v>106</v>
      </c>
      <c r="G8" s="805">
        <v>-0.05</v>
      </c>
      <c r="H8" s="806"/>
      <c r="I8" s="816" t="s">
        <v>106</v>
      </c>
      <c r="J8" s="1600">
        <v>0.39</v>
      </c>
      <c r="K8" s="1601"/>
      <c r="L8" s="816" t="s">
        <v>106</v>
      </c>
      <c r="M8" s="1600"/>
      <c r="N8" s="1602"/>
      <c r="O8" s="807"/>
      <c r="Y8" s="812" t="str">
        <f>[1]Trazabilidad!T10</f>
        <v>TEC-LAB-TEM-33</v>
      </c>
      <c r="Z8" s="812" t="str">
        <f>[1]Trazabilidad!U10</f>
        <v>Termómetro digital</v>
      </c>
      <c r="AA8" s="812" t="str">
        <f>[1]Trazabilidad!Z10</f>
        <v>Control Company</v>
      </c>
      <c r="AB8" s="812" t="str">
        <f>[1]Trazabilidad!W10</f>
        <v>4244-14900637</v>
      </c>
      <c r="AC8" s="813">
        <f>[1]Trazabilidad!X10</f>
        <v>45350</v>
      </c>
    </row>
    <row r="9" spans="1:72" s="812" customFormat="1" ht="90.75" customHeight="1" thickBot="1" x14ac:dyDescent="0.25">
      <c r="A9" s="1598" t="s">
        <v>322</v>
      </c>
      <c r="B9" s="1599"/>
      <c r="C9" s="816" t="s">
        <v>343</v>
      </c>
      <c r="D9" s="817">
        <v>43649</v>
      </c>
      <c r="E9" s="816">
        <f>E5</f>
        <v>0.01</v>
      </c>
      <c r="F9" s="816" t="s">
        <v>106</v>
      </c>
      <c r="G9" s="805">
        <f>G5</f>
        <v>-0.16400000000000001</v>
      </c>
      <c r="H9" s="806"/>
      <c r="I9" s="816" t="s">
        <v>106</v>
      </c>
      <c r="J9" s="1600">
        <f>J5</f>
        <v>3.5999999999999997E-2</v>
      </c>
      <c r="K9" s="1601"/>
      <c r="L9" s="816" t="s">
        <v>106</v>
      </c>
      <c r="M9" s="1600"/>
      <c r="N9" s="1602"/>
      <c r="O9" s="807"/>
      <c r="Y9" s="812" t="str">
        <f>[1]Trazabilidad!T11</f>
        <v>TEC-LAB-TEM-11</v>
      </c>
      <c r="Z9" s="812" t="str">
        <f>[1]Trazabilidad!U11</f>
        <v>Termómetro digital</v>
      </c>
      <c r="AA9" s="812" t="str">
        <f>[1]Trazabilidad!Z11</f>
        <v>Tesla</v>
      </c>
      <c r="AB9" s="812" t="str">
        <f>[1]Trazabilidad!W11</f>
        <v>TLM-T-2258</v>
      </c>
      <c r="AC9" s="813">
        <f>[1]Trazabilidad!X11</f>
        <v>45359</v>
      </c>
    </row>
    <row r="10" spans="1:72" ht="13.5" thickBot="1" x14ac:dyDescent="0.25">
      <c r="G10" s="1" t="s">
        <v>341</v>
      </c>
      <c r="Y10" t="str">
        <f>[1]Trazabilidad!T12</f>
        <v>TEC-LAB-PTHRI-01</v>
      </c>
      <c r="Z10" t="str">
        <f>[1]Trazabilidad!U12</f>
        <v>Termo higrómetro barómetro digital</v>
      </c>
      <c r="AA10" t="str">
        <f>[1]Trazabilidad!Z12</f>
        <v>Tesla</v>
      </c>
      <c r="AB10" t="str">
        <f>[1]Trazabilidad!W12</f>
        <v>TLM-TH-1251/TLM-P-3401</v>
      </c>
      <c r="AC10" s="710" t="str">
        <f>[1]Trazabilidad!X12</f>
        <v>2023-06-01/2023-06-05</v>
      </c>
      <c r="BG10" s="128"/>
      <c r="BH10" s="128"/>
      <c r="BI10" s="128"/>
    </row>
    <row r="11" spans="1:72" ht="15.75" thickBot="1" x14ac:dyDescent="0.25">
      <c r="G11" s="1"/>
      <c r="Y11" t="str">
        <f>[1]Trazabilidad!T13</f>
        <v>TEC-LAB-TH-01</v>
      </c>
      <c r="Z11" t="str">
        <f>[1]Trazabilidad!U13</f>
        <v>Termo higrómetro digital</v>
      </c>
      <c r="AA11" t="str">
        <f>[1]Trazabilidad!Z13</f>
        <v>Tesla</v>
      </c>
      <c r="AB11" t="str">
        <f>[1]Trazabilidad!W13</f>
        <v>TLM-TH-1859C</v>
      </c>
      <c r="AC11" s="710">
        <f>[1]Trazabilidad!X13</f>
        <v>45337</v>
      </c>
      <c r="BF11" s="1630" t="s">
        <v>602</v>
      </c>
      <c r="BG11" s="1631"/>
      <c r="BH11" s="1631"/>
      <c r="BI11" s="1632"/>
    </row>
    <row r="12" spans="1:72" ht="36.75" thickBot="1" x14ac:dyDescent="0.25">
      <c r="A12" s="127"/>
      <c r="O12" s="711"/>
      <c r="P12" s="712" t="s">
        <v>75</v>
      </c>
      <c r="Q12" s="713"/>
      <c r="R12" s="716" t="str">
        <f>'DATOS GENERALES'!F40</f>
        <v>TEC-LAB-TEM-33</v>
      </c>
      <c r="S12" s="714"/>
      <c r="T12" s="714"/>
      <c r="U12" s="714"/>
      <c r="V12" s="711"/>
      <c r="W12" s="713" t="s">
        <v>172</v>
      </c>
      <c r="X12" s="713"/>
      <c r="Y12" s="714" t="str">
        <f>'DATOS GENERALES'!F39</f>
        <v>TEC-LAB-TH-01</v>
      </c>
      <c r="Z12" s="714"/>
      <c r="AA12" s="714"/>
      <c r="AB12" s="715"/>
      <c r="AC12" s="714"/>
      <c r="AD12" s="713" t="s">
        <v>174</v>
      </c>
      <c r="AE12" s="713"/>
      <c r="AF12" s="716" t="str">
        <f>'DATOS GENERALES'!F39</f>
        <v>TEC-LAB-TH-01</v>
      </c>
      <c r="AG12" s="714"/>
      <c r="AH12" s="714"/>
      <c r="AI12" s="715"/>
      <c r="AJ12" s="714"/>
      <c r="AK12" s="713" t="s">
        <v>173</v>
      </c>
      <c r="AL12" s="713"/>
      <c r="AM12" s="716" t="str">
        <f>'DATOS GENERALES'!F38</f>
        <v>TEC-LAB-PTHRI-03</v>
      </c>
      <c r="AN12" s="714"/>
      <c r="AO12" s="714"/>
      <c r="AP12" s="715"/>
      <c r="AQ12" s="714"/>
      <c r="AR12" s="713" t="s">
        <v>603</v>
      </c>
      <c r="AS12" s="713"/>
      <c r="AT12" s="716" t="str">
        <f>'DATOS GENERALES'!F37</f>
        <v>TEC-LAB-BA-07</v>
      </c>
      <c r="AU12" s="714"/>
      <c r="AV12" s="714"/>
      <c r="AW12" s="715"/>
      <c r="AX12" s="714"/>
      <c r="AY12" s="713" t="s">
        <v>604</v>
      </c>
      <c r="AZ12" s="713"/>
      <c r="BA12" s="716" t="str">
        <f>'DATOS GENERALES'!F37</f>
        <v>TEC-LAB-BA-07</v>
      </c>
      <c r="BB12" s="714"/>
      <c r="BC12" s="714"/>
      <c r="BD12" s="715"/>
      <c r="BE12" s="104"/>
      <c r="BF12" s="717" t="str">
        <f>'DATOS GENERALES'!F37</f>
        <v>TEC-LAB-BA-07</v>
      </c>
      <c r="BG12" s="718" t="s">
        <v>605</v>
      </c>
      <c r="BH12" s="718" t="s">
        <v>606</v>
      </c>
      <c r="BI12" s="719"/>
      <c r="BK12" s="104"/>
      <c r="BL12" t="s">
        <v>344</v>
      </c>
      <c r="BM12" s="718" t="s">
        <v>607</v>
      </c>
      <c r="BN12" s="718" t="s">
        <v>606</v>
      </c>
    </row>
    <row r="13" spans="1:72" ht="12.75" customHeight="1" x14ac:dyDescent="0.25">
      <c r="A13" s="1622" t="s">
        <v>73</v>
      </c>
      <c r="B13" s="1623"/>
      <c r="C13" s="1622" t="s">
        <v>74</v>
      </c>
      <c r="D13" s="1623"/>
      <c r="E13" s="1624" t="s">
        <v>75</v>
      </c>
      <c r="F13" s="1625"/>
      <c r="G13" s="1624" t="s">
        <v>172</v>
      </c>
      <c r="H13" s="1625"/>
      <c r="I13" s="1624" t="s">
        <v>174</v>
      </c>
      <c r="J13" s="1625"/>
      <c r="K13" s="1620" t="s">
        <v>173</v>
      </c>
      <c r="L13" s="1621"/>
      <c r="N13" s="599"/>
      <c r="O13" s="720"/>
      <c r="P13" s="721" t="s">
        <v>608</v>
      </c>
      <c r="Q13" s="718" t="s">
        <v>607</v>
      </c>
      <c r="R13" s="718" t="s">
        <v>606</v>
      </c>
      <c r="S13" s="722" t="s">
        <v>609</v>
      </c>
      <c r="T13" s="723" t="s">
        <v>610</v>
      </c>
      <c r="U13" s="724" t="s">
        <v>611</v>
      </c>
      <c r="V13" s="725"/>
      <c r="W13" s="726" t="s">
        <v>608</v>
      </c>
      <c r="X13" s="718" t="s">
        <v>607</v>
      </c>
      <c r="Y13" s="718" t="s">
        <v>606</v>
      </c>
      <c r="Z13" s="722" t="s">
        <v>609</v>
      </c>
      <c r="AA13" s="723" t="s">
        <v>610</v>
      </c>
      <c r="AB13" s="724" t="s">
        <v>611</v>
      </c>
      <c r="AC13" s="727"/>
      <c r="AD13" s="726" t="s">
        <v>608</v>
      </c>
      <c r="AE13" s="718" t="s">
        <v>607</v>
      </c>
      <c r="AF13" s="718" t="s">
        <v>606</v>
      </c>
      <c r="AG13" s="722" t="s">
        <v>609</v>
      </c>
      <c r="AH13" s="723" t="s">
        <v>610</v>
      </c>
      <c r="AI13" s="724" t="s">
        <v>611</v>
      </c>
      <c r="AJ13" s="725"/>
      <c r="AK13" s="726" t="s">
        <v>608</v>
      </c>
      <c r="AL13" s="718" t="s">
        <v>607</v>
      </c>
      <c r="AM13" s="718" t="s">
        <v>606</v>
      </c>
      <c r="AN13" s="722" t="s">
        <v>609</v>
      </c>
      <c r="AO13" s="723" t="s">
        <v>610</v>
      </c>
      <c r="AP13" s="724" t="s">
        <v>611</v>
      </c>
      <c r="AQ13" s="725"/>
      <c r="AR13" s="726" t="s">
        <v>608</v>
      </c>
      <c r="AS13" s="718" t="s">
        <v>607</v>
      </c>
      <c r="AT13" s="718" t="s">
        <v>606</v>
      </c>
      <c r="AU13" s="722" t="s">
        <v>609</v>
      </c>
      <c r="AV13" s="723" t="s">
        <v>610</v>
      </c>
      <c r="AW13" s="724" t="s">
        <v>611</v>
      </c>
      <c r="AX13" s="725"/>
      <c r="AY13" s="726" t="s">
        <v>608</v>
      </c>
      <c r="AZ13" s="718" t="s">
        <v>607</v>
      </c>
      <c r="BA13" s="718" t="s">
        <v>606</v>
      </c>
      <c r="BB13" s="722" t="s">
        <v>609</v>
      </c>
      <c r="BC13" s="723" t="s">
        <v>610</v>
      </c>
      <c r="BD13" s="724" t="s">
        <v>611</v>
      </c>
      <c r="BF13" s="728">
        <v>1</v>
      </c>
      <c r="BG13" s="729">
        <f t="shared" ref="BG13:BH23" si="0">IF(IF($BF$12=$BF$27,BG27,IF($BF$12=$BF$40,BG40,IF($BF$12=$BF$53,BG53,IF($BF$12=$BF$66,BG66,IF($BF$12=$BF$79,BG79,IF($BF$12=$BF$92,BG92))))))="","",IF($BF$12=$BF$27,BG27,IF($BF$12=$BF$40,BG40,IF($BF$12=$BF$53,BG53,IF($BF$12=$BF$66,BG66,IF($BF$12=$BF$79,BG79,IF($BF$12=$BF$92,BG92)))))))</f>
        <v>-2.2805286543168407E-6</v>
      </c>
      <c r="BH13" s="729">
        <f t="shared" si="0"/>
        <v>1.6991540664237082E-5</v>
      </c>
      <c r="BI13" s="730"/>
      <c r="BM13" s="863">
        <v>-9.9989481077082814E-302</v>
      </c>
      <c r="BN13" s="863">
        <v>1.5999999999999999E-5</v>
      </c>
      <c r="BP13">
        <v>-9.9936910761745292E-302</v>
      </c>
      <c r="BQ13">
        <v>1.5999999999999999E-5</v>
      </c>
      <c r="BS13">
        <v>-2.2805286543168407E-6</v>
      </c>
      <c r="BT13">
        <v>1.6991540664237082E-5</v>
      </c>
    </row>
    <row r="14" spans="1:72" x14ac:dyDescent="0.2">
      <c r="A14" s="105">
        <f>'DATOS GENERALES'!A70:B70+AV14</f>
        <v>25.217866554054108</v>
      </c>
      <c r="B14" s="106"/>
      <c r="C14" s="105">
        <f>'DATOS GENERALES'!C70:D70+BC14</f>
        <v>25.320456800437899</v>
      </c>
      <c r="D14" s="106"/>
      <c r="E14" s="107">
        <f>'DATOS GENERALES'!E70:F70+T14</f>
        <v>20.694310518778522</v>
      </c>
      <c r="F14" s="108"/>
      <c r="G14" s="109">
        <f>'DATOS GENERALES'!G70:H70+AA14</f>
        <v>20.983065402808375</v>
      </c>
      <c r="H14" s="110"/>
      <c r="I14" s="111">
        <f>'DATOS GENERALES'!I70:J70+AH14</f>
        <v>54.398883013787014</v>
      </c>
      <c r="J14" s="112"/>
      <c r="K14" s="825">
        <f>'DATOS GENERALES'!K70:L70+AO14</f>
        <v>910.34412607728154</v>
      </c>
      <c r="L14" s="112"/>
      <c r="N14" s="599"/>
      <c r="O14" s="731" t="s">
        <v>612</v>
      </c>
      <c r="P14" s="732">
        <f>IF('DATOS GENERALES'!E70="","",'DATOS GENERALES'!E70)</f>
        <v>20.85</v>
      </c>
      <c r="Q14" s="1034">
        <v>-0.25373610378812117</v>
      </c>
      <c r="R14" s="1034">
        <v>5.3999999999999979E-2</v>
      </c>
      <c r="S14" s="734">
        <f>IF(P14="","",$Q$14+$Q$15*P14+$Q$16*P14^2+$Q$17*P14^3+$Q$18*P14^4+$Q$19*P14^5+$Q$20*P14^6+$Q$21*P14^7+$Q$22*P14^8+$Q$23*P14^9+$Q$24*P14^10+$Q$25*P14^11)</f>
        <v>20.694310518778522</v>
      </c>
      <c r="T14" s="734">
        <f>IF(P14="","",S14-P14)</f>
        <v>-0.1556894812214793</v>
      </c>
      <c r="U14" s="735">
        <f>IF(P14="","",$R$14+$R$15*P14+$R$16*P14^2+$R$17*P14^3+$R$18*P14^4+$R$19*P14^5+$R$20*P14^6+$R$21*P14^7+$R$22*P14^8+$R$23*P14^9+$R$24*P14^10+$R$25*P14^11)</f>
        <v>5.3999999999999999E-2</v>
      </c>
      <c r="V14" s="736"/>
      <c r="W14" s="737">
        <f>IF('DATOS GENERALES'!G70="","",'DATOS GENERALES'!G70)</f>
        <v>20.8</v>
      </c>
      <c r="X14" s="1034">
        <v>-3.125856370358747</v>
      </c>
      <c r="Y14" s="1034">
        <v>-0.15749924585323016</v>
      </c>
      <c r="Z14" s="734">
        <f>IF(W14="","",$X$14+$X$15*W14+$X$16*W14^2+$X$17*W14^3+$X$18*W14^4+$X$19*W14^5+$X$20*W14^6+$X$21*W14^7+$X$22*W14^8+$X$23*W14^9+$X$24*W14^10+$X$25*W14^11)</f>
        <v>20.983065402808375</v>
      </c>
      <c r="AA14" s="734">
        <f>IF(W14="","",Z14-W14)</f>
        <v>0.18306540280837424</v>
      </c>
      <c r="AB14" s="735">
        <f>IF(W14="","",$Y$14+$Y$15*W14+$Y$16*W14^2+$Y$17*W14^3+$Y$18*W14^4+$Y$19*W14^5+$Y$20*W14^6+$Y$21*W14^7+$Y$22*W14^8+$Y$23*W14^9+$Y$24*W14^10+$Y$25*W14^11)</f>
        <v>0.27974014714180934</v>
      </c>
      <c r="AC14" s="727"/>
      <c r="AD14" s="737">
        <f>IF('DATOS GENERALES'!I70="","",'DATOS GENERALES'!I70)</f>
        <v>54.6</v>
      </c>
      <c r="AE14" s="1034">
        <v>-7.9629937306273462</v>
      </c>
      <c r="AF14" s="1034">
        <v>0.44434166912111861</v>
      </c>
      <c r="AG14" s="734">
        <f>IF(AD14="","",$AE$14+$AE$15*AD14+$AE$16*AD14^2+$AE$17*AD14^3+$AE$18*AD14^4+$AE$19*AD14^5+$AE$20*AD14^6+$AE$21*AD14^7+$AE$22*AD14^8+$AE$23*AD14^9+$AE$24*AD14^10+$AE$25*AD14^11)</f>
        <v>54.398883013787014</v>
      </c>
      <c r="AH14" s="734">
        <f>IF(AD14="","",AG14-AD14)</f>
        <v>-0.20111698621298757</v>
      </c>
      <c r="AI14" s="735">
        <f>IF(AD14="","",$AF$14+$AF$15*AD14+$AF$16*AD14^2+$AF$17*AD14^3+$AF$18*AD14^4+$AF$19*AD14^5+$AF$20*AD14^6+$AF$21*AD14^7+$AF$22*AD14^8+$AF$23*AD14^9+$AF$24*AD14^10+$AF$25*AD14^11)</f>
        <v>0.75973781773470483</v>
      </c>
      <c r="AJ14" s="725"/>
      <c r="AK14" s="737">
        <f>IF('DATOS GENERALES'!K70="","",'DATOS GENERALES'!K70)</f>
        <v>910</v>
      </c>
      <c r="AL14" s="1034">
        <f>IF(AND($AM$12=$BF$104,ISNUMBER(BG105)),BG105,IF(AND($AM$12=$BF$117,ISNUMBER(BG118)),BG118))</f>
        <v>24893.425340665504</v>
      </c>
      <c r="AM14" s="1034">
        <f>IF(AND($AM$12=$BF$104,ISNUMBER(BH105)),BH105,IF(AND($AM$12=$BF$117,ISNUMBER(BH118)),BH118))</f>
        <v>0.4400001043732118</v>
      </c>
      <c r="AN14" s="734">
        <f>IF(AK14="","",$AL$14+$AL$15*AK14+$AL$16*AK14^2+$AL$17*AK14^3+$AL$18*AK14^4+$AL$19*AK14^5+$AL$20*AK14^6+$AL$21*AK14^7+$AL$22*AK14^8+$AL$23*AK14^9+$AL$24*AK14^10+$AL$25*AK14^11)</f>
        <v>910.34412607728154</v>
      </c>
      <c r="AO14" s="734">
        <f>IF(AK14="","",AN14-AK14)</f>
        <v>0.34412607728154399</v>
      </c>
      <c r="AP14" s="735">
        <f>IF(AK14="","",$AM$14+$AM$15*AK14+$AM$16*AK14^2+$AM$17*AK14^3+$AM$18*AK14^4+$AM$19*AK14^5+$AM$20*AK14^6+$AM$21*AK14^7+$AM$22*AK14^8+$AM$23*AK14^9+$AM$24*AK14^10+$AM$25*AK14^11)</f>
        <v>0.44000000659045196</v>
      </c>
      <c r="AQ14" s="725"/>
      <c r="AR14" s="737">
        <f>IF('DATOS GENERALES'!A70="","",'DATOS GENERALES'!A70)</f>
        <v>25.217870000000001</v>
      </c>
      <c r="AS14" s="733">
        <f>IF(AND($AT$12=$BF$27,$AR$14&gt;50),BG40,BG13)</f>
        <v>-2.2805286543168407E-6</v>
      </c>
      <c r="AT14" s="733">
        <f>IF(AND($AT$12=$BF$27,$AR$14&gt;50),BH40,BH13)</f>
        <v>1.6991540664237082E-5</v>
      </c>
      <c r="AU14" s="734">
        <f>IF(AR14="","",$AS$14+$AS$15*AR14+$AS$16*AR14^2+$AS$17*AR14^3+$AS$18*AR14^4+$AS$19*AR14^5+$AS$20*AR14^6+$AS$21*AR14^7+$AS$22*AR14^8+$AS$23*AR14^9+$AS$24*AR14^10+$AS$25*AR14^11)</f>
        <v>25.217866554054108</v>
      </c>
      <c r="AV14" s="734">
        <f>IF(AR14="","",AU14-AR14)</f>
        <v>-3.445945893076896E-6</v>
      </c>
      <c r="AW14" s="735">
        <f>IF(AR14="","",$AT$14+$AT$15*AR14+$AT$16*AR14^2+$AT$17*AR14^3+$AT$18*AR14^4+$AT$19*AR14^5+$AT$20*AR14^6+$AT$21*AR14^7+$AT$22*AR14^8+$AT$23*AR14^9+$AT$24*AR14^10+$AT$25*AR14^11)</f>
        <v>7.7834941574667776E-5</v>
      </c>
      <c r="AX14" s="725"/>
      <c r="AY14" s="737">
        <f>IF('DATOS GENERALES'!C70="","",'DATOS GENERALES'!C70)</f>
        <v>25.320460000000001</v>
      </c>
      <c r="AZ14" s="733">
        <f>IF(AND($BA$12=$BF$27,$AY$14&gt;50),BG40,BG13)</f>
        <v>-2.2805286543168407E-6</v>
      </c>
      <c r="BA14" s="733">
        <f>IF(AND($BA$12=$BF$27,$AY$14&gt;50),BH40,BH13)</f>
        <v>1.6991540664237082E-5</v>
      </c>
      <c r="BB14" s="734">
        <f>IF(AY14="","",$AZ$14+$AZ$15*AY14+$AZ$16*AY14^2+$AZ$17*AY14^3+$AZ$18*AY14^4+$AZ$19*AY14^5+$AZ$20*AY14^6+$AZ$21*AY14^7+$AZ$22*AY14^8+$AZ$23*AY14^9+$AZ$24*AY14^10+$AZ$25*AY14^11)</f>
        <v>25.320456800437899</v>
      </c>
      <c r="BC14" s="734">
        <f>IF(AY14="","",BB14-AY14)</f>
        <v>-3.1995621014857534E-6</v>
      </c>
      <c r="BD14" s="735">
        <f>IF(AY14="","",$BA$14+$BA$15*AY14+$BA$16*AY14^2+$BA$17*AY14^3+$BA$18*AY14^4+$BA$19*AY14^5+$BA$20*AY14^6+$BA$21*AY14^7+$BA$22*AY14^8+$BA$23*AY14^9+$BA$24*AY14^10+$BA$25*AY14^11)</f>
        <v>7.8206799489929923E-5</v>
      </c>
      <c r="BF14" s="728">
        <v>2</v>
      </c>
      <c r="BG14" s="729">
        <f t="shared" si="0"/>
        <v>1.0001287583693486</v>
      </c>
      <c r="BH14" s="729">
        <f t="shared" si="0"/>
        <v>3.0243765784238345E-4</v>
      </c>
      <c r="BI14" s="730"/>
      <c r="BJ14" s="104"/>
      <c r="BM14" s="863">
        <v>0.9998948107708352</v>
      </c>
      <c r="BN14" s="863">
        <v>3.7460392681743095E-4</v>
      </c>
      <c r="BP14">
        <v>0.99937726819572326</v>
      </c>
      <c r="BQ14">
        <v>2.9852993231871333E-5</v>
      </c>
      <c r="BS14">
        <v>1.0001287583693486</v>
      </c>
      <c r="BT14">
        <v>3.0243765784238345E-4</v>
      </c>
    </row>
    <row r="15" spans="1:72" x14ac:dyDescent="0.2">
      <c r="A15" s="105">
        <f>'DATOS GENERALES'!A71:B71+AV15</f>
        <v>25.320456800437899</v>
      </c>
      <c r="B15" s="106"/>
      <c r="C15" s="105">
        <f>'DATOS GENERALES'!C71:D71+$G$3</f>
        <v>25.423729999999999</v>
      </c>
      <c r="D15" s="106"/>
      <c r="E15" s="107">
        <f>'DATOS GENERALES'!E71:F71+T15</f>
        <v>20.684307270567274</v>
      </c>
      <c r="F15" s="108"/>
      <c r="G15" s="109">
        <f>'DATOS GENERALES'!G71:H71+AA15</f>
        <v>20.983065402808375</v>
      </c>
      <c r="H15" s="110"/>
      <c r="I15" s="111">
        <f>'DATOS GENERALES'!I71:J71+AH15</f>
        <v>54.721129919828414</v>
      </c>
      <c r="J15" s="112"/>
      <c r="K15" s="825">
        <f>'DATOS GENERALES'!K71:L71+AO15</f>
        <v>910.34412607728154</v>
      </c>
      <c r="L15" s="112"/>
      <c r="N15" s="599"/>
      <c r="O15" s="731" t="s">
        <v>613</v>
      </c>
      <c r="P15" s="732">
        <f>IF('DATOS GENERALES'!E71="","",'DATOS GENERALES'!E71)</f>
        <v>20.84</v>
      </c>
      <c r="Q15" s="1034">
        <v>1.0090822312822327</v>
      </c>
      <c r="R15" s="1034">
        <v>0</v>
      </c>
      <c r="S15" s="734">
        <f t="shared" ref="S15:S28" si="1">IF(P15="","",$Q$14+$Q$15*P15+$Q$16*P15^2+$Q$17*P15^3+$Q$18*P15^4+$Q$19*P15^5+$Q$20*P15^6+$Q$21*P15^7+$Q$22*P15^8+$Q$23*P15^9+$Q$24*P15^10+$Q$25*P15^11)</f>
        <v>20.684307270567274</v>
      </c>
      <c r="T15" s="734">
        <f t="shared" ref="T15:T28" si="2">IF(P15="","",S15-P15)</f>
        <v>-0.15569272943272594</v>
      </c>
      <c r="U15" s="735">
        <f t="shared" ref="U15:U28" si="3">IF(P15="","",$R$14+$R$15*P15+$R$16*P15^2+$R$17*P15^3+$R$18*P15^4+$R$19*P15^5+$R$20*P15^6+$R$21*P15^7+$R$22*P15^8+$R$23*P15^9+$R$24*P15^10+$R$25*P15^11)</f>
        <v>5.3999999999999999E-2</v>
      </c>
      <c r="V15" s="725"/>
      <c r="W15" s="737">
        <f>IF('DATOS GENERALES'!G71="","",'DATOS GENERALES'!G71)</f>
        <v>20.8</v>
      </c>
      <c r="X15" s="1034">
        <v>1.4470493914866775</v>
      </c>
      <c r="Y15" s="1034">
        <v>6.226636211767958E-2</v>
      </c>
      <c r="Z15" s="734">
        <f t="shared" ref="Z15:Z28" si="4">IF(W15="","",$X$14+$X$15*W15+$X$16*W15^2+$X$17*W15^3+$X$18*W15^4+$X$19*W15^5+$X$20*W15^6+$X$21*W15^7+$X$22*W15^8+$X$23*W15^9+$X$24*W15^10+$X$25*W15^11)</f>
        <v>20.983065402808375</v>
      </c>
      <c r="AA15" s="734">
        <f t="shared" ref="AA15:AA28" si="5">IF(W15="","",Z15-W15)</f>
        <v>0.18306540280837424</v>
      </c>
      <c r="AB15" s="735">
        <f t="shared" ref="AB15:AB28" si="6">IF(W15="","",$Y$14+$Y$15*W15+$Y$16*W15^2+$Y$17*W15^3+$Y$18*W15^4+$Y$19*W15^5+$Y$20*W15^6+$Y$21*W15^7+$Y$22*W15^8+$Y$23*W15^9+$Y$24*W15^10+$Y$25*W15^11)</f>
        <v>0.27974014714180934</v>
      </c>
      <c r="AC15" s="727"/>
      <c r="AD15" s="737">
        <f>IF('DATOS GENERALES'!I71="","",'DATOS GENERALES'!I71)</f>
        <v>54.9</v>
      </c>
      <c r="AE15" s="1034">
        <v>1.2097898772989577</v>
      </c>
      <c r="AF15" s="1034">
        <v>7.3767891878945557E-3</v>
      </c>
      <c r="AG15" s="734">
        <f t="shared" ref="AG15:AG28" si="7">IF(AD15="","",$AE$14+$AE$15*AD15+$AE$16*AD15^2+$AE$17*AD15^3+$AE$18*AD15^4+$AE$19*AD15^5+$AE$20*AD15^6+$AE$21*AD15^7+$AE$22*AD15^8+$AE$23*AD15^9+$AE$24*AD15^10+$AE$25*AD15^11)</f>
        <v>54.721129919828414</v>
      </c>
      <c r="AH15" s="734">
        <f t="shared" ref="AH15:AH28" si="8">IF(AD15="","",AG15-AD15)</f>
        <v>-0.17887008017158479</v>
      </c>
      <c r="AI15" s="735">
        <f t="shared" ref="AI15:AI28" si="9">IF(AD15="","",$AF$14+$AF$15*AD15+$AF$16*AD15^2+$AF$17*AD15^3+$AF$18*AD15^4+$AF$19*AD15^5+$AF$20*AD15^6+$AF$21*AD15^7+$AF$22*AD15^8+$AF$23*AD15^9+$AF$24*AD15^10+$AF$25*AD15^11)</f>
        <v>0.7609880348593383</v>
      </c>
      <c r="AJ15" s="725"/>
      <c r="AK15" s="737">
        <f>'DATOS GENERALES'!K71</f>
        <v>910</v>
      </c>
      <c r="AL15" s="1034">
        <f t="shared" ref="AL15:AL25" si="10">IF(AND($AM$12=$BF$104,ISNUMBER(BG106)),BG106,IF(AND($AM$12=$BF$117,ISNUMBER(BG119)),BG119))</f>
        <v>-235.10167098233069</v>
      </c>
      <c r="AM15" s="1034">
        <f t="shared" ref="AM15:AM25" si="11">IF(AND($AM$12=$BF$104,ISNUMBER(BH106)),BH106,IF(AND($AM$12=$BF$117,ISNUMBER(BH119)),BH119))</f>
        <v>-3.503899392853782E-10</v>
      </c>
      <c r="AN15" s="734">
        <f t="shared" ref="AN15:AN28" si="12">IF(AK15="","",$AL$14+$AL$15*AK15+$AL$16*AK15^2+$AL$17*AK15^3+$AL$18*AK15^4+$AL$19*AK15^5+$AL$20*AK15^6+$AL$21*AK15^7+$AL$22*AK15^8+$AL$23*AK15^9+$AL$24*AK15^10+$AL$25*AK15^11)</f>
        <v>910.34412607728154</v>
      </c>
      <c r="AO15" s="734">
        <f t="shared" ref="AO15:AO28" si="13">IF(AK15="","",AN15-AK15)</f>
        <v>0.34412607728154399</v>
      </c>
      <c r="AP15" s="735">
        <f t="shared" ref="AP15:AP28" si="14">IF(AK15="","",$AM$14+$AM$15*AK15+$AM$16*AK15^2+$AM$17*AK15^3+$AM$18*AK15^4+$AM$19*AK15^5+$AM$20*AK15^6+$AM$21*AK15^7+$AM$22*AK15^8+$AM$23*AK15^9+$AM$24*AK15^10+$AM$25*AK15^11)</f>
        <v>0.44000000659045196</v>
      </c>
      <c r="AQ15" s="725"/>
      <c r="AR15" s="737">
        <f>IF('DATOS GENERALES'!A71="","",'DATOS GENERALES'!A71)</f>
        <v>25.320460000000001</v>
      </c>
      <c r="AS15" s="733">
        <f t="shared" ref="AS15:AS24" si="15">IF(AND($AT$12=$BF$27,$AR$14&gt;50),BG41,BG14)</f>
        <v>1.0001287583693486</v>
      </c>
      <c r="AT15" s="733">
        <f t="shared" ref="AT15:AT24" si="16">IF(AND($AT$12=$BF$27,$AR$14&gt;50),BH41,BH14)</f>
        <v>3.0243765784238345E-4</v>
      </c>
      <c r="AU15" s="734">
        <f t="shared" ref="AU15:AU25" si="17">IF(AR15="","",$AS$14+$AS$15*AR15+$AS$16*AR15^2+$AS$17*AR15^3+$AS$18*AR15^4+$AS$19*AR15^5+$AS$20*AR15^6+$AS$21*AR15^7+$AS$22*AR15^8+$AS$23*AR15^9+$AS$24*AR15^10+$AS$25*AR15^11)</f>
        <v>25.320456800437899</v>
      </c>
      <c r="AV15" s="734">
        <f t="shared" ref="AV15:AV28" si="18">IF(AR15="","",AU15-AR15)</f>
        <v>-3.1995621014857534E-6</v>
      </c>
      <c r="AW15" s="735">
        <f t="shared" ref="AW15:AW25" si="19">IF(AR15="","",$AT$14+$AT$15*AR15+$AT$16*AR15^2+$AT$17*AR15^3+$AT$18*AR15^4+$AT$19*AR15^5+$AT$20*AR15^6+$AT$21*AR15^7+$AT$22*AR15^8+$AT$23*AR15^9+$AT$24*AR15^10+$AT$25*AR15^11)</f>
        <v>7.8206799489929923E-5</v>
      </c>
      <c r="AX15" s="725"/>
      <c r="AY15" s="737">
        <f>IF('DATOS GENERALES'!C71="","",'DATOS GENERALES'!C71)</f>
        <v>25.42371</v>
      </c>
      <c r="AZ15" s="733">
        <f t="shared" ref="AZ15:AZ24" si="20">IF(AND($BA$12=$BF$27,$AY$14&gt;50),BG41,BG14)</f>
        <v>1.0001287583693486</v>
      </c>
      <c r="BA15" s="733">
        <f t="shared" ref="BA15:BA24" si="21">IF(AND($BA$12=$BF$27,$AY$14&gt;50),BH41,BH14)</f>
        <v>3.0243765784238345E-4</v>
      </c>
      <c r="BB15" s="734">
        <f t="shared" ref="BB15:BB25" si="22">IF(AY15="","",$AZ$14+$AZ$15*AY15+$AZ$16*AY15^2+$AZ$17*AY15^3+$AZ$18*AY15^4+$AZ$19*AY15^5+$AZ$20*AY15^6+$AZ$21*AY15^7+$AZ$22*AY15^8+$AZ$23*AY15^9+$AZ$24*AY15^10+$AZ$25*AY15^11)</f>
        <v>25.423707044138546</v>
      </c>
      <c r="BC15" s="734">
        <f t="shared" ref="BC15:BC28" si="23">IF(AY15="","",BB15-AY15)</f>
        <v>-2.9558614542679607E-6</v>
      </c>
      <c r="BD15" s="735">
        <f t="shared" ref="BD15:BD25" si="24">IF(AY15="","",$BA$14+$BA$15*AY15+$BA$16*AY15^2+$BA$17*AY15^3+$BA$18*AY15^4+$BA$19*AY15^5+$BA$20*AY15^6+$BA$21*AY15^7+$BA$22*AY15^8+$BA$23*AY15^9+$BA$24*AY15^10+$BA$25*AY15^11)</f>
        <v>7.8567194825206188E-5</v>
      </c>
      <c r="BF15" s="728">
        <v>3</v>
      </c>
      <c r="BG15" s="729">
        <f t="shared" si="0"/>
        <v>-7.0703616230294308E-5</v>
      </c>
      <c r="BH15" s="729">
        <f t="shared" si="0"/>
        <v>-1.5950950660069288E-4</v>
      </c>
      <c r="BI15" s="730"/>
      <c r="BM15" s="863">
        <v>6.0240951458179204E-5</v>
      </c>
      <c r="BN15" s="863">
        <v>-1.9793303282559783E-4</v>
      </c>
      <c r="BP15">
        <v>9.9805829760992999E-4</v>
      </c>
      <c r="BQ15">
        <v>-4.960312933914762E-5</v>
      </c>
      <c r="BS15">
        <v>-7.0703616230294308E-5</v>
      </c>
      <c r="BT15">
        <v>-1.5950950660069288E-4</v>
      </c>
    </row>
    <row r="16" spans="1:72" x14ac:dyDescent="0.2">
      <c r="A16" s="105">
        <f>'DATOS GENERALES'!A72:B72+AV16</f>
        <v>25.423707044138546</v>
      </c>
      <c r="B16" s="106"/>
      <c r="C16" s="105">
        <f>'DATOS GENERALES'!C72:D72+$G$3</f>
        <v>25.526160000000001</v>
      </c>
      <c r="D16" s="106"/>
      <c r="E16" s="107">
        <f>'DATOS GENERALES'!E72:F72+T16</f>
        <v>20.684307270567274</v>
      </c>
      <c r="F16" s="108"/>
      <c r="G16" s="109">
        <f>'DATOS GENERALES'!G72:H72+AA16</f>
        <v>20.983065402808375</v>
      </c>
      <c r="H16" s="110"/>
      <c r="I16" s="111">
        <f>'DATOS GENERALES'!I72:J72+AH16</f>
        <v>54.828496008682826</v>
      </c>
      <c r="J16" s="112"/>
      <c r="K16" s="825">
        <f>'DATOS GENERALES'!K72:L72+AO16</f>
        <v>910.34412607728154</v>
      </c>
      <c r="L16" s="112"/>
      <c r="N16" s="599">
        <v>1</v>
      </c>
      <c r="O16" s="731" t="s">
        <v>614</v>
      </c>
      <c r="P16" s="732">
        <f>IF('DATOS GENERALES'!E72="","",'DATOS GENERALES'!E72)</f>
        <v>20.84</v>
      </c>
      <c r="Q16" s="1034">
        <v>-2.1006021006023112E-4</v>
      </c>
      <c r="R16" s="1034">
        <v>5.4210108624275222E-20</v>
      </c>
      <c r="S16" s="734">
        <f t="shared" si="1"/>
        <v>20.684307270567274</v>
      </c>
      <c r="T16" s="734">
        <f t="shared" si="2"/>
        <v>-0.15569272943272594</v>
      </c>
      <c r="U16" s="735">
        <f t="shared" si="3"/>
        <v>5.3999999999999999E-2</v>
      </c>
      <c r="V16" s="725"/>
      <c r="W16" s="737">
        <f>IF('DATOS GENERALES'!G72="","",'DATOS GENERALES'!G72)</f>
        <v>20.8</v>
      </c>
      <c r="X16" s="1034">
        <v>-1.9204718770583273E-2</v>
      </c>
      <c r="Y16" s="1034">
        <v>-2.9362921149286231E-3</v>
      </c>
      <c r="Z16" s="734">
        <f t="shared" si="4"/>
        <v>20.983065402808375</v>
      </c>
      <c r="AA16" s="734">
        <f t="shared" si="5"/>
        <v>0.18306540280837424</v>
      </c>
      <c r="AB16" s="735">
        <f t="shared" si="6"/>
        <v>0.27974014714180934</v>
      </c>
      <c r="AC16" s="727"/>
      <c r="AD16" s="737">
        <f>IF('DATOS GENERALES'!I72="","",'DATOS GENERALES'!I72)</f>
        <v>55</v>
      </c>
      <c r="AE16" s="1034">
        <v>-1.2386623180603296E-3</v>
      </c>
      <c r="AF16" s="1034">
        <v>-2.9309577830594936E-5</v>
      </c>
      <c r="AG16" s="734">
        <f t="shared" si="7"/>
        <v>54.828496008682826</v>
      </c>
      <c r="AH16" s="734">
        <f t="shared" si="8"/>
        <v>-0.17150399131717364</v>
      </c>
      <c r="AI16" s="735">
        <f t="shared" si="9"/>
        <v>0.76140360151776953</v>
      </c>
      <c r="AJ16" s="725"/>
      <c r="AK16" s="737">
        <f>'DATOS GENERALES'!K72</f>
        <v>910</v>
      </c>
      <c r="AL16" s="1034">
        <f t="shared" si="10"/>
        <v>0.95696674968189654</v>
      </c>
      <c r="AM16" s="1034">
        <f t="shared" si="11"/>
        <v>3.2512881276147709E-13</v>
      </c>
      <c r="AN16" s="734">
        <f t="shared" si="12"/>
        <v>910.34412607728154</v>
      </c>
      <c r="AO16" s="734">
        <f t="shared" si="13"/>
        <v>0.34412607728154399</v>
      </c>
      <c r="AP16" s="735">
        <f t="shared" si="14"/>
        <v>0.44000000659045196</v>
      </c>
      <c r="AQ16" s="725"/>
      <c r="AR16" s="737">
        <f>IF('DATOS GENERALES'!A72="","",'DATOS GENERALES'!A72)</f>
        <v>25.42371</v>
      </c>
      <c r="AS16" s="733">
        <f t="shared" si="15"/>
        <v>-7.0703616230294308E-5</v>
      </c>
      <c r="AT16" s="733">
        <f t="shared" si="16"/>
        <v>-1.5950950660069288E-4</v>
      </c>
      <c r="AU16" s="734">
        <f t="shared" si="17"/>
        <v>25.423707044138546</v>
      </c>
      <c r="AV16" s="734">
        <f t="shared" si="18"/>
        <v>-2.9558614542679607E-6</v>
      </c>
      <c r="AW16" s="735">
        <f t="shared" si="19"/>
        <v>7.8567194825206188E-5</v>
      </c>
      <c r="AX16" s="725"/>
      <c r="AY16" s="737">
        <f>IF('DATOS GENERALES'!C72="","",'DATOS GENERALES'!C72)</f>
        <v>25.526140000000002</v>
      </c>
      <c r="AZ16" s="733">
        <f t="shared" si="20"/>
        <v>-7.0703616230294308E-5</v>
      </c>
      <c r="BA16" s="733">
        <f t="shared" si="21"/>
        <v>-1.5950950660069288E-4</v>
      </c>
      <c r="BB16" s="734">
        <f t="shared" si="22"/>
        <v>25.526137281444218</v>
      </c>
      <c r="BC16" s="734">
        <f t="shared" si="23"/>
        <v>-2.7185557840425645E-6</v>
      </c>
      <c r="BD16" s="735">
        <f t="shared" si="24"/>
        <v>7.891097340804315E-5</v>
      </c>
      <c r="BF16" s="728">
        <v>4</v>
      </c>
      <c r="BG16" s="729">
        <f t="shared" si="0"/>
        <v>1.5340551274306558E-5</v>
      </c>
      <c r="BH16" s="729">
        <f t="shared" si="0"/>
        <v>3.3746117833257452E-5</v>
      </c>
      <c r="BI16" s="730"/>
      <c r="BM16" s="863">
        <v>-1.2905550632574814E-5</v>
      </c>
      <c r="BN16" s="863">
        <v>4.1941623887783223E-5</v>
      </c>
      <c r="BP16">
        <v>-6.179850364072413E-4</v>
      </c>
      <c r="BQ16">
        <v>3.3522043593319813E-5</v>
      </c>
      <c r="BS16">
        <v>1.5340551274306558E-5</v>
      </c>
      <c r="BT16">
        <v>3.3746117833257452E-5</v>
      </c>
    </row>
    <row r="17" spans="1:72" x14ac:dyDescent="0.2">
      <c r="A17" s="105">
        <f>'DATOS GENERALES'!A73:B73+AV17</f>
        <v>25.526137281444218</v>
      </c>
      <c r="B17" s="106"/>
      <c r="C17" s="105">
        <f>'DATOS GENERALES'!C73:D73+$G$3</f>
        <v>25.628640000000001</v>
      </c>
      <c r="D17" s="106"/>
      <c r="E17" s="107">
        <f>'DATOS GENERALES'!E73:F73+T17</f>
        <v>20.674303980343982</v>
      </c>
      <c r="F17" s="108"/>
      <c r="G17" s="109">
        <f>'DATOS GENERALES'!G73:H73+AA17</f>
        <v>20.983065402808375</v>
      </c>
      <c r="H17" s="110"/>
      <c r="I17" s="111">
        <f>'DATOS GENERALES'!I73:J73+AH17</f>
        <v>54.828496008682826</v>
      </c>
      <c r="J17" s="112"/>
      <c r="K17" s="825">
        <f>'DATOS GENERALES'!K73:L73+AO17</f>
        <v>910.34412607728154</v>
      </c>
      <c r="L17" s="112"/>
      <c r="N17" s="599"/>
      <c r="O17" s="731" t="s">
        <v>615</v>
      </c>
      <c r="P17" s="732">
        <f>IF('DATOS GENERALES'!E73="","",'DATOS GENERALES'!E73)</f>
        <v>20.83</v>
      </c>
      <c r="Q17" s="733"/>
      <c r="R17" s="733"/>
      <c r="S17" s="734">
        <f t="shared" si="1"/>
        <v>20.674303980343982</v>
      </c>
      <c r="T17" s="734">
        <f t="shared" si="2"/>
        <v>-0.1556960196560162</v>
      </c>
      <c r="U17" s="735">
        <f t="shared" si="3"/>
        <v>5.3999999999999999E-2</v>
      </c>
      <c r="V17" s="725"/>
      <c r="W17" s="737">
        <f>IF('DATOS GENERALES'!G73="","",'DATOS GENERALES'!G73)</f>
        <v>20.8</v>
      </c>
      <c r="X17" s="1034">
        <v>2.5770048191930094E-4</v>
      </c>
      <c r="Y17" s="1034">
        <v>4.5834038776023566E-5</v>
      </c>
      <c r="Z17" s="734">
        <f t="shared" si="4"/>
        <v>20.983065402808375</v>
      </c>
      <c r="AA17" s="734">
        <f t="shared" si="5"/>
        <v>0.18306540280837424</v>
      </c>
      <c r="AB17" s="735">
        <f t="shared" si="6"/>
        <v>0.27974014714180934</v>
      </c>
      <c r="AC17" s="727"/>
      <c r="AD17" s="737">
        <f>IF('DATOS GENERALES'!I73="","",'DATOS GENERALES'!I73)</f>
        <v>55</v>
      </c>
      <c r="AE17" s="733"/>
      <c r="AF17" s="733"/>
      <c r="AG17" s="734">
        <f t="shared" si="7"/>
        <v>54.828496008682826</v>
      </c>
      <c r="AH17" s="734">
        <f t="shared" si="8"/>
        <v>-0.17150399131717364</v>
      </c>
      <c r="AI17" s="735">
        <f t="shared" si="9"/>
        <v>0.76140360151776953</v>
      </c>
      <c r="AJ17" s="725"/>
      <c r="AK17" s="737">
        <f>'DATOS GENERALES'!K73</f>
        <v>910</v>
      </c>
      <c r="AL17" s="1034">
        <f t="shared" si="10"/>
        <v>-2.1601233763428596E-3</v>
      </c>
      <c r="AM17" s="1034">
        <f t="shared" si="11"/>
        <v>-4.1362312880321994E-17</v>
      </c>
      <c r="AN17" s="734">
        <f t="shared" si="12"/>
        <v>910.34412607728154</v>
      </c>
      <c r="AO17" s="734">
        <f t="shared" si="13"/>
        <v>0.34412607728154399</v>
      </c>
      <c r="AP17" s="735">
        <f t="shared" si="14"/>
        <v>0.44000000659045196</v>
      </c>
      <c r="AQ17" s="725"/>
      <c r="AR17" s="737">
        <f>IF('DATOS GENERALES'!A73="","",'DATOS GENERALES'!A73)</f>
        <v>25.526140000000002</v>
      </c>
      <c r="AS17" s="733">
        <f t="shared" si="15"/>
        <v>1.5340551274306558E-5</v>
      </c>
      <c r="AT17" s="733">
        <f t="shared" si="16"/>
        <v>3.3746117833257452E-5</v>
      </c>
      <c r="AU17" s="734">
        <f t="shared" si="17"/>
        <v>25.526137281444218</v>
      </c>
      <c r="AV17" s="734">
        <f t="shared" si="18"/>
        <v>-2.7185557840425645E-6</v>
      </c>
      <c r="AW17" s="735">
        <f t="shared" si="19"/>
        <v>7.891097340804315E-5</v>
      </c>
      <c r="AX17" s="725"/>
      <c r="AY17" s="737">
        <f>IF('DATOS GENERALES'!C73="","",'DATOS GENERALES'!C73)</f>
        <v>25.628620000000002</v>
      </c>
      <c r="AZ17" s="733">
        <f t="shared" si="20"/>
        <v>1.5340551274306558E-5</v>
      </c>
      <c r="BA17" s="733">
        <f t="shared" si="21"/>
        <v>3.3746117833257452E-5</v>
      </c>
      <c r="BB17" s="734">
        <f t="shared" si="22"/>
        <v>25.628617514211864</v>
      </c>
      <c r="BC17" s="734">
        <f t="shared" si="23"/>
        <v>-2.4857881371076473E-6</v>
      </c>
      <c r="BD17" s="735">
        <f t="shared" si="24"/>
        <v>7.9241229510466915E-5</v>
      </c>
      <c r="BF17" s="728">
        <v>5</v>
      </c>
      <c r="BG17" s="729">
        <f t="shared" si="0"/>
        <v>-1.7524005848090773E-6</v>
      </c>
      <c r="BH17" s="729">
        <f t="shared" si="0"/>
        <v>-3.8144468974453568E-6</v>
      </c>
      <c r="BI17" s="730"/>
      <c r="BM17" s="863">
        <v>1.4572575226245998E-6</v>
      </c>
      <c r="BN17" s="863">
        <v>-4.7514087074072503E-6</v>
      </c>
      <c r="BP17">
        <v>1.9279828808405376E-4</v>
      </c>
      <c r="BQ17">
        <v>-1.0260034999706257E-5</v>
      </c>
      <c r="BS17">
        <v>-1.7524005848090773E-6</v>
      </c>
      <c r="BT17">
        <v>-3.8144468974453568E-6</v>
      </c>
    </row>
    <row r="18" spans="1:72" x14ac:dyDescent="0.2">
      <c r="A18" s="105">
        <f>'DATOS GENERALES'!A74:B74+AV18</f>
        <v>25.628617514211864</v>
      </c>
      <c r="B18" s="106"/>
      <c r="C18" s="105">
        <f>'DATOS GENERALES'!C74:D74+$G$3</f>
        <v>25.73188</v>
      </c>
      <c r="D18" s="106"/>
      <c r="E18" s="107">
        <f>'DATOS GENERALES'!E74:F74+T18</f>
        <v>20.664300648108654</v>
      </c>
      <c r="F18" s="108"/>
      <c r="G18" s="109">
        <f>'DATOS GENERALES'!G74:H74+AA18</f>
        <v>20.983065402808375</v>
      </c>
      <c r="H18" s="110"/>
      <c r="I18" s="111">
        <f>'DATOS GENERALES'!I74:J74+AH18</f>
        <v>54.613739057727635</v>
      </c>
      <c r="J18" s="112"/>
      <c r="K18" s="825">
        <f>'DATOS GENERALES'!K74:L74+AO18</f>
        <v>910.34412607728154</v>
      </c>
      <c r="L18" s="112"/>
      <c r="N18" s="599"/>
      <c r="O18" s="731" t="s">
        <v>616</v>
      </c>
      <c r="P18" s="732">
        <f>IF('DATOS GENERALES'!E74="","",'DATOS GENERALES'!E74)</f>
        <v>20.82</v>
      </c>
      <c r="Q18" s="733"/>
      <c r="R18" s="733"/>
      <c r="S18" s="734">
        <f t="shared" si="1"/>
        <v>20.664300648108654</v>
      </c>
      <c r="T18" s="734">
        <f t="shared" si="2"/>
        <v>-0.15569935189134654</v>
      </c>
      <c r="U18" s="735">
        <f t="shared" si="3"/>
        <v>5.3999999999999999E-2</v>
      </c>
      <c r="V18" s="725"/>
      <c r="W18" s="737">
        <f>IF('DATOS GENERALES'!G74="","",'DATOS GENERALES'!G74)</f>
        <v>20.8</v>
      </c>
      <c r="X18" s="733"/>
      <c r="Y18" s="733"/>
      <c r="Z18" s="734">
        <f t="shared" si="4"/>
        <v>20.983065402808375</v>
      </c>
      <c r="AA18" s="734">
        <f t="shared" si="5"/>
        <v>0.18306540280837424</v>
      </c>
      <c r="AB18" s="735">
        <f t="shared" si="6"/>
        <v>0.27974014714180934</v>
      </c>
      <c r="AC18" s="727"/>
      <c r="AD18" s="737">
        <f>IF('DATOS GENERALES'!I74="","",'DATOS GENERALES'!I74)</f>
        <v>54.8</v>
      </c>
      <c r="AE18" s="733"/>
      <c r="AF18" s="733"/>
      <c r="AG18" s="734">
        <f t="shared" si="7"/>
        <v>54.613739057727635</v>
      </c>
      <c r="AH18" s="734">
        <f t="shared" si="8"/>
        <v>-0.18626094227236223</v>
      </c>
      <c r="AI18" s="735">
        <f t="shared" si="9"/>
        <v>0.76057188200935055</v>
      </c>
      <c r="AJ18" s="725"/>
      <c r="AK18" s="737">
        <f>'DATOS GENERALES'!K74</f>
        <v>910</v>
      </c>
      <c r="AL18" s="1034">
        <f t="shared" si="10"/>
        <v>2.9597793362698584E-6</v>
      </c>
      <c r="AM18" s="1034">
        <f t="shared" si="11"/>
        <v>-7.8879943213056719E-20</v>
      </c>
      <c r="AN18" s="734">
        <f t="shared" si="12"/>
        <v>910.34412607728154</v>
      </c>
      <c r="AO18" s="734">
        <f t="shared" si="13"/>
        <v>0.34412607728154399</v>
      </c>
      <c r="AP18" s="735">
        <f t="shared" si="14"/>
        <v>0.44000000659045196</v>
      </c>
      <c r="AQ18" s="725"/>
      <c r="AR18" s="737">
        <f>IF('DATOS GENERALES'!A74="","",'DATOS GENERALES'!A74)</f>
        <v>25.628620000000002</v>
      </c>
      <c r="AS18" s="733">
        <f t="shared" si="15"/>
        <v>-1.7524005848090773E-6</v>
      </c>
      <c r="AT18" s="733">
        <f t="shared" si="16"/>
        <v>-3.8144468974453568E-6</v>
      </c>
      <c r="AU18" s="734">
        <f t="shared" si="17"/>
        <v>25.628617514211864</v>
      </c>
      <c r="AV18" s="734">
        <f t="shared" si="18"/>
        <v>-2.4857881371076473E-6</v>
      </c>
      <c r="AW18" s="735">
        <f t="shared" si="19"/>
        <v>7.9241229510466915E-5</v>
      </c>
      <c r="AX18" s="725"/>
      <c r="AY18" s="737">
        <f>IF('DATOS GENERALES'!C74="","",'DATOS GENERALES'!C74)</f>
        <v>25.731860000000001</v>
      </c>
      <c r="AZ18" s="733">
        <f t="shared" si="20"/>
        <v>-1.7524005848090773E-6</v>
      </c>
      <c r="BA18" s="733">
        <f t="shared" si="21"/>
        <v>-3.8144468974453568E-6</v>
      </c>
      <c r="BB18" s="734">
        <f t="shared" si="22"/>
        <v>25.731857743806895</v>
      </c>
      <c r="BC18" s="734">
        <f t="shared" si="23"/>
        <v>-2.2561931061204632E-6</v>
      </c>
      <c r="BD18" s="735">
        <f t="shared" si="24"/>
        <v>7.956014814702872E-5</v>
      </c>
      <c r="BF18" s="728">
        <v>6</v>
      </c>
      <c r="BG18" s="729">
        <f t="shared" si="0"/>
        <v>1.1848120705544585E-7</v>
      </c>
      <c r="BH18" s="729">
        <f t="shared" si="0"/>
        <v>2.5805543157208554E-7</v>
      </c>
      <c r="BI18" s="738"/>
      <c r="BM18" s="863">
        <v>-9.7734140750913023E-8</v>
      </c>
      <c r="BN18" s="863">
        <v>3.2228631973207231E-7</v>
      </c>
      <c r="BP18">
        <v>-3.3066637615670594E-5</v>
      </c>
      <c r="BQ18">
        <v>1.6245723486945634E-6</v>
      </c>
      <c r="BS18">
        <v>1.1848120705544585E-7</v>
      </c>
      <c r="BT18">
        <v>2.5805543157208554E-7</v>
      </c>
    </row>
    <row r="19" spans="1:72" x14ac:dyDescent="0.2">
      <c r="A19" s="105">
        <f>'DATOS GENERALES'!A75:B75+AV19</f>
        <v>25.731857743806895</v>
      </c>
      <c r="B19" s="106"/>
      <c r="C19" s="105">
        <f>'DATOS GENERALES'!C75:D75+$G$3</f>
        <v>25.83464</v>
      </c>
      <c r="D19" s="106"/>
      <c r="E19" s="107">
        <f>'DATOS GENERALES'!E75:F75+T19</f>
        <v>20.654297273861275</v>
      </c>
      <c r="F19" s="108"/>
      <c r="G19" s="109">
        <f>'DATOS GENERALES'!G75:H75+AA19</f>
        <v>20.983065402808375</v>
      </c>
      <c r="H19" s="110"/>
      <c r="I19" s="111">
        <f>'DATOS GENERALES'!I75:J75+AH19</f>
        <v>54.935837324290887</v>
      </c>
      <c r="J19" s="112"/>
      <c r="K19" s="825">
        <f>'DATOS GENERALES'!K75:L75+AO19</f>
        <v>910.34412607728154</v>
      </c>
      <c r="L19" s="112"/>
      <c r="N19" s="599"/>
      <c r="O19" s="731" t="s">
        <v>617</v>
      </c>
      <c r="P19" s="732">
        <f>IF('DATOS GENERALES'!E75="","",'DATOS GENERALES'!E75)</f>
        <v>20.81</v>
      </c>
      <c r="Q19" s="733"/>
      <c r="R19" s="733"/>
      <c r="S19" s="734">
        <f t="shared" si="1"/>
        <v>20.654297273861275</v>
      </c>
      <c r="T19" s="734">
        <f t="shared" si="2"/>
        <v>-0.15570272613872405</v>
      </c>
      <c r="U19" s="735">
        <f t="shared" si="3"/>
        <v>5.3999999999999999E-2</v>
      </c>
      <c r="V19" s="725"/>
      <c r="W19" s="737">
        <f>IF('DATOS GENERALES'!G75="","",'DATOS GENERALES'!G75)</f>
        <v>20.8</v>
      </c>
      <c r="X19" s="733"/>
      <c r="Y19" s="733"/>
      <c r="Z19" s="734">
        <f t="shared" si="4"/>
        <v>20.983065402808375</v>
      </c>
      <c r="AA19" s="734">
        <f t="shared" si="5"/>
        <v>0.18306540280837424</v>
      </c>
      <c r="AB19" s="735">
        <f t="shared" si="6"/>
        <v>0.27974014714180934</v>
      </c>
      <c r="AC19" s="727"/>
      <c r="AD19" s="737">
        <f>IF('DATOS GENERALES'!I75="","",'DATOS GENERALES'!I75)</f>
        <v>55.1</v>
      </c>
      <c r="AE19" s="733"/>
      <c r="AF19" s="733"/>
      <c r="AG19" s="734">
        <f t="shared" si="7"/>
        <v>54.935837324290887</v>
      </c>
      <c r="AH19" s="734">
        <f t="shared" si="8"/>
        <v>-0.16416267570911458</v>
      </c>
      <c r="AI19" s="735">
        <f t="shared" si="9"/>
        <v>0.76181858198464414</v>
      </c>
      <c r="AJ19" s="725"/>
      <c r="AK19" s="737">
        <f>'DATOS GENERALES'!K75</f>
        <v>910</v>
      </c>
      <c r="AL19" s="1034">
        <f t="shared" si="10"/>
        <v>-2.5069455297245282E-9</v>
      </c>
      <c r="AM19" s="1034">
        <f t="shared" si="11"/>
        <v>6.2348738671184461E-23</v>
      </c>
      <c r="AN19" s="734">
        <f t="shared" si="12"/>
        <v>910.34412607728154</v>
      </c>
      <c r="AO19" s="734">
        <f t="shared" si="13"/>
        <v>0.34412607728154399</v>
      </c>
      <c r="AP19" s="735">
        <f t="shared" si="14"/>
        <v>0.44000000659045196</v>
      </c>
      <c r="AQ19" s="725"/>
      <c r="AR19" s="737">
        <f>IF('DATOS GENERALES'!A75="","",'DATOS GENERALES'!A75)</f>
        <v>25.731860000000001</v>
      </c>
      <c r="AS19" s="733">
        <f t="shared" si="15"/>
        <v>1.1848120705544585E-7</v>
      </c>
      <c r="AT19" s="733">
        <f t="shared" si="16"/>
        <v>2.5805543157208554E-7</v>
      </c>
      <c r="AU19" s="734">
        <f t="shared" si="17"/>
        <v>25.731857743806895</v>
      </c>
      <c r="AV19" s="734">
        <f t="shared" si="18"/>
        <v>-2.2561931061204632E-6</v>
      </c>
      <c r="AW19" s="735">
        <f t="shared" si="19"/>
        <v>7.956014814702872E-5</v>
      </c>
      <c r="AX19" s="725"/>
      <c r="AY19" s="737">
        <f>IF('DATOS GENERALES'!C75="","",'DATOS GENERALES'!C75)</f>
        <v>25.834620000000001</v>
      </c>
      <c r="AZ19" s="733">
        <f t="shared" si="20"/>
        <v>1.1848120705544585E-7</v>
      </c>
      <c r="BA19" s="733">
        <f t="shared" si="21"/>
        <v>2.5805543157208554E-7</v>
      </c>
      <c r="BB19" s="734">
        <f t="shared" si="22"/>
        <v>25.834617967279513</v>
      </c>
      <c r="BC19" s="734">
        <f t="shared" si="23"/>
        <v>-2.032720487932238E-6</v>
      </c>
      <c r="BD19" s="735">
        <f t="shared" si="24"/>
        <v>7.9863941856578302E-5</v>
      </c>
      <c r="BF19" s="728">
        <v>7</v>
      </c>
      <c r="BG19" s="729">
        <f t="shared" si="0"/>
        <v>-4.9960517953733874E-9</v>
      </c>
      <c r="BH19" s="729">
        <f t="shared" si="0"/>
        <v>-1.0966527928468989E-8</v>
      </c>
      <c r="BI19" s="739"/>
      <c r="BM19" s="863">
        <v>4.0969866014098724E-9</v>
      </c>
      <c r="BN19" s="863">
        <v>-1.3733780933282473E-8</v>
      </c>
      <c r="BP19">
        <v>3.1986981636574108E-6</v>
      </c>
      <c r="BQ19">
        <v>-1.4325922336409646E-7</v>
      </c>
      <c r="BS19">
        <v>-4.9960517953733874E-9</v>
      </c>
      <c r="BT19">
        <v>-1.0966527928468989E-8</v>
      </c>
    </row>
    <row r="20" spans="1:72" x14ac:dyDescent="0.2">
      <c r="A20" s="105">
        <f>'DATOS GENERALES'!A76:B76+AV20</f>
        <v>25.834617967279513</v>
      </c>
      <c r="B20" s="106"/>
      <c r="C20" s="105">
        <f>'DATOS GENERALES'!C76:D76+$G$3</f>
        <v>25.937549999999998</v>
      </c>
      <c r="D20" s="106"/>
      <c r="E20" s="107">
        <f>'DATOS GENERALES'!E76:F76+T20</f>
        <v>20.6342903993304</v>
      </c>
      <c r="F20" s="108"/>
      <c r="G20" s="109">
        <f>'DATOS GENERALES'!G76:H76+AA20</f>
        <v>20.983065402808375</v>
      </c>
      <c r="H20" s="110"/>
      <c r="I20" s="111">
        <f>'DATOS GENERALES'!I76:J76+AH20</f>
        <v>54.721129919828414</v>
      </c>
      <c r="J20" s="112"/>
      <c r="K20" s="825">
        <f>'DATOS GENERALES'!K76:L76+AO20</f>
        <v>910.34412607728154</v>
      </c>
      <c r="L20" s="112"/>
      <c r="N20" s="599"/>
      <c r="O20" s="731" t="s">
        <v>618</v>
      </c>
      <c r="P20" s="732">
        <f>IF('DATOS GENERALES'!E76="","",'DATOS GENERALES'!E76)</f>
        <v>20.79</v>
      </c>
      <c r="Q20" s="733"/>
      <c r="R20" s="733"/>
      <c r="S20" s="734">
        <f t="shared" si="1"/>
        <v>20.6342903993304</v>
      </c>
      <c r="T20" s="734">
        <f t="shared" si="2"/>
        <v>-0.15570960066959927</v>
      </c>
      <c r="U20" s="735">
        <f t="shared" si="3"/>
        <v>5.3999999999999999E-2</v>
      </c>
      <c r="V20" s="725"/>
      <c r="W20" s="737">
        <f>IF('DATOS GENERALES'!G76="","",'DATOS GENERALES'!G76)</f>
        <v>20.8</v>
      </c>
      <c r="X20" s="733"/>
      <c r="Y20" s="733"/>
      <c r="Z20" s="734">
        <f t="shared" si="4"/>
        <v>20.983065402808375</v>
      </c>
      <c r="AA20" s="734">
        <f t="shared" si="5"/>
        <v>0.18306540280837424</v>
      </c>
      <c r="AB20" s="735">
        <f t="shared" si="6"/>
        <v>0.27974014714180934</v>
      </c>
      <c r="AC20" s="727"/>
      <c r="AD20" s="737">
        <f>IF('DATOS GENERALES'!I76="","",'DATOS GENERALES'!I76)</f>
        <v>54.9</v>
      </c>
      <c r="AE20" s="733"/>
      <c r="AF20" s="733"/>
      <c r="AG20" s="734">
        <f t="shared" si="7"/>
        <v>54.721129919828414</v>
      </c>
      <c r="AH20" s="734">
        <f t="shared" si="8"/>
        <v>-0.17887008017158479</v>
      </c>
      <c r="AI20" s="735">
        <f t="shared" si="9"/>
        <v>0.7609880348593383</v>
      </c>
      <c r="AJ20" s="725"/>
      <c r="AK20" s="737">
        <f>'DATOS GENERALES'!K76</f>
        <v>910</v>
      </c>
      <c r="AL20" s="1034">
        <f t="shared" si="10"/>
        <v>1.27010278974868E-12</v>
      </c>
      <c r="AM20" s="1034">
        <f t="shared" si="11"/>
        <v>2.1709452111682245E-27</v>
      </c>
      <c r="AN20" s="734">
        <f t="shared" si="12"/>
        <v>910.34412607728154</v>
      </c>
      <c r="AO20" s="734">
        <f t="shared" si="13"/>
        <v>0.34412607728154399</v>
      </c>
      <c r="AP20" s="735">
        <f t="shared" si="14"/>
        <v>0.44000000659045196</v>
      </c>
      <c r="AQ20" s="725"/>
      <c r="AR20" s="737">
        <f>IF('DATOS GENERALES'!A76="","",'DATOS GENERALES'!A76)</f>
        <v>25.834620000000001</v>
      </c>
      <c r="AS20" s="733">
        <f t="shared" si="15"/>
        <v>-4.9960517953733874E-9</v>
      </c>
      <c r="AT20" s="733">
        <f t="shared" si="16"/>
        <v>-1.0966527928468989E-8</v>
      </c>
      <c r="AU20" s="734">
        <f t="shared" si="17"/>
        <v>25.834617967279513</v>
      </c>
      <c r="AV20" s="734">
        <f t="shared" si="18"/>
        <v>-2.032720487932238E-6</v>
      </c>
      <c r="AW20" s="735">
        <f t="shared" si="19"/>
        <v>7.9863941856578302E-5</v>
      </c>
      <c r="AX20" s="725"/>
      <c r="AY20" s="737">
        <f>IF('DATOS GENERALES'!C76="","",'DATOS GENERALES'!C76)</f>
        <v>25.937529999999999</v>
      </c>
      <c r="AZ20" s="733">
        <f t="shared" si="20"/>
        <v>-4.9960517953733874E-9</v>
      </c>
      <c r="BA20" s="733">
        <f t="shared" si="21"/>
        <v>-1.0966527928468989E-8</v>
      </c>
      <c r="BB20" s="734">
        <f t="shared" si="22"/>
        <v>25.937528185871095</v>
      </c>
      <c r="BC20" s="734">
        <f t="shared" si="23"/>
        <v>-1.8141289039874664E-6</v>
      </c>
      <c r="BD20" s="735">
        <f t="shared" si="24"/>
        <v>8.0154677295055793E-5</v>
      </c>
      <c r="BF20" s="728">
        <v>8</v>
      </c>
      <c r="BG20" s="729">
        <f t="shared" si="0"/>
        <v>1.3295245502303193E-10</v>
      </c>
      <c r="BH20" s="729">
        <f t="shared" si="0"/>
        <v>2.9536854506783193E-10</v>
      </c>
      <c r="BI20" s="739"/>
      <c r="BM20" s="863">
        <v>-1.0847652713618085E-10</v>
      </c>
      <c r="BN20" s="863">
        <v>3.7088696492747629E-10</v>
      </c>
      <c r="BP20">
        <v>-1.7451456127078841E-7</v>
      </c>
      <c r="BQ20">
        <v>7.2172871147301915E-9</v>
      </c>
      <c r="BS20">
        <v>1.3295245502303193E-10</v>
      </c>
      <c r="BT20">
        <v>2.9536854506783193E-10</v>
      </c>
    </row>
    <row r="21" spans="1:72" x14ac:dyDescent="0.2">
      <c r="A21" s="105">
        <f>'DATOS GENERALES'!A77:B77+AV21</f>
        <v>25.937528185871095</v>
      </c>
      <c r="B21" s="106"/>
      <c r="C21" s="105">
        <f>'DATOS GENERALES'!C77:D77+$G$3</f>
        <v>26.040430000000001</v>
      </c>
      <c r="D21" s="106"/>
      <c r="E21" s="107">
        <f>'DATOS GENERALES'!E77:F77+T21</f>
        <v>20.644293857601863</v>
      </c>
      <c r="F21" s="108"/>
      <c r="G21" s="109">
        <f>'DATOS GENERALES'!G77:H77+AA21</f>
        <v>20.983065402808375</v>
      </c>
      <c r="H21" s="110"/>
      <c r="I21" s="111">
        <f>'DATOS GENERALES'!I77:J77+AH21</f>
        <v>55.150445635767895</v>
      </c>
      <c r="J21" s="112"/>
      <c r="K21" s="825">
        <f>'DATOS GENERALES'!K77:L77+AO21</f>
        <v>910.34412607728154</v>
      </c>
      <c r="L21" s="112"/>
      <c r="N21" s="599"/>
      <c r="O21" s="731" t="s">
        <v>619</v>
      </c>
      <c r="P21" s="732">
        <f>IF('DATOS GENERALES'!E77="","",'DATOS GENERALES'!E77)</f>
        <v>20.8</v>
      </c>
      <c r="Q21" s="733"/>
      <c r="R21" s="733"/>
      <c r="S21" s="734">
        <f t="shared" si="1"/>
        <v>20.644293857601863</v>
      </c>
      <c r="T21" s="734">
        <f t="shared" si="2"/>
        <v>-0.15570614239813807</v>
      </c>
      <c r="U21" s="735">
        <f t="shared" si="3"/>
        <v>5.3999999999999999E-2</v>
      </c>
      <c r="V21" s="725"/>
      <c r="W21" s="737">
        <f>IF('DATOS GENERALES'!G77="","",'DATOS GENERALES'!G77)</f>
        <v>20.8</v>
      </c>
      <c r="X21" s="733"/>
      <c r="Y21" s="733"/>
      <c r="Z21" s="734">
        <f t="shared" si="4"/>
        <v>20.983065402808375</v>
      </c>
      <c r="AA21" s="734">
        <f t="shared" si="5"/>
        <v>0.18306540280837424</v>
      </c>
      <c r="AB21" s="735">
        <f t="shared" si="6"/>
        <v>0.27974014714180934</v>
      </c>
      <c r="AC21" s="727"/>
      <c r="AD21" s="737">
        <f>IF('DATOS GENERALES'!I77="","",'DATOS GENERALES'!I77)</f>
        <v>55.3</v>
      </c>
      <c r="AE21" s="733"/>
      <c r="AF21" s="733"/>
      <c r="AG21" s="734">
        <f t="shared" si="7"/>
        <v>55.150445635767895</v>
      </c>
      <c r="AH21" s="734">
        <f t="shared" si="8"/>
        <v>-0.14955436423210244</v>
      </c>
      <c r="AI21" s="735">
        <f t="shared" si="9"/>
        <v>0.76264678434372346</v>
      </c>
      <c r="AJ21" s="725"/>
      <c r="AK21" s="737">
        <f>'DATOS GENERALES'!K77</f>
        <v>910</v>
      </c>
      <c r="AL21" s="1034">
        <f t="shared" si="10"/>
        <v>-3.4611338492853374E-16</v>
      </c>
      <c r="AM21" s="1034">
        <f t="shared" si="11"/>
        <v>-6.8039253075312268E-30</v>
      </c>
      <c r="AN21" s="734">
        <f t="shared" si="12"/>
        <v>910.34412607728154</v>
      </c>
      <c r="AO21" s="734">
        <f t="shared" si="13"/>
        <v>0.34412607728154399</v>
      </c>
      <c r="AP21" s="735">
        <f t="shared" si="14"/>
        <v>0.44000000659045196</v>
      </c>
      <c r="AQ21" s="725"/>
      <c r="AR21" s="737">
        <f>IF('DATOS GENERALES'!A77="","",'DATOS GENERALES'!A77)</f>
        <v>25.937529999999999</v>
      </c>
      <c r="AS21" s="733">
        <f t="shared" si="15"/>
        <v>1.3295245502303193E-10</v>
      </c>
      <c r="AT21" s="733">
        <f t="shared" si="16"/>
        <v>2.9536854506783193E-10</v>
      </c>
      <c r="AU21" s="734">
        <f t="shared" si="17"/>
        <v>25.937528185871095</v>
      </c>
      <c r="AV21" s="734">
        <f t="shared" si="18"/>
        <v>-1.8141289039874664E-6</v>
      </c>
      <c r="AW21" s="735">
        <f t="shared" si="19"/>
        <v>8.0154677295055793E-5</v>
      </c>
      <c r="AX21" s="725"/>
      <c r="AY21" s="737">
        <f>IF('DATOS GENERALES'!C77="","",'DATOS GENERALES'!C77)</f>
        <v>26.040410000000001</v>
      </c>
      <c r="AZ21" s="733">
        <f t="shared" si="20"/>
        <v>1.3295245502303193E-10</v>
      </c>
      <c r="BA21" s="733">
        <f t="shared" si="21"/>
        <v>2.9536854506783193E-10</v>
      </c>
      <c r="BB21" s="734">
        <f t="shared" si="22"/>
        <v>26.040408399056723</v>
      </c>
      <c r="BC21" s="734">
        <f t="shared" si="23"/>
        <v>-1.6009432783903321E-6</v>
      </c>
      <c r="BD21" s="735">
        <f t="shared" si="24"/>
        <v>8.0431999432278856E-5</v>
      </c>
      <c r="BF21" s="728">
        <v>9</v>
      </c>
      <c r="BG21" s="729">
        <f t="shared" si="0"/>
        <v>-2.1717464925059899E-12</v>
      </c>
      <c r="BH21" s="729">
        <f t="shared" si="0"/>
        <v>-4.8947159878212232E-12</v>
      </c>
      <c r="BI21" s="739"/>
      <c r="BK21" s="1"/>
      <c r="BM21" s="863">
        <v>1.7630957079495958E-12</v>
      </c>
      <c r="BN21" s="863">
        <v>-6.1612011180447931E-12</v>
      </c>
      <c r="BP21">
        <v>5.2540776970182358E-9</v>
      </c>
      <c r="BQ21">
        <v>-2.0435320506863785E-10</v>
      </c>
      <c r="BS21">
        <v>-2.1717464925059899E-12</v>
      </c>
      <c r="BT21">
        <v>-4.8947159878212232E-12</v>
      </c>
    </row>
    <row r="22" spans="1:72" x14ac:dyDescent="0.2">
      <c r="A22" s="105">
        <f>'DATOS GENERALES'!A78:B78+AV22</f>
        <v>26.040408399056723</v>
      </c>
      <c r="B22" s="106"/>
      <c r="C22" s="105">
        <f>'DATOS GENERALES'!C78:D78+$G$3</f>
        <v>26.143349999999998</v>
      </c>
      <c r="D22" s="106"/>
      <c r="E22" s="107">
        <f>'DATOS GENERALES'!E78:F78+T22</f>
        <v>20.624286899046904</v>
      </c>
      <c r="F22" s="108"/>
      <c r="G22" s="109">
        <f>'DATOS GENERALES'!G78:H78+AA22</f>
        <v>20.983065402808375</v>
      </c>
      <c r="H22" s="110"/>
      <c r="I22" s="111">
        <f>'DATOS GENERALES'!I78:J78+AH22</f>
        <v>54.935837324290887</v>
      </c>
      <c r="J22" s="112"/>
      <c r="K22" s="825">
        <f>'DATOS GENERALES'!K78:L78+AO22</f>
        <v>910.34412607728154</v>
      </c>
      <c r="L22" s="112"/>
      <c r="N22" s="599"/>
      <c r="O22" s="731" t="s">
        <v>620</v>
      </c>
      <c r="P22" s="732">
        <f>IF('DATOS GENERALES'!E78="","",'DATOS GENERALES'!E78)</f>
        <v>20.78</v>
      </c>
      <c r="Q22" s="733"/>
      <c r="R22" s="733"/>
      <c r="S22" s="734">
        <f t="shared" si="1"/>
        <v>20.624286899046904</v>
      </c>
      <c r="T22" s="734">
        <f t="shared" si="2"/>
        <v>-0.15571310095309698</v>
      </c>
      <c r="U22" s="735">
        <f t="shared" si="3"/>
        <v>5.3999999999999999E-2</v>
      </c>
      <c r="V22" s="725"/>
      <c r="W22" s="737">
        <f>IF('DATOS GENERALES'!G78="","",'DATOS GENERALES'!G78)</f>
        <v>20.8</v>
      </c>
      <c r="X22" s="733"/>
      <c r="Y22" s="733"/>
      <c r="Z22" s="734">
        <f t="shared" si="4"/>
        <v>20.983065402808375</v>
      </c>
      <c r="AA22" s="734">
        <f t="shared" si="5"/>
        <v>0.18306540280837424</v>
      </c>
      <c r="AB22" s="735">
        <f t="shared" si="6"/>
        <v>0.27974014714180934</v>
      </c>
      <c r="AC22" s="727"/>
      <c r="AD22" s="737">
        <f>IF('DATOS GENERALES'!I78="","",'DATOS GENERALES'!I78)</f>
        <v>55.1</v>
      </c>
      <c r="AE22" s="733"/>
      <c r="AF22" s="733"/>
      <c r="AG22" s="734">
        <f t="shared" si="7"/>
        <v>54.935837324290887</v>
      </c>
      <c r="AH22" s="734">
        <f t="shared" si="8"/>
        <v>-0.16416267570911458</v>
      </c>
      <c r="AI22" s="735">
        <f t="shared" si="9"/>
        <v>0.76181858198464414</v>
      </c>
      <c r="AJ22" s="725"/>
      <c r="AK22" s="737">
        <f>'DATOS GENERALES'!K78</f>
        <v>910</v>
      </c>
      <c r="AL22" s="1034">
        <f t="shared" si="10"/>
        <v>3.7542088928682254E-20</v>
      </c>
      <c r="AM22" s="1034">
        <f t="shared" si="11"/>
        <v>9.990761586508786E-34</v>
      </c>
      <c r="AN22" s="734">
        <f t="shared" si="12"/>
        <v>910.34412607728154</v>
      </c>
      <c r="AO22" s="734">
        <f t="shared" si="13"/>
        <v>0.34412607728154399</v>
      </c>
      <c r="AP22" s="735">
        <f t="shared" si="14"/>
        <v>0.44000000659045196</v>
      </c>
      <c r="AQ22" s="725"/>
      <c r="AR22" s="737">
        <f>IF('DATOS GENERALES'!A78="","",'DATOS GENERALES'!A78)</f>
        <v>26.040410000000001</v>
      </c>
      <c r="AS22" s="733">
        <f t="shared" si="15"/>
        <v>-2.1717464925059899E-12</v>
      </c>
      <c r="AT22" s="733">
        <f t="shared" si="16"/>
        <v>-4.8947159878212232E-12</v>
      </c>
      <c r="AU22" s="734">
        <f t="shared" si="17"/>
        <v>26.040408399056723</v>
      </c>
      <c r="AV22" s="734">
        <f t="shared" si="18"/>
        <v>-1.6009432783903321E-6</v>
      </c>
      <c r="AW22" s="735">
        <f t="shared" si="19"/>
        <v>8.0431999432278856E-5</v>
      </c>
      <c r="AX22" s="725"/>
      <c r="AY22" s="737">
        <f>IF('DATOS GENERALES'!C78="","",'DATOS GENERALES'!C78)</f>
        <v>26.143329999999999</v>
      </c>
      <c r="AZ22" s="733">
        <f t="shared" si="20"/>
        <v>-2.1717464925059899E-12</v>
      </c>
      <c r="BA22" s="733">
        <f t="shared" si="21"/>
        <v>-4.8947159878212232E-12</v>
      </c>
      <c r="BB22" s="734">
        <f t="shared" si="22"/>
        <v>26.143328606866515</v>
      </c>
      <c r="BC22" s="734">
        <f t="shared" si="23"/>
        <v>-1.393133484128839E-6</v>
      </c>
      <c r="BD22" s="735">
        <f t="shared" si="24"/>
        <v>8.0696310510042918E-5</v>
      </c>
      <c r="BF22" s="728">
        <v>10</v>
      </c>
      <c r="BG22" s="729">
        <f t="shared" si="0"/>
        <v>1.9885712879472517E-14</v>
      </c>
      <c r="BH22" s="729">
        <f t="shared" si="0"/>
        <v>4.5522451516296612E-14</v>
      </c>
      <c r="BI22" s="739"/>
      <c r="BM22" s="863">
        <v>-1.6059313544462381E-14</v>
      </c>
      <c r="BN22" s="863">
        <v>5.7424092579028907E-14</v>
      </c>
      <c r="BP22">
        <v>-8.0793033654560309E-11</v>
      </c>
      <c r="BQ22">
        <v>3.00264883240333E-12</v>
      </c>
      <c r="BS22">
        <v>1.9885712879472517E-14</v>
      </c>
      <c r="BT22">
        <v>4.5522451516296612E-14</v>
      </c>
    </row>
    <row r="23" spans="1:72" x14ac:dyDescent="0.2">
      <c r="A23" s="105">
        <f>'DATOS GENERALES'!A79:B79+AV23</f>
        <v>26.143328606866515</v>
      </c>
      <c r="B23" s="106"/>
      <c r="C23" s="105">
        <f>'DATOS GENERALES'!C79:D79+$G$3</f>
        <v>26.246009999999998</v>
      </c>
      <c r="D23" s="106"/>
      <c r="E23" s="107">
        <f>'DATOS GENERALES'!E79:F79+T23</f>
        <v>20.624286899046904</v>
      </c>
      <c r="F23" s="108"/>
      <c r="G23" s="109">
        <f>'DATOS GENERALES'!G79:H79+AA23</f>
        <v>20.983065402808375</v>
      </c>
      <c r="H23" s="110"/>
      <c r="I23" s="111">
        <f>'DATOS GENERALES'!I79:J79+AH23</f>
        <v>54.29141783194715</v>
      </c>
      <c r="J23" s="112"/>
      <c r="K23" s="825">
        <f>'DATOS GENERALES'!K79:L79+AO23</f>
        <v>910.34412607728154</v>
      </c>
      <c r="L23" s="112"/>
      <c r="N23" s="599"/>
      <c r="O23" s="731" t="s">
        <v>621</v>
      </c>
      <c r="P23" s="732">
        <f>IF('DATOS GENERALES'!E79="","",'DATOS GENERALES'!E79)</f>
        <v>20.78</v>
      </c>
      <c r="Q23" s="733"/>
      <c r="R23" s="733"/>
      <c r="S23" s="734">
        <f t="shared" si="1"/>
        <v>20.624286899046904</v>
      </c>
      <c r="T23" s="734">
        <f t="shared" si="2"/>
        <v>-0.15571310095309698</v>
      </c>
      <c r="U23" s="735">
        <f t="shared" si="3"/>
        <v>5.3999999999999999E-2</v>
      </c>
      <c r="V23" s="725"/>
      <c r="W23" s="737">
        <f>IF('DATOS GENERALES'!G79="","",'DATOS GENERALES'!G79)</f>
        <v>20.8</v>
      </c>
      <c r="X23" s="733"/>
      <c r="Y23" s="733"/>
      <c r="Z23" s="734">
        <f t="shared" si="4"/>
        <v>20.983065402808375</v>
      </c>
      <c r="AA23" s="734">
        <f t="shared" si="5"/>
        <v>0.18306540280837424</v>
      </c>
      <c r="AB23" s="735">
        <f t="shared" si="6"/>
        <v>0.27974014714180934</v>
      </c>
      <c r="AC23" s="727"/>
      <c r="AD23" s="737">
        <f>IF('DATOS GENERALES'!I79="","",'DATOS GENERALES'!I79)</f>
        <v>54.5</v>
      </c>
      <c r="AE23" s="733"/>
      <c r="AF23" s="733"/>
      <c r="AG23" s="734">
        <f t="shared" si="7"/>
        <v>54.29141783194715</v>
      </c>
      <c r="AH23" s="734">
        <f t="shared" si="8"/>
        <v>-0.20858216805284968</v>
      </c>
      <c r="AI23" s="735">
        <f t="shared" si="9"/>
        <v>0.75931990631004731</v>
      </c>
      <c r="AJ23" s="725"/>
      <c r="AK23" s="737">
        <f>'DATOS GENERALES'!K79</f>
        <v>910</v>
      </c>
      <c r="AL23" s="1034" t="b">
        <f t="shared" si="10"/>
        <v>0</v>
      </c>
      <c r="AM23" s="1034" t="b">
        <f t="shared" si="11"/>
        <v>0</v>
      </c>
      <c r="AN23" s="734">
        <f t="shared" si="12"/>
        <v>910.34412607728154</v>
      </c>
      <c r="AO23" s="734">
        <f t="shared" si="13"/>
        <v>0.34412607728154399</v>
      </c>
      <c r="AP23" s="735">
        <f t="shared" si="14"/>
        <v>0.44000000659045196</v>
      </c>
      <c r="AQ23" s="725"/>
      <c r="AR23" s="737">
        <f>IF('DATOS GENERALES'!A79="","",'DATOS GENERALES'!A79)</f>
        <v>26.143329999999999</v>
      </c>
      <c r="AS23" s="733">
        <f t="shared" si="15"/>
        <v>1.9885712879472517E-14</v>
      </c>
      <c r="AT23" s="733">
        <f t="shared" si="16"/>
        <v>4.5522451516296612E-14</v>
      </c>
      <c r="AU23" s="734">
        <f t="shared" si="17"/>
        <v>26.143328606866515</v>
      </c>
      <c r="AV23" s="734">
        <f t="shared" si="18"/>
        <v>-1.393133484128839E-6</v>
      </c>
      <c r="AW23" s="735">
        <f t="shared" si="19"/>
        <v>8.0696310510042918E-5</v>
      </c>
      <c r="AX23" s="725"/>
      <c r="AY23" s="737">
        <f>IF('DATOS GENERALES'!C79="","",'DATOS GENERALES'!C79)</f>
        <v>26.245989999999999</v>
      </c>
      <c r="AZ23" s="733">
        <f t="shared" si="20"/>
        <v>1.9885712879472517E-14</v>
      </c>
      <c r="BA23" s="733">
        <f t="shared" si="21"/>
        <v>4.5522451516296612E-14</v>
      </c>
      <c r="BB23" s="734">
        <f t="shared" si="22"/>
        <v>26.245988808617824</v>
      </c>
      <c r="BC23" s="734">
        <f t="shared" si="23"/>
        <v>-1.1913821751363685E-6</v>
      </c>
      <c r="BD23" s="735">
        <f t="shared" si="24"/>
        <v>8.0947134064448395E-5</v>
      </c>
      <c r="BF23" s="728">
        <v>11</v>
      </c>
      <c r="BG23" s="729">
        <f t="shared" si="0"/>
        <v>-7.814523688509512E-17</v>
      </c>
      <c r="BH23" s="729">
        <f t="shared" si="0"/>
        <v>-1.8178499464438459E-16</v>
      </c>
      <c r="BI23" s="739"/>
      <c r="BM23" s="863">
        <v>6.2758593889449225E-17</v>
      </c>
      <c r="BN23" s="863">
        <v>-2.2972740094974476E-16</v>
      </c>
      <c r="BP23">
        <v>4.9279430033532351E-13</v>
      </c>
      <c r="BQ23">
        <v>-1.771215743681588E-14</v>
      </c>
      <c r="BS23">
        <v>-7.814523688509512E-17</v>
      </c>
      <c r="BT23">
        <v>-1.8178499464438459E-16</v>
      </c>
    </row>
    <row r="24" spans="1:72" ht="13.5" thickBot="1" x14ac:dyDescent="0.25">
      <c r="E24" s="57"/>
      <c r="N24" s="599"/>
      <c r="O24" s="731" t="s">
        <v>622</v>
      </c>
      <c r="P24" s="732"/>
      <c r="Q24" s="733"/>
      <c r="R24" s="733"/>
      <c r="S24" s="734" t="str">
        <f t="shared" si="1"/>
        <v/>
      </c>
      <c r="T24" s="734" t="str">
        <f t="shared" si="2"/>
        <v/>
      </c>
      <c r="U24" s="735" t="str">
        <f t="shared" si="3"/>
        <v/>
      </c>
      <c r="V24" s="725"/>
      <c r="W24" s="737"/>
      <c r="X24" s="733"/>
      <c r="Y24" s="733"/>
      <c r="Z24" s="734" t="str">
        <f t="shared" si="4"/>
        <v/>
      </c>
      <c r="AA24" s="734" t="str">
        <f t="shared" si="5"/>
        <v/>
      </c>
      <c r="AB24" s="735" t="str">
        <f t="shared" si="6"/>
        <v/>
      </c>
      <c r="AC24" s="727"/>
      <c r="AD24" s="737"/>
      <c r="AE24" s="733"/>
      <c r="AF24" s="733"/>
      <c r="AG24" s="734" t="str">
        <f t="shared" si="7"/>
        <v/>
      </c>
      <c r="AH24" s="734" t="str">
        <f t="shared" si="8"/>
        <v/>
      </c>
      <c r="AI24" s="735" t="str">
        <f t="shared" si="9"/>
        <v/>
      </c>
      <c r="AJ24" s="725"/>
      <c r="AK24" s="737"/>
      <c r="AL24" s="1034" t="b">
        <f t="shared" si="10"/>
        <v>0</v>
      </c>
      <c r="AM24" s="1034" t="b">
        <f t="shared" si="11"/>
        <v>0</v>
      </c>
      <c r="AN24" s="734" t="str">
        <f t="shared" si="12"/>
        <v/>
      </c>
      <c r="AO24" s="734" t="str">
        <f t="shared" si="13"/>
        <v/>
      </c>
      <c r="AP24" s="735" t="str">
        <f t="shared" si="14"/>
        <v/>
      </c>
      <c r="AQ24" s="725"/>
      <c r="AR24" s="737"/>
      <c r="AS24" s="733">
        <f t="shared" si="15"/>
        <v>-7.814523688509512E-17</v>
      </c>
      <c r="AT24" s="733">
        <f t="shared" si="16"/>
        <v>-1.8178499464438459E-16</v>
      </c>
      <c r="AU24" s="734" t="str">
        <f t="shared" si="17"/>
        <v/>
      </c>
      <c r="AV24" s="734" t="str">
        <f t="shared" si="18"/>
        <v/>
      </c>
      <c r="AW24" s="735" t="str">
        <f t="shared" si="19"/>
        <v/>
      </c>
      <c r="AX24" s="725"/>
      <c r="AY24" s="737"/>
      <c r="AZ24" s="733">
        <f t="shared" si="20"/>
        <v>-7.814523688509512E-17</v>
      </c>
      <c r="BA24" s="733">
        <f t="shared" si="21"/>
        <v>-1.8178499464438459E-16</v>
      </c>
      <c r="BB24" s="734" t="str">
        <f t="shared" si="22"/>
        <v/>
      </c>
      <c r="BC24" s="734" t="str">
        <f t="shared" si="23"/>
        <v/>
      </c>
      <c r="BD24" s="735" t="str">
        <f t="shared" si="24"/>
        <v/>
      </c>
      <c r="BF24" s="740"/>
      <c r="BG24" s="741"/>
      <c r="BH24" s="741"/>
      <c r="BI24" s="742"/>
      <c r="BS24" t="s">
        <v>605</v>
      </c>
      <c r="BT24" t="s">
        <v>606</v>
      </c>
    </row>
    <row r="25" spans="1:72" x14ac:dyDescent="0.2">
      <c r="N25" s="599"/>
      <c r="O25" s="743" t="s">
        <v>623</v>
      </c>
      <c r="P25" s="744"/>
      <c r="Q25" s="733"/>
      <c r="R25" s="733"/>
      <c r="S25" s="734" t="str">
        <f t="shared" si="1"/>
        <v/>
      </c>
      <c r="T25" s="734" t="str">
        <f t="shared" si="2"/>
        <v/>
      </c>
      <c r="U25" s="735" t="str">
        <f t="shared" si="3"/>
        <v/>
      </c>
      <c r="V25" s="725"/>
      <c r="W25" s="737"/>
      <c r="X25" s="733"/>
      <c r="Y25" s="733"/>
      <c r="Z25" s="734" t="str">
        <f t="shared" si="4"/>
        <v/>
      </c>
      <c r="AA25" s="734" t="str">
        <f t="shared" si="5"/>
        <v/>
      </c>
      <c r="AB25" s="735" t="str">
        <f t="shared" si="6"/>
        <v/>
      </c>
      <c r="AC25" s="727"/>
      <c r="AD25" s="737"/>
      <c r="AE25" s="733"/>
      <c r="AF25" s="733"/>
      <c r="AG25" s="734" t="str">
        <f t="shared" si="7"/>
        <v/>
      </c>
      <c r="AH25" s="734" t="str">
        <f t="shared" si="8"/>
        <v/>
      </c>
      <c r="AI25" s="735" t="str">
        <f t="shared" si="9"/>
        <v/>
      </c>
      <c r="AJ25" s="725"/>
      <c r="AK25" s="737"/>
      <c r="AL25" s="1034" t="b">
        <f t="shared" si="10"/>
        <v>0</v>
      </c>
      <c r="AM25" s="1034" t="b">
        <f t="shared" si="11"/>
        <v>0</v>
      </c>
      <c r="AN25" s="734" t="str">
        <f t="shared" si="12"/>
        <v/>
      </c>
      <c r="AO25" s="734" t="str">
        <f t="shared" si="13"/>
        <v/>
      </c>
      <c r="AP25" s="735" t="str">
        <f t="shared" si="14"/>
        <v/>
      </c>
      <c r="AQ25" s="725"/>
      <c r="AR25" s="737"/>
      <c r="AS25" s="733"/>
      <c r="AT25" s="733"/>
      <c r="AU25" s="734" t="str">
        <f t="shared" si="17"/>
        <v/>
      </c>
      <c r="AV25" s="734" t="str">
        <f t="shared" si="18"/>
        <v/>
      </c>
      <c r="AW25" s="735" t="str">
        <f t="shared" si="19"/>
        <v/>
      </c>
      <c r="AX25" s="725"/>
      <c r="AY25" s="737"/>
      <c r="AZ25" s="733"/>
      <c r="BA25" s="733"/>
      <c r="BB25" s="734" t="str">
        <f t="shared" si="22"/>
        <v/>
      </c>
      <c r="BC25" s="734" t="str">
        <f t="shared" si="23"/>
        <v/>
      </c>
      <c r="BD25" s="735" t="str">
        <f t="shared" si="24"/>
        <v/>
      </c>
      <c r="BF25" s="128"/>
      <c r="BG25" s="128"/>
      <c r="BH25" s="128"/>
      <c r="BI25" s="128"/>
      <c r="BL25" s="1" t="s">
        <v>624</v>
      </c>
      <c r="BM25" s="863">
        <v>-1.3871444934193278</v>
      </c>
      <c r="BN25" s="863">
        <v>-0.8218254461637241</v>
      </c>
      <c r="BP25">
        <v>-11.401257271717654</v>
      </c>
      <c r="BQ25">
        <v>-1.2899949080421107</v>
      </c>
      <c r="BS25">
        <v>-5.9208292434850591</v>
      </c>
      <c r="BT25">
        <v>-0.1517265662842654</v>
      </c>
    </row>
    <row r="26" spans="1:72" ht="15" x14ac:dyDescent="0.2">
      <c r="N26" s="599"/>
      <c r="O26" s="731" t="s">
        <v>625</v>
      </c>
      <c r="P26" s="745">
        <f>AVERAGE(P14:P25)</f>
        <v>20.814</v>
      </c>
      <c r="Q26" s="746"/>
      <c r="R26" s="746"/>
      <c r="S26" s="734">
        <f t="shared" si="1"/>
        <v>20.658298628601674</v>
      </c>
      <c r="T26" s="734">
        <f t="shared" si="2"/>
        <v>-0.15570137139832596</v>
      </c>
      <c r="U26" s="735">
        <f t="shared" si="3"/>
        <v>5.3999999999999999E-2</v>
      </c>
      <c r="V26" s="725"/>
      <c r="W26" s="747">
        <f>AVERAGE(W14:W25)</f>
        <v>20.800000000000004</v>
      </c>
      <c r="X26" s="746"/>
      <c r="Y26" s="746"/>
      <c r="Z26" s="734">
        <f t="shared" si="4"/>
        <v>20.983065402808386</v>
      </c>
      <c r="AA26" s="734">
        <f t="shared" si="5"/>
        <v>0.18306540280838135</v>
      </c>
      <c r="AB26" s="735">
        <f t="shared" si="6"/>
        <v>0.27974014714180928</v>
      </c>
      <c r="AC26" s="727"/>
      <c r="AD26" s="747">
        <f>AVERAGE(AD14:AD25)</f>
        <v>54.92</v>
      </c>
      <c r="AE26" s="746"/>
      <c r="AF26" s="746"/>
      <c r="AG26" s="734">
        <f t="shared" si="7"/>
        <v>54.742605119459014</v>
      </c>
      <c r="AH26" s="734">
        <f t="shared" si="8"/>
        <v>-0.17739488054098729</v>
      </c>
      <c r="AI26" s="735">
        <f t="shared" si="9"/>
        <v>0.76107119508634902</v>
      </c>
      <c r="AJ26" s="725"/>
      <c r="AK26" s="747">
        <f>AVERAGE(AK14:AK25)</f>
        <v>910</v>
      </c>
      <c r="AL26" s="746"/>
      <c r="AM26" s="746"/>
      <c r="AN26" s="734">
        <f t="shared" si="12"/>
        <v>910.34412607728154</v>
      </c>
      <c r="AO26" s="734">
        <f t="shared" si="13"/>
        <v>0.34412607728154399</v>
      </c>
      <c r="AP26" s="735">
        <f t="shared" si="14"/>
        <v>0.44000000659045196</v>
      </c>
      <c r="AQ26" s="725"/>
      <c r="AR26" s="861">
        <f>AVERAGE(AY14-AR14,AY15-AR15,AY16-AR16,AY17-AR17,AY18-AR18,AY19-AR19,AY20-AR20,AY21-AR21,AY22-AR22,AY23-AR23)</f>
        <v>0.10281199999999976</v>
      </c>
      <c r="AS26" s="746"/>
      <c r="AT26" s="746"/>
      <c r="AU26" s="734">
        <f>IF(AR26="","",IF(AR26&lt;50,$BG$27+$BG$28*AR26+$BG$29*AR26^2+$BG$30*AR26^3+$BG$31*AR26^4+$BG$32*AR26^5+$BG$33*AR26^6+$BG$34*AR26^7+$BG$35*AR26^8+$BG$36*AR26^9+$BG$37*AR26^10+$BG$38*AR26^11,$BG$40+$BG$41*AR26+$BG$42*AR26^2+$BG$43*AR26^3+$BG$44*AR26^4+$BG$45*AR26^5+$BG$46*AR26^6+$BG$47*AR26^7+$BG$48*AR26^8+$BG$49*AR26^9+$BG$50*AR26^10+$BG$51*AR26^11))</f>
        <v>0.10282222649483019</v>
      </c>
      <c r="AV26" s="734">
        <f t="shared" si="18"/>
        <v>1.0226494830428701E-5</v>
      </c>
      <c r="AW26" s="735">
        <f>IF(AR26="","",IF(AR26&lt;50,$BH$27+$BH$28*AR26+$BH$29*AR26^2+$BH$30*AR26^3+$BH$31*AR26^4+$BH$32*AR26^5+$BH$33*AR26^6+$BH$34*AR26^7+$BH$35*AR26^8+$BH$36*AR26^9+$BH$37*AR26^10+$BH$38*AR26^11,$BH$40+$BH$41*AR26+$BH$42*AR26^2+$BH$43*AR26^3+$BH$44*AR26^4+$BH$45*AR26^5+$BH$46*AR26^6+$BH$47*AR26^7+$BH$48*AR26^8+$BH$49*AR26^9+$BH$50*AR26^10+$BH$51*AR26^11))</f>
        <v>4.6435947134581049E-5</v>
      </c>
      <c r="AX26" s="725"/>
      <c r="AY26" s="861">
        <f>AVERAGE(BB14-AU14,BB15-AU15,BB16-AU16,BB17-AU17,BB18-AU18,BB19-AU19,BB20-AU20,BB21-AU21,BB22-AU22,BB23-AU23)</f>
        <v>0.10281222545637156</v>
      </c>
      <c r="AZ26" s="746"/>
      <c r="BA26" s="746"/>
      <c r="BB26" s="734">
        <f>AVERAGE(BB14-AU14,BB15-AU15,BB16-AU16,BB17-AU17,BB18-AU18,BB19-AU19,BB20-AU20,BB21-AU21,BB22-AU22,BB23-AU23)</f>
        <v>0.10281222545637156</v>
      </c>
      <c r="BC26" s="734">
        <f>IF(AY26="","",BB26-AY26)</f>
        <v>0</v>
      </c>
      <c r="BD26" s="735">
        <f>IF(AY26="","",IF(AR26&lt;50,$BH$27+$BH$28*AR26+$BH$29*AR26^2+$BH$30*AR26^3+$BH$31*AR26^4+$BH$32*AR26^5+$BH$33*AR26^6+$BH$34*AR26^7+$BH$35*AR26^8+$BH$36*AR26^9+$BH$37*AR26^10+$BH$38*AR26^11,$BH$40+$BH$41*AR26+$BH$42*AR26^2+$BH$43*AR26^3+$BH$44*AR26^4+$BH$45*AR26^5+$BH$46*AR26^6+$BH$47*AR26^7+$BH$48*AR26^8+$BH$49*AR26^9+$BH$50*AR26^10+$BH$51*AR26^11))</f>
        <v>4.6435947134581049E-5</v>
      </c>
      <c r="BF26" s="748"/>
      <c r="BG26" s="749" t="s">
        <v>605</v>
      </c>
      <c r="BH26" s="749" t="s">
        <v>606</v>
      </c>
      <c r="BI26" s="750"/>
      <c r="BM26" s="863">
        <v>1.128868677548553</v>
      </c>
      <c r="BN26" s="863">
        <v>7.8062010147704392E-2</v>
      </c>
      <c r="BP26">
        <v>2.2901289444849819</v>
      </c>
      <c r="BQ26">
        <v>0.14561789328587713</v>
      </c>
      <c r="BS26">
        <v>1.5488048369318221</v>
      </c>
      <c r="BT26">
        <v>1.5760300151934602E-2</v>
      </c>
    </row>
    <row r="27" spans="1:72" x14ac:dyDescent="0.2">
      <c r="N27" s="599"/>
      <c r="O27" s="731" t="s">
        <v>626</v>
      </c>
      <c r="P27" s="745">
        <f>MIN(P14:P25)</f>
        <v>20.78</v>
      </c>
      <c r="Q27" s="746"/>
      <c r="R27" s="746"/>
      <c r="S27" s="734">
        <f t="shared" si="1"/>
        <v>20.624286899046904</v>
      </c>
      <c r="T27" s="734">
        <f t="shared" si="2"/>
        <v>-0.15571310095309698</v>
      </c>
      <c r="U27" s="735">
        <f t="shared" si="3"/>
        <v>5.3999999999999999E-2</v>
      </c>
      <c r="V27" s="725"/>
      <c r="W27" s="747">
        <f>MIN(W14:W25)</f>
        <v>20.8</v>
      </c>
      <c r="X27" s="746"/>
      <c r="Y27" s="746"/>
      <c r="Z27" s="734">
        <f t="shared" si="4"/>
        <v>20.983065402808375</v>
      </c>
      <c r="AA27" s="734">
        <f t="shared" si="5"/>
        <v>0.18306540280837424</v>
      </c>
      <c r="AB27" s="735">
        <f t="shared" si="6"/>
        <v>0.27974014714180934</v>
      </c>
      <c r="AC27" s="727"/>
      <c r="AD27" s="747">
        <f>MIN(AD14:AD25)</f>
        <v>54.5</v>
      </c>
      <c r="AE27" s="746"/>
      <c r="AF27" s="746"/>
      <c r="AG27" s="734">
        <f t="shared" si="7"/>
        <v>54.29141783194715</v>
      </c>
      <c r="AH27" s="734">
        <f t="shared" si="8"/>
        <v>-0.20858216805284968</v>
      </c>
      <c r="AI27" s="735">
        <f t="shared" si="9"/>
        <v>0.75931990631004731</v>
      </c>
      <c r="AJ27" s="725"/>
      <c r="AK27" s="747">
        <f>MIN(AK14:AK25)</f>
        <v>910</v>
      </c>
      <c r="AL27" s="746"/>
      <c r="AM27" s="746"/>
      <c r="AN27" s="734">
        <f t="shared" si="12"/>
        <v>910.34412607728154</v>
      </c>
      <c r="AO27" s="734">
        <f t="shared" si="13"/>
        <v>0.34412607728154399</v>
      </c>
      <c r="AP27" s="735">
        <f t="shared" si="14"/>
        <v>0.44000000659045196</v>
      </c>
      <c r="AQ27" s="725"/>
      <c r="AR27" s="861">
        <f>MIN(AY14-AR14,AY15-AR15,AY16-AR16,AY17-AR17,AY18-AR18,AY19-AR19,AY20-AR20,AY21-AR21,AY22-AR22,AY23-AR23)</f>
        <v>0.1024300000000018</v>
      </c>
      <c r="AS27" s="746"/>
      <c r="AT27" s="746"/>
      <c r="AU27" s="734">
        <f t="shared" ref="AU27:AU28" si="25">IF(AR27="","",IF(AR27&lt;50,$BG$27+$BG$28*AR27+$BG$29*AR27^2+$BG$30*AR27^3+$BG$31*AR27^4+$BG$32*AR27^5+$BG$33*AR27^6+$BG$34*AR27^7+$BG$35*AR27^8+$BG$36*AR27^9+$BG$37*AR27^10+$BG$38*AR27^11,$BG$40+$BG$41*AR27+$BG$42*AR27^2+$BG$43*AR27^3+$BG$44*AR27^4+$BG$45*AR27^5+$BG$46*AR27^6+$BG$47*AR27^7+$BG$48*AR27^8+$BG$49*AR27^9+$BG$50*AR27^10+$BG$51*AR27^11))</f>
        <v>0.10244018267020098</v>
      </c>
      <c r="AV27" s="734">
        <f t="shared" si="18"/>
        <v>1.0182670199185284E-5</v>
      </c>
      <c r="AW27" s="735">
        <f t="shared" ref="AW27:AW28" si="26">IF(AR27="","",IF(AR27&lt;50,$BH$27+$BH$28*AR27+$BH$29*AR27^2+$BH$30*AR27^3+$BH$31*AR27^4+$BH$32*AR27^5+$BH$33*AR27^6+$BH$34*AR27^7+$BH$35*AR27^8+$BH$36*AR27^9+$BH$37*AR27^10+$BH$38*AR27^11,$BH$40+$BH$41*AR27+$BH$42*AR27^2+$BH$43*AR27^3+$BH$44*AR27^4+$BH$45*AR27^5+$BH$46*AR27^6+$BH$47*AR27^7+$BH$48*AR27^8+$BH$49*AR27^9+$BH$50*AR27^10+$BH$51*AR27^11))</f>
        <v>4.6332520859909066E-5</v>
      </c>
      <c r="AX27" s="725"/>
      <c r="AY27" s="861">
        <f>MIN(BB14-AU14,BB15-AU15,BB16-AU16,BB17-AU17,BB18-AU18,BB19-AU19,BB20-AU20,BB21-AU21,BB22-AU22,BB23-AU23)</f>
        <v>0.10243023730567202</v>
      </c>
      <c r="AZ27" s="746"/>
      <c r="BA27" s="746"/>
      <c r="BB27" s="734">
        <f>MIN(BB14-AU14,BB15-AU15,BB16-AU16,BB17-AU17,BB18-AU18,BB19-AU19,BB20-AU20,BB21-AU21,BB22-AU22,BB23-AU23)</f>
        <v>0.10243023730567202</v>
      </c>
      <c r="BC27" s="734">
        <f t="shared" si="23"/>
        <v>0</v>
      </c>
      <c r="BD27" s="735">
        <f t="shared" ref="BD27:BD28" si="27">IF(AY27="","",IF(AR27&lt;50,$BH$27+$BH$28*AR27+$BH$29*AR27^2+$BH$30*AR27^3+$BH$31*AR27^4+$BH$32*AR27^5+$BH$33*AR27^6+$BH$34*AR27^7+$BH$35*AR27^8+$BH$36*AR27^9+$BH$37*AR27^10+$BH$38*AR27^11,$BH$40+$BH$41*AR27+$BH$42*AR27^2+$BH$43*AR27^3+$BH$44*AR27^4+$BH$45*AR27^5+$BH$46*AR27^6+$BH$47*AR27^7+$BH$48*AR27^8+$BH$49*AR27^9+$BH$50*AR27^10+$BH$51*AR27^11))</f>
        <v>4.6332520859909066E-5</v>
      </c>
      <c r="BF27" s="751" t="s">
        <v>344</v>
      </c>
      <c r="BG27" s="1035">
        <v>-2.2805286543168407E-6</v>
      </c>
      <c r="BH27" s="1035">
        <v>1.6991540664237082E-5</v>
      </c>
      <c r="BI27" s="752">
        <v>1</v>
      </c>
      <c r="BM27" s="863">
        <v>-5.2213332348003405E-3</v>
      </c>
      <c r="BN27" s="863">
        <v>-3.2418787835320445E-3</v>
      </c>
      <c r="BP27">
        <v>-6.4088597330644759E-2</v>
      </c>
      <c r="BQ27">
        <v>-7.2156355065942307E-3</v>
      </c>
      <c r="BS27">
        <v>-2.2222816431764159E-2</v>
      </c>
      <c r="BT27">
        <v>-7.0765008892341788E-4</v>
      </c>
    </row>
    <row r="28" spans="1:72" x14ac:dyDescent="0.2">
      <c r="N28" s="599"/>
      <c r="O28" s="731" t="s">
        <v>627</v>
      </c>
      <c r="P28" s="745">
        <f>MAX(P14:P25)</f>
        <v>20.85</v>
      </c>
      <c r="Q28" s="746"/>
      <c r="R28" s="746"/>
      <c r="S28" s="734">
        <f t="shared" si="1"/>
        <v>20.694310518778522</v>
      </c>
      <c r="T28" s="734">
        <f t="shared" si="2"/>
        <v>-0.1556894812214793</v>
      </c>
      <c r="U28" s="735">
        <f t="shared" si="3"/>
        <v>5.3999999999999999E-2</v>
      </c>
      <c r="V28" s="725"/>
      <c r="W28" s="747">
        <f>MAX(W14:W25)</f>
        <v>20.8</v>
      </c>
      <c r="X28" s="746"/>
      <c r="Y28" s="746"/>
      <c r="Z28" s="734">
        <f t="shared" si="4"/>
        <v>20.983065402808375</v>
      </c>
      <c r="AA28" s="734">
        <f t="shared" si="5"/>
        <v>0.18306540280837424</v>
      </c>
      <c r="AB28" s="735">
        <f t="shared" si="6"/>
        <v>0.27974014714180934</v>
      </c>
      <c r="AC28" s="727"/>
      <c r="AD28" s="747">
        <f>MAX(AD14:AD25)</f>
        <v>55.3</v>
      </c>
      <c r="AE28" s="746"/>
      <c r="AF28" s="746"/>
      <c r="AG28" s="734">
        <f t="shared" si="7"/>
        <v>55.150445635767895</v>
      </c>
      <c r="AH28" s="734">
        <f t="shared" si="8"/>
        <v>-0.14955436423210244</v>
      </c>
      <c r="AI28" s="735">
        <f t="shared" si="9"/>
        <v>0.76264678434372346</v>
      </c>
      <c r="AJ28" s="725"/>
      <c r="AK28" s="747">
        <f>MAX(AK14:AK25)</f>
        <v>910</v>
      </c>
      <c r="AL28" s="746"/>
      <c r="AM28" s="746"/>
      <c r="AN28" s="734">
        <f t="shared" si="12"/>
        <v>910.34412607728154</v>
      </c>
      <c r="AO28" s="734">
        <f t="shared" si="13"/>
        <v>0.34412607728154399</v>
      </c>
      <c r="AP28" s="735">
        <f t="shared" si="14"/>
        <v>0.44000000659045196</v>
      </c>
      <c r="AQ28" s="725"/>
      <c r="AR28" s="861">
        <f>MAX(AY14-AR14,AY15-AR15,AY16-AR16,AY17-AR17,AY18-AR18,AY19-AR19,AY20-AR20,AY21-AR21,AY22-AR22,AY23-AR23)</f>
        <v>0.10324999999999918</v>
      </c>
      <c r="AS28" s="746"/>
      <c r="AT28" s="746"/>
      <c r="AU28" s="734">
        <f t="shared" si="25"/>
        <v>0.10326027672028043</v>
      </c>
      <c r="AV28" s="734">
        <f t="shared" si="18"/>
        <v>1.0276720281254814E-5</v>
      </c>
      <c r="AW28" s="735">
        <f t="shared" si="26"/>
        <v>4.6554481739870389E-5</v>
      </c>
      <c r="AX28" s="725"/>
      <c r="AY28" s="861">
        <f>MAX(BB14-AU14,BB15-AU15,BB16-AU16,BB17-AU17,BB18-AU18,BB19-AU19,BB20-AU20,BB21-AU21,BB22-AU22,BB23-AU23)</f>
        <v>0.10325024370064639</v>
      </c>
      <c r="AZ28" s="746"/>
      <c r="BA28" s="746"/>
      <c r="BB28" s="734">
        <f>MAX(BB14-AU14,BB15-AU15,BB16-AU16,BB17-AU17,BB18-AU18,BB19-AU19,BB20-AU20,BB21-AU21,BB22-AU22,BB23-AU23)</f>
        <v>0.10325024370064639</v>
      </c>
      <c r="BC28" s="734">
        <f t="shared" si="23"/>
        <v>0</v>
      </c>
      <c r="BD28" s="735">
        <f t="shared" si="27"/>
        <v>4.6554481739870389E-5</v>
      </c>
      <c r="BF28" s="1036"/>
      <c r="BG28" s="1035">
        <v>1.0001287583693486</v>
      </c>
      <c r="BH28" s="1035">
        <v>3.0243765784238345E-4</v>
      </c>
      <c r="BI28" s="752">
        <v>2</v>
      </c>
      <c r="BM28" s="863">
        <v>1.216772502314889E-4</v>
      </c>
      <c r="BN28" s="863">
        <v>7.7635554502838189E-5</v>
      </c>
      <c r="BP28">
        <v>1.838421341920431E-3</v>
      </c>
      <c r="BQ28">
        <v>2.0646927510335183E-4</v>
      </c>
      <c r="BS28">
        <v>5.1833907756959618E-4</v>
      </c>
      <c r="BT28">
        <v>1.8099034753779303E-5</v>
      </c>
    </row>
    <row r="29" spans="1:72" x14ac:dyDescent="0.2">
      <c r="N29" s="599"/>
      <c r="O29" s="753"/>
      <c r="P29" s="99"/>
      <c r="Q29" s="746"/>
      <c r="R29" s="746"/>
      <c r="S29" s="754"/>
      <c r="T29" s="754"/>
      <c r="U29" s="755"/>
      <c r="V29" s="725"/>
      <c r="W29" s="756"/>
      <c r="X29" s="746"/>
      <c r="Y29" s="746"/>
      <c r="Z29" s="754"/>
      <c r="AA29" s="754"/>
      <c r="AB29" s="755"/>
      <c r="AC29" s="727"/>
      <c r="AD29" s="756"/>
      <c r="AE29" s="746"/>
      <c r="AF29" s="746"/>
      <c r="AG29" s="754"/>
      <c r="AH29" s="754"/>
      <c r="AI29" s="755"/>
      <c r="AJ29" s="725"/>
      <c r="AK29" s="756"/>
      <c r="AL29" s="746"/>
      <c r="AM29" s="746"/>
      <c r="AN29" s="754"/>
      <c r="AO29" s="754"/>
      <c r="AP29" s="755"/>
      <c r="AQ29" s="725"/>
      <c r="AR29" s="756"/>
      <c r="AS29" s="746"/>
      <c r="AT29" s="746"/>
      <c r="AU29" s="754"/>
      <c r="AV29" s="754"/>
      <c r="AW29" s="755"/>
      <c r="AX29" s="725"/>
      <c r="AY29" s="756"/>
      <c r="AZ29" s="746"/>
      <c r="BA29" s="746"/>
      <c r="BB29" s="754"/>
      <c r="BC29" s="754"/>
      <c r="BD29" s="755"/>
      <c r="BF29" s="1036"/>
      <c r="BG29" s="1035">
        <v>-7.0703616230294308E-5</v>
      </c>
      <c r="BH29" s="1035">
        <v>-1.5950950660069288E-4</v>
      </c>
      <c r="BI29" s="752">
        <v>3</v>
      </c>
      <c r="BM29" s="863">
        <v>-1.8089842600751971E-6</v>
      </c>
      <c r="BN29" s="863">
        <v>-1.1888212424311607E-6</v>
      </c>
      <c r="BP29">
        <v>-3.369128572133632E-5</v>
      </c>
      <c r="BQ29">
        <v>-3.7745420210424934E-6</v>
      </c>
      <c r="BS29">
        <v>-7.7222090256526266E-6</v>
      </c>
      <c r="BT29">
        <v>-2.9226320832610391E-7</v>
      </c>
    </row>
    <row r="30" spans="1:72" ht="36" x14ac:dyDescent="0.2">
      <c r="N30" s="599"/>
      <c r="O30" s="720"/>
      <c r="P30" s="757" t="s">
        <v>75</v>
      </c>
      <c r="Q30" s="758"/>
      <c r="R30" s="759"/>
      <c r="S30" s="759"/>
      <c r="T30" s="759"/>
      <c r="U30" s="760"/>
      <c r="V30" s="761"/>
      <c r="W30" s="762" t="s">
        <v>172</v>
      </c>
      <c r="X30" s="758"/>
      <c r="Y30" s="759"/>
      <c r="Z30" s="759"/>
      <c r="AA30" s="759"/>
      <c r="AB30" s="760"/>
      <c r="AC30" s="763"/>
      <c r="AD30" s="764" t="s">
        <v>174</v>
      </c>
      <c r="AE30" s="758"/>
      <c r="AF30" s="759"/>
      <c r="AG30" s="759"/>
      <c r="AH30" s="759"/>
      <c r="AI30" s="760"/>
      <c r="AJ30" s="761"/>
      <c r="AK30" s="764" t="s">
        <v>173</v>
      </c>
      <c r="AL30" s="758"/>
      <c r="AM30" s="759"/>
      <c r="AN30" s="759"/>
      <c r="AO30" s="759"/>
      <c r="AP30" s="760"/>
      <c r="AQ30" s="761"/>
      <c r="AR30" s="762" t="s">
        <v>603</v>
      </c>
      <c r="AS30" s="758"/>
      <c r="AT30" s="759"/>
      <c r="AU30" s="759"/>
      <c r="AV30" s="759"/>
      <c r="AW30" s="760"/>
      <c r="AX30" s="761"/>
      <c r="AY30" s="762" t="s">
        <v>604</v>
      </c>
      <c r="AZ30" s="758"/>
      <c r="BA30" s="759"/>
      <c r="BB30" s="759"/>
      <c r="BC30" s="759"/>
      <c r="BD30" s="760"/>
      <c r="BF30" s="1036"/>
      <c r="BG30" s="1035">
        <v>1.5340551274306558E-5</v>
      </c>
      <c r="BH30" s="1035">
        <v>3.3746117833257452E-5</v>
      </c>
      <c r="BI30" s="752">
        <v>4</v>
      </c>
      <c r="BM30" s="863">
        <v>1.7959078725451189E-8</v>
      </c>
      <c r="BN30" s="863">
        <v>1.2179195099547112E-8</v>
      </c>
      <c r="BP30">
        <v>4.1184878446444252E-7</v>
      </c>
      <c r="BQ30">
        <v>4.6032633069708348E-8</v>
      </c>
      <c r="BS30">
        <v>7.6882947381011653E-8</v>
      </c>
      <c r="BT30">
        <v>3.118855456131872E-9</v>
      </c>
    </row>
    <row r="31" spans="1:72" ht="12.75" customHeight="1" x14ac:dyDescent="0.25">
      <c r="A31" s="1622" t="s">
        <v>73</v>
      </c>
      <c r="B31" s="1623"/>
      <c r="C31" s="1622" t="s">
        <v>74</v>
      </c>
      <c r="D31" s="1623"/>
      <c r="E31" s="1624" t="s">
        <v>75</v>
      </c>
      <c r="F31" s="1625"/>
      <c r="G31" s="1624" t="s">
        <v>172</v>
      </c>
      <c r="H31" s="1625"/>
      <c r="I31" s="1624" t="s">
        <v>174</v>
      </c>
      <c r="J31" s="1625"/>
      <c r="K31" s="1620" t="s">
        <v>173</v>
      </c>
      <c r="L31" s="1621"/>
      <c r="N31" s="599">
        <v>2</v>
      </c>
      <c r="O31" s="720"/>
      <c r="P31" s="765" t="s">
        <v>608</v>
      </c>
      <c r="Q31" s="766"/>
      <c r="R31" s="766"/>
      <c r="S31" s="767" t="s">
        <v>609</v>
      </c>
      <c r="T31" s="201" t="s">
        <v>610</v>
      </c>
      <c r="U31" s="768" t="s">
        <v>611</v>
      </c>
      <c r="V31" s="725"/>
      <c r="W31" s="90" t="s">
        <v>608</v>
      </c>
      <c r="X31" s="766"/>
      <c r="Y31" s="766"/>
      <c r="Z31" s="767" t="s">
        <v>609</v>
      </c>
      <c r="AA31" s="201" t="s">
        <v>610</v>
      </c>
      <c r="AB31" s="768" t="s">
        <v>611</v>
      </c>
      <c r="AC31" s="727"/>
      <c r="AD31" s="90" t="s">
        <v>608</v>
      </c>
      <c r="AE31" s="766"/>
      <c r="AF31" s="766"/>
      <c r="AG31" s="767" t="s">
        <v>609</v>
      </c>
      <c r="AH31" s="201" t="s">
        <v>610</v>
      </c>
      <c r="AI31" s="768" t="s">
        <v>611</v>
      </c>
      <c r="AJ31" s="725"/>
      <c r="AK31" s="90" t="s">
        <v>608</v>
      </c>
      <c r="AL31" s="749" t="s">
        <v>607</v>
      </c>
      <c r="AM31" s="749" t="s">
        <v>606</v>
      </c>
      <c r="AN31" s="767" t="s">
        <v>609</v>
      </c>
      <c r="AO31" s="201" t="s">
        <v>610</v>
      </c>
      <c r="AP31" s="768" t="s">
        <v>611</v>
      </c>
      <c r="AQ31" s="725"/>
      <c r="AR31" s="90" t="s">
        <v>608</v>
      </c>
      <c r="AS31" s="749" t="s">
        <v>607</v>
      </c>
      <c r="AT31" s="749" t="s">
        <v>606</v>
      </c>
      <c r="AU31" s="767" t="s">
        <v>609</v>
      </c>
      <c r="AV31" s="201" t="s">
        <v>610</v>
      </c>
      <c r="AW31" s="768" t="s">
        <v>611</v>
      </c>
      <c r="AX31" s="725"/>
      <c r="AY31" s="90" t="s">
        <v>608</v>
      </c>
      <c r="AZ31" s="749" t="s">
        <v>607</v>
      </c>
      <c r="BA31" s="749" t="s">
        <v>606</v>
      </c>
      <c r="BB31" s="767" t="s">
        <v>609</v>
      </c>
      <c r="BC31" s="201" t="s">
        <v>610</v>
      </c>
      <c r="BD31" s="768" t="s">
        <v>611</v>
      </c>
      <c r="BF31" s="1036"/>
      <c r="BG31" s="1035">
        <v>-1.7524005848090773E-6</v>
      </c>
      <c r="BH31" s="1035">
        <v>-3.8144468974453568E-6</v>
      </c>
      <c r="BI31" s="752">
        <v>5</v>
      </c>
      <c r="BM31" s="863">
        <v>-1.2078833740819292E-10</v>
      </c>
      <c r="BN31" s="863">
        <v>-8.4651408201394709E-11</v>
      </c>
      <c r="BP31">
        <v>-3.3990235846547512E-9</v>
      </c>
      <c r="BQ31">
        <v>-3.7908197809539883E-10</v>
      </c>
      <c r="BS31">
        <v>-5.1873348643907428E-10</v>
      </c>
      <c r="BT31">
        <v>-2.2322871290002731E-11</v>
      </c>
    </row>
    <row r="32" spans="1:72" x14ac:dyDescent="0.2">
      <c r="A32" s="105">
        <f>'DATOS GENERALES'!A86:B86+AV32</f>
        <v>25.282296709272419</v>
      </c>
      <c r="B32" s="106"/>
      <c r="C32" s="105">
        <f>'DATOS GENERALES'!C86:D86+BC32</f>
        <v>25.784227858336383</v>
      </c>
      <c r="D32" s="106"/>
      <c r="E32" s="107">
        <f>'DATOS GENERALES'!E86:F86+T32</f>
        <v>20.594276146124148</v>
      </c>
      <c r="F32" s="108"/>
      <c r="G32" s="109">
        <f>'DATOS GENERALES'!G86:H86+AA32</f>
        <v>20.884773133008597</v>
      </c>
      <c r="H32" s="110"/>
      <c r="I32" s="111">
        <f>'DATOS GENERALES'!I86:J86+AH32</f>
        <v>55.150445635767895</v>
      </c>
      <c r="J32" s="112"/>
      <c r="K32" s="802">
        <f>'DATOS GENERALES'!K86:L86+AO32</f>
        <v>910.34412607728154</v>
      </c>
      <c r="L32" s="112"/>
      <c r="N32" s="599"/>
      <c r="O32" s="731" t="s">
        <v>612</v>
      </c>
      <c r="P32" s="732">
        <f>IF('DATOS GENERALES'!E86="","",'DATOS GENERALES'!E86)</f>
        <v>20.75</v>
      </c>
      <c r="S32" s="734">
        <f>IF(P32="","",$Q$14+$Q$15*P32+$Q$16*P32^2+$Q$17*P32^3+$Q$18*P32^4+$Q$19*P32^5+$Q$20*P32^6+$Q$21*P32^7+$Q$22*P32^8+$Q$23*P32^9+$Q$24*P32^10+$Q$25*P32^11)</f>
        <v>20.594276146124148</v>
      </c>
      <c r="T32" s="734">
        <f>IF(P32="","",S32-P32)</f>
        <v>-0.15572385387585186</v>
      </c>
      <c r="U32" s="735">
        <f>IF(P32="","",$R$14+$R$15*P32+$R$16*P32^2+$R$17*P32^3+$R$18*P32^4+$R$19*P32^5+$R$20*P32^6+$R$21*P32^7+$R$22*P32^8+$R$23*P32^9+$R$24*P32^10+$R$25*P32^11)</f>
        <v>5.3999999999999999E-2</v>
      </c>
      <c r="V32" s="725"/>
      <c r="W32" s="737">
        <f>IF('DATOS GENERALES'!G86="","",'DATOS GENERALES'!G86)</f>
        <v>20.7</v>
      </c>
      <c r="Z32" s="734">
        <f>IF(W32="","",$X$14+$X$15*W32+$X$16*W32^2+$X$17*W32^3+$X$18*W32^4+$X$19*W32^5+$X$20*W32^6+$X$21*W32^7+$X$22*W32^8+$X$23*W32^9+$X$24*W32^10+$X$25*W32^11)</f>
        <v>20.884773133008597</v>
      </c>
      <c r="AA32" s="734">
        <f>IF(W32="","",Z32-W32)</f>
        <v>0.18477313300859777</v>
      </c>
      <c r="AB32" s="735">
        <f>IF(W32="","",$Y$14+$Y$15*W32+$Y$16*W32^2+$Y$17*W32^3+$Y$18*W32^4+$Y$19*W32^5+$Y$20*W32^6+$Y$21*W32^7+$Y$22*W32^8+$Y$23*W32^9+$Y$24*W32^10+$Y$25*W32^11)</f>
        <v>0.27977878625233515</v>
      </c>
      <c r="AC32" s="727"/>
      <c r="AD32" s="737">
        <f>IF('DATOS GENERALES'!I86="","",'DATOS GENERALES'!I86)</f>
        <v>55.3</v>
      </c>
      <c r="AG32" s="734">
        <f>IF(AD32="","",$AE$14+$AE$15*AD32+$AE$16*AD32^2+$AE$17*AD32^3+$AE$18*AD32^4+$AE$19*AD32^5+$AE$20*AD32^6+$AE$21*AD32^7+$AE$22*AD32^8+$AE$23*AD32^9+$AE$24*AD32^10+$AE$25*AD32^11)</f>
        <v>55.150445635767895</v>
      </c>
      <c r="AH32" s="734">
        <f>IF(AD32="","",AG32-AD32)</f>
        <v>-0.14955436423210244</v>
      </c>
      <c r="AI32" s="735">
        <f>IF(AD32="","",$AF$14+$AF$15*AD32+$AF$16*AD32^2+$AF$17*AD32^3+$AF$18*AD32^4+$AF$19*AD32^5+$AF$20*AD32^6+$AF$21*AD32^7+$AF$22*AD32^8+$AF$23*AD32^9+$AF$24*AD32^10+$AF$25*AD32^11)</f>
        <v>0.76264678434372346</v>
      </c>
      <c r="AJ32" s="725"/>
      <c r="AK32" s="737">
        <f>IF('DATOS GENERALES'!K86="","",'DATOS GENERALES'!K86)</f>
        <v>910</v>
      </c>
      <c r="AN32" s="734">
        <f>IF(AK32="","",$AL$14+$AL$15*AK32+$AL$16*AK32^2+$AL$17*AK32^3+$AL$18*AK32^4+$AL$19*AK32^5+$AL$20*AK32^6+$AL$21*AK32^7+$AL$22*AK32^8+$AL$23*AK32^9+$AL$24*AK32^10+$AL$25*AK32^11)</f>
        <v>910.34412607728154</v>
      </c>
      <c r="AO32" s="734">
        <f>IF(AK32="","",AN32-AK32)</f>
        <v>0.34412607728154399</v>
      </c>
      <c r="AP32" s="735">
        <f>IF(AK32="","",$AM$14+$AM$15*AK32+$AM$16*AK32^2+$AM$17*AK32^3+$AM$18*AK32^4+$AM$19*AK32^5+$AM$20*AK32^6+$AM$21*AK32^7+$AM$22*AK32^8+$AM$23*AK32^9+$AM$24*AK32^10+$AM$25*AK32^11)</f>
        <v>0.44000000659045196</v>
      </c>
      <c r="AQ32" s="725"/>
      <c r="AR32" s="737">
        <f>IF('DATOS GENERALES'!A86="","",'DATOS GENERALES'!A86)</f>
        <v>25.282299999999999</v>
      </c>
      <c r="AU32" s="734">
        <f>IF(AR32="","",$AS$14+$AS$15*AR32+$AS$16*AR32^2+$AS$17*AR32^3+$AS$18*AR32^4+$AS$19*AR32^5+$AS$20*AR32^6+$AS$21*AR32^7+$AS$22*AR32^8+$AS$23*AR32^9+$AS$24*AR32^10+$AS$25*AR32^11)</f>
        <v>25.282296709272419</v>
      </c>
      <c r="AV32" s="734">
        <f>IF(AR32="","",AU32-AR32)</f>
        <v>-3.2907275802074309E-6</v>
      </c>
      <c r="AW32" s="735">
        <f>IF(AR32="","",$AT$14+$AT$15*AR32+$AT$16*AR32^2+$AT$17*AR32^3+$AT$18*AR32^4+$AT$19*AR32^5+$AT$20*AR32^6+$AT$21*AR32^7+$AT$22*AR32^8+$AT$23*AR32^9+$AT$24*AR32^10+$AT$25*AR32^11)</f>
        <v>7.8070081398515928E-5</v>
      </c>
      <c r="AX32" s="725"/>
      <c r="AY32" s="737">
        <f>IF('DATOS GENERALES'!C86="","",'DATOS GENERALES'!C86)</f>
        <v>25.784230000000001</v>
      </c>
      <c r="BB32" s="734">
        <f>IF(AY32="","",$AZ$14+$AZ$15*AY32+$AZ$16*AY32^2+$AZ$17*AY32^3+$AZ$18*AY32^4+$AZ$19*AY32^5+$AZ$20*AY32^6+$AZ$21*AY32^7+$AZ$22*AY32^8+$AZ$23*AY32^9+$AZ$24*AY32^10+$AZ$25*AY32^11)</f>
        <v>25.784227858336383</v>
      </c>
      <c r="BC32" s="734">
        <f>IF(AY32="","",BB32-AY32)</f>
        <v>-2.1416636180049409E-6</v>
      </c>
      <c r="BD32" s="735">
        <f>IF(AY32="","",$BA$14+$BA$15*AY32+$BA$16*AY32^2+$BA$17*AY32^3+$BA$18*AY32^4+$BA$19*AY32^5+$BA$20*AY32^6+$BA$21*AY32^7+$BA$22*AY32^8+$BA$23*AY32^9+$BA$24*AY32^10+$BA$25*AY32^11)</f>
        <v>7.9716664661572817E-5</v>
      </c>
      <c r="BF32" s="1036"/>
      <c r="BG32" s="1035">
        <v>1.1848120705544585E-7</v>
      </c>
      <c r="BH32" s="1035">
        <v>2.5805543157208554E-7</v>
      </c>
      <c r="BI32" s="752">
        <v>6</v>
      </c>
      <c r="BM32" s="863">
        <v>5.4440689771006672E-13</v>
      </c>
      <c r="BN32" s="863">
        <v>3.9466169797937389E-13</v>
      </c>
      <c r="BP32">
        <v>1.8693992376784846E-11</v>
      </c>
      <c r="BQ32">
        <v>2.0807503940953786E-12</v>
      </c>
      <c r="BS32">
        <v>2.3450193342464156E-12</v>
      </c>
      <c r="BT32">
        <v>1.060614966586615E-13</v>
      </c>
    </row>
    <row r="33" spans="1:72" x14ac:dyDescent="0.2">
      <c r="A33" s="105">
        <f>'DATOS GENERALES'!A87:B87+AV33</f>
        <v>25.784227858336383</v>
      </c>
      <c r="B33" s="106"/>
      <c r="C33" s="105">
        <f>'DATOS GENERALES'!C87:D87+BC33</f>
        <v>26.286038885810189</v>
      </c>
      <c r="D33" s="106"/>
      <c r="E33" s="107">
        <f>'DATOS GENERALES'!E87:F87+T33</f>
        <v>20.574268767448771</v>
      </c>
      <c r="F33" s="108"/>
      <c r="G33" s="109">
        <f>'DATOS GENERALES'!G87:H87+AA33</f>
        <v>20.884773133008597</v>
      </c>
      <c r="H33" s="110"/>
      <c r="I33" s="111">
        <f>'DATOS GENERALES'!I87:J87+AH33</f>
        <v>55.043153866652574</v>
      </c>
      <c r="J33" s="112"/>
      <c r="K33" s="802">
        <f>'DATOS GENERALES'!K87:L87+AO33</f>
        <v>910.34412607728154</v>
      </c>
      <c r="L33" s="112"/>
      <c r="N33" s="599"/>
      <c r="O33" s="731" t="s">
        <v>613</v>
      </c>
      <c r="P33" s="732">
        <f>IF('DATOS GENERALES'!E87="","",'DATOS GENERALES'!E87)</f>
        <v>20.73</v>
      </c>
      <c r="S33" s="734">
        <f t="shared" ref="S33:S46" si="28">IF(P33="","",$Q$14+$Q$15*P33+$Q$16*P33^2+$Q$17*P33^3+$Q$18*P33^4+$Q$19*P33^5+$Q$20*P33^6+$Q$21*P33^7+$Q$22*P33^8+$Q$23*P33^9+$Q$24*P33^10+$Q$25*P33^11)</f>
        <v>20.574268767448771</v>
      </c>
      <c r="T33" s="734">
        <f t="shared" ref="T33:T46" si="29">IF(P33="","",S33-P33)</f>
        <v>-0.15573123255122923</v>
      </c>
      <c r="U33" s="735">
        <f t="shared" ref="U33:U46" si="30">IF(P33="","",$R$14+$R$15*P33+$R$16*P33^2+$R$17*P33^3+$R$18*P33^4+$R$19*P33^5+$R$20*P33^6+$R$21*P33^7+$R$22*P33^8+$R$23*P33^9+$R$24*P33^10+$R$25*P33^11)</f>
        <v>5.3999999999999999E-2</v>
      </c>
      <c r="V33" s="725"/>
      <c r="W33" s="737">
        <f>IF('DATOS GENERALES'!G87="","",'DATOS GENERALES'!G87)</f>
        <v>20.7</v>
      </c>
      <c r="Z33" s="734">
        <f t="shared" ref="Z33:Z46" si="31">IF(W33="","",$X$14+$X$15*W33+$X$16*W33^2+$X$17*W33^3+$X$18*W33^4+$X$19*W33^5+$X$20*W33^6+$X$21*W33^7+$X$22*W33^8+$X$23*W33^9+$X$24*W33^10+$X$25*W33^11)</f>
        <v>20.884773133008597</v>
      </c>
      <c r="AA33" s="734">
        <f t="shared" ref="AA33:AA46" si="32">IF(W33="","",Z33-W33)</f>
        <v>0.18477313300859777</v>
      </c>
      <c r="AB33" s="735">
        <f t="shared" ref="AB33:AB46" si="33">IF(W33="","",$Y$14+$Y$15*W33+$Y$16*W33^2+$Y$17*W33^3+$Y$18*W33^4+$Y$19*W33^5+$Y$20*W33^6+$Y$21*W33^7+$Y$22*W33^8+$Y$23*W33^9+$Y$24*W33^10+$Y$25*W33^11)</f>
        <v>0.27977878625233515</v>
      </c>
      <c r="AC33" s="727"/>
      <c r="AD33" s="737">
        <f>IF('DATOS GENERALES'!I87="","",'DATOS GENERALES'!I87)</f>
        <v>55.2</v>
      </c>
      <c r="AG33" s="734">
        <f t="shared" ref="AG33:AG46" si="34">IF(AD33="","",$AE$14+$AE$15*AD33+$AE$16*AD33^2+$AE$17*AD33^3+$AE$18*AD33^4+$AE$19*AD33^5+$AE$20*AD33^6+$AE$21*AD33^7+$AE$22*AD33^8+$AE$23*AD33^9+$AE$24*AD33^10+$AE$25*AD33^11)</f>
        <v>55.043153866652574</v>
      </c>
      <c r="AH33" s="734">
        <f t="shared" ref="AH33:AH46" si="35">IF(AD33="","",AG33-AD33)</f>
        <v>-0.15684613334742892</v>
      </c>
      <c r="AI33" s="735">
        <f t="shared" ref="AI33:AI46" si="36">IF(AD33="","",$AF$14+$AF$15*AD33+$AF$16*AD33^2+$AF$17*AD33^3+$AF$18*AD33^4+$AF$19*AD33^5+$AF$20*AD33^6+$AF$21*AD33^7+$AF$22*AD33^8+$AF$23*AD33^9+$AF$24*AD33^10+$AF$25*AD33^11)</f>
        <v>0.76223297625996211</v>
      </c>
      <c r="AJ33" s="725"/>
      <c r="AK33" s="737">
        <f>IF('DATOS GENERALES'!K87="","",'DATOS GENERALES'!K87)</f>
        <v>910</v>
      </c>
      <c r="AN33" s="734">
        <f t="shared" ref="AN33:AN46" si="37">IF(AK33="","",$AL$14+$AL$15*AK33+$AL$16*AK33^2+$AL$17*AK33^3+$AL$18*AK33^4+$AL$19*AK33^5+$AL$20*AK33^6+$AL$21*AK33^7+$AL$22*AK33^8+$AL$23*AK33^9+$AL$24*AK33^10+$AL$25*AK33^11)</f>
        <v>910.34412607728154</v>
      </c>
      <c r="AO33" s="734">
        <f t="shared" ref="AO33:AO46" si="38">IF(AK33="","",AN33-AK33)</f>
        <v>0.34412607728154399</v>
      </c>
      <c r="AP33" s="735">
        <f t="shared" ref="AP33:AP46" si="39">IF(AK33="","",$AM$14+$AM$15*AK33+$AM$16*AK33^2+$AM$17*AK33^3+$AM$18*AK33^4+$AM$19*AK33^5+$AM$20*AK33^6+$AM$21*AK33^7+$AM$22*AK33^8+$AM$23*AK33^9+$AM$24*AK33^10+$AM$25*AK33^11)</f>
        <v>0.44000000659045196</v>
      </c>
      <c r="AQ33" s="725"/>
      <c r="AR33" s="737">
        <f>IF('DATOS GENERALES'!A87="","",'DATOS GENERALES'!A87)</f>
        <v>25.784230000000001</v>
      </c>
      <c r="AU33" s="734">
        <f t="shared" ref="AU33:AU43" si="40">IF(AR33="","",$AS$14+$AS$15*AR33+$AS$16*AR33^2+$AS$17*AR33^3+$AS$18*AR33^4+$AS$19*AR33^5+$AS$20*AR33^6+$AS$21*AR33^7+$AS$22*AR33^8+$AS$23*AR33^9+$AS$24*AR33^10+$AS$25*AR33^11)</f>
        <v>25.784227858336383</v>
      </c>
      <c r="AV33" s="734">
        <f t="shared" ref="AV33:AV46" si="41">IF(AR33="","",AU33-AR33)</f>
        <v>-2.1416636180049409E-6</v>
      </c>
      <c r="AW33" s="735">
        <f t="shared" ref="AW33:AW43" si="42">IF(AR33="","",$AT$14+$AT$15*AR33+$AT$16*AR33^2+$AT$17*AR33^3+$AT$18*AR33^4+$AT$19*AR33^5+$AT$20*AR33^6+$AT$21*AR33^7+$AT$22*AR33^8+$AT$23*AR33^9+$AT$24*AR33^10+$AT$25*AR33^11)</f>
        <v>7.9716664661572817E-5</v>
      </c>
      <c r="AX33" s="725"/>
      <c r="AY33" s="737">
        <f>IF('DATOS GENERALES'!C87="","",'DATOS GENERALES'!C87)</f>
        <v>26.28604</v>
      </c>
      <c r="BB33" s="734">
        <f t="shared" ref="BB33:BB43" si="43">IF(AY33="","",$AZ$14+$AZ$15*AY33+$AZ$16*AY33^2+$AZ$17*AY33^3+$AZ$18*AY33^4+$AZ$19*AY33^5+$AZ$20*AY33^6+$AZ$21*AY33^7+$AZ$22*AY33^8+$AZ$23*AY33^9+$AZ$24*AY33^10+$AZ$25*AY33^11)</f>
        <v>26.286038885810189</v>
      </c>
      <c r="BC33" s="734">
        <f t="shared" ref="BC33:BC43" si="44">IF(AY33="","",BB33-AY33)</f>
        <v>-1.1141898106359349E-6</v>
      </c>
      <c r="BD33" s="735">
        <f t="shared" ref="BD33:BD43" si="45">IF(AY33="","",$BA$14+$BA$15*AY33+$BA$16*AY33^2+$BA$17*AY33^3+$BA$18*AY33^4+$BA$19*AY33^5+$BA$20*AY33^6+$BA$21*AY33^7+$BA$22*AY33^8+$BA$23*AY33^9+$BA$24*AY33^10+$BA$25*AY33^11)</f>
        <v>8.1041575271546124E-5</v>
      </c>
      <c r="BF33" s="1036"/>
      <c r="BG33" s="1035">
        <v>-4.9960517953733874E-9</v>
      </c>
      <c r="BH33" s="1035">
        <v>-1.0966527928468989E-8</v>
      </c>
      <c r="BI33" s="752">
        <v>7</v>
      </c>
      <c r="BM33" s="863">
        <v>-1.5762645773493438E-15</v>
      </c>
      <c r="BN33" s="863">
        <v>-1.1826310855055358E-15</v>
      </c>
      <c r="BP33">
        <v>-6.5554105425377474E-14</v>
      </c>
      <c r="BQ33">
        <v>-7.2837491928845758E-15</v>
      </c>
      <c r="BS33">
        <v>-6.8060782890225909E-15</v>
      </c>
      <c r="BT33">
        <v>-3.2089250396454809E-16</v>
      </c>
    </row>
    <row r="34" spans="1:72" x14ac:dyDescent="0.2">
      <c r="A34" s="105">
        <f>'DATOS GENERALES'!A88:B88+AV34</f>
        <v>26.286038885810189</v>
      </c>
      <c r="B34" s="106"/>
      <c r="C34" s="105">
        <f>'DATOS GENERALES'!C88:D88+BC34</f>
        <v>26.787959779910967</v>
      </c>
      <c r="D34" s="106"/>
      <c r="E34" s="107">
        <f>'DATOS GENERALES'!E88:F88+T34</f>
        <v>20.594276146124148</v>
      </c>
      <c r="F34" s="108"/>
      <c r="G34" s="109">
        <f>'DATOS GENERALES'!G88:H88+AA34</f>
        <v>20.884773133008597</v>
      </c>
      <c r="H34" s="110"/>
      <c r="I34" s="111">
        <f>'DATOS GENERALES'!I88:J88+AH34</f>
        <v>55.257712631636863</v>
      </c>
      <c r="J34" s="112"/>
      <c r="K34" s="802">
        <f>'DATOS GENERALES'!K88:L88+AO34</f>
        <v>910.34412607728154</v>
      </c>
      <c r="L34" s="112"/>
      <c r="N34" s="599"/>
      <c r="O34" s="731" t="s">
        <v>614</v>
      </c>
      <c r="P34" s="732">
        <f>IF('DATOS GENERALES'!E88="","",'DATOS GENERALES'!E88)</f>
        <v>20.75</v>
      </c>
      <c r="S34" s="734">
        <f t="shared" si="28"/>
        <v>20.594276146124148</v>
      </c>
      <c r="T34" s="734">
        <f t="shared" si="29"/>
        <v>-0.15572385387585186</v>
      </c>
      <c r="U34" s="735">
        <f t="shared" si="30"/>
        <v>5.3999999999999999E-2</v>
      </c>
      <c r="V34" s="725"/>
      <c r="W34" s="737">
        <f>IF('DATOS GENERALES'!G88="","",'DATOS GENERALES'!G88)</f>
        <v>20.7</v>
      </c>
      <c r="Z34" s="734">
        <f t="shared" si="31"/>
        <v>20.884773133008597</v>
      </c>
      <c r="AA34" s="734">
        <f t="shared" si="32"/>
        <v>0.18477313300859777</v>
      </c>
      <c r="AB34" s="735">
        <f t="shared" si="33"/>
        <v>0.27977878625233515</v>
      </c>
      <c r="AC34" s="727"/>
      <c r="AD34" s="737">
        <f>IF('DATOS GENERALES'!I88="","",'DATOS GENERALES'!I88)</f>
        <v>55.4</v>
      </c>
      <c r="AG34" s="734">
        <f t="shared" si="34"/>
        <v>55.257712631636863</v>
      </c>
      <c r="AH34" s="734">
        <f t="shared" si="35"/>
        <v>-0.14228736836313516</v>
      </c>
      <c r="AI34" s="735">
        <f t="shared" si="36"/>
        <v>0.76306000623592829</v>
      </c>
      <c r="AJ34" s="725"/>
      <c r="AK34" s="737">
        <f>IF('DATOS GENERALES'!K88="","",'DATOS GENERALES'!K88)</f>
        <v>910</v>
      </c>
      <c r="AN34" s="734">
        <f t="shared" si="37"/>
        <v>910.34412607728154</v>
      </c>
      <c r="AO34" s="734">
        <f t="shared" si="38"/>
        <v>0.34412607728154399</v>
      </c>
      <c r="AP34" s="735">
        <f t="shared" si="39"/>
        <v>0.44000000659045196</v>
      </c>
      <c r="AQ34" s="725"/>
      <c r="AR34" s="737">
        <f>IF('DATOS GENERALES'!A88="","",'DATOS GENERALES'!A88)</f>
        <v>26.28604</v>
      </c>
      <c r="AU34" s="734">
        <f t="shared" si="40"/>
        <v>26.286038885810189</v>
      </c>
      <c r="AV34" s="734">
        <f t="shared" si="41"/>
        <v>-1.1141898106359349E-6</v>
      </c>
      <c r="AW34" s="735">
        <f t="shared" si="42"/>
        <v>8.1041575271546124E-5</v>
      </c>
      <c r="AX34" s="725"/>
      <c r="AY34" s="737">
        <f>IF('DATOS GENERALES'!C88="","",'DATOS GENERALES'!C88)</f>
        <v>26.787960000000002</v>
      </c>
      <c r="BB34" s="734">
        <f t="shared" si="43"/>
        <v>26.787959779910967</v>
      </c>
      <c r="BC34" s="734">
        <f t="shared" si="44"/>
        <v>-2.2008903499681765E-7</v>
      </c>
      <c r="BD34" s="735">
        <f t="shared" si="45"/>
        <v>8.2072169825857244E-5</v>
      </c>
      <c r="BF34" s="1036"/>
      <c r="BG34" s="1035">
        <v>1.3295245502303193E-10</v>
      </c>
      <c r="BH34" s="1035">
        <v>2.9536854506783193E-10</v>
      </c>
      <c r="BI34" s="752">
        <v>8</v>
      </c>
      <c r="BM34" s="863">
        <v>2.6515603410488947E-18</v>
      </c>
      <c r="BN34" s="863">
        <v>2.0592026139445931E-18</v>
      </c>
      <c r="BP34">
        <v>1.3233951982811469E-16</v>
      </c>
      <c r="BQ34">
        <v>1.4681896505522964E-17</v>
      </c>
      <c r="BS34">
        <v>1.1465429850982007E-17</v>
      </c>
      <c r="BT34">
        <v>5.5952113602926902E-19</v>
      </c>
    </row>
    <row r="35" spans="1:72" x14ac:dyDescent="0.2">
      <c r="A35" s="105">
        <f>'DATOS GENERALES'!A89:B89+AV35</f>
        <v>26.787959779910967</v>
      </c>
      <c r="B35" s="106"/>
      <c r="C35" s="105">
        <f>'DATOS GENERALES'!C89:D89+BC35</f>
        <v>27.290090539156285</v>
      </c>
      <c r="D35" s="106"/>
      <c r="E35" s="107">
        <f>'DATOS GENERALES'!E89:F89+T35</f>
        <v>20.584272477792481</v>
      </c>
      <c r="F35" s="108"/>
      <c r="G35" s="109">
        <f>'DATOS GENERALES'!G89:H89+AA35</f>
        <v>20.884773133008597</v>
      </c>
      <c r="H35" s="110"/>
      <c r="I35" s="111">
        <f>'DATOS GENERALES'!I89:J89+AH35</f>
        <v>55.686532882649125</v>
      </c>
      <c r="J35" s="112"/>
      <c r="K35" s="802">
        <f>'DATOS GENERALES'!K89:L89+AO35</f>
        <v>910.34412607728154</v>
      </c>
      <c r="L35" s="112"/>
      <c r="N35" s="599"/>
      <c r="O35" s="731" t="s">
        <v>615</v>
      </c>
      <c r="P35" s="732">
        <f>IF('DATOS GENERALES'!E89="","",'DATOS GENERALES'!E89)</f>
        <v>20.74</v>
      </c>
      <c r="S35" s="734">
        <f t="shared" si="28"/>
        <v>20.584272477792481</v>
      </c>
      <c r="T35" s="734">
        <f t="shared" si="29"/>
        <v>-0.15572752220751696</v>
      </c>
      <c r="U35" s="735">
        <f t="shared" si="30"/>
        <v>5.3999999999999999E-2</v>
      </c>
      <c r="V35" s="725"/>
      <c r="W35" s="737">
        <f>IF('DATOS GENERALES'!G89="","",'DATOS GENERALES'!G89)</f>
        <v>20.7</v>
      </c>
      <c r="Z35" s="734">
        <f t="shared" si="31"/>
        <v>20.884773133008597</v>
      </c>
      <c r="AA35" s="734">
        <f t="shared" si="32"/>
        <v>0.18477313300859777</v>
      </c>
      <c r="AB35" s="735">
        <f t="shared" si="33"/>
        <v>0.27977878625233515</v>
      </c>
      <c r="AC35" s="727"/>
      <c r="AD35" s="737">
        <f>IF('DATOS GENERALES'!I89="","",'DATOS GENERALES'!I89)</f>
        <v>55.8</v>
      </c>
      <c r="AG35" s="734">
        <f t="shared" si="34"/>
        <v>55.686532882649125</v>
      </c>
      <c r="AH35" s="734">
        <f t="shared" si="35"/>
        <v>-0.11346711735087212</v>
      </c>
      <c r="AI35" s="735">
        <f t="shared" si="36"/>
        <v>0.76470703188918121</v>
      </c>
      <c r="AJ35" s="725"/>
      <c r="AK35" s="737">
        <f>IF('DATOS GENERALES'!K89="","",'DATOS GENERALES'!K89)</f>
        <v>910</v>
      </c>
      <c r="AN35" s="734">
        <f t="shared" si="37"/>
        <v>910.34412607728154</v>
      </c>
      <c r="AO35" s="734">
        <f t="shared" si="38"/>
        <v>0.34412607728154399</v>
      </c>
      <c r="AP35" s="735">
        <f t="shared" si="39"/>
        <v>0.44000000659045196</v>
      </c>
      <c r="AQ35" s="725"/>
      <c r="AR35" s="737">
        <f>IF('DATOS GENERALES'!A89="","",'DATOS GENERALES'!A89)</f>
        <v>26.787960000000002</v>
      </c>
      <c r="AU35" s="734">
        <f t="shared" si="40"/>
        <v>26.787959779910967</v>
      </c>
      <c r="AV35" s="734">
        <f t="shared" si="41"/>
        <v>-2.2008903499681765E-7</v>
      </c>
      <c r="AW35" s="735">
        <f t="shared" si="42"/>
        <v>8.2072169825857244E-5</v>
      </c>
      <c r="AX35" s="725"/>
      <c r="AY35" s="737">
        <f>IF('DATOS GENERALES'!C89="","",'DATOS GENERALES'!C89)</f>
        <v>27.290089999999999</v>
      </c>
      <c r="BB35" s="734">
        <f t="shared" si="43"/>
        <v>27.290090539156285</v>
      </c>
      <c r="BC35" s="734">
        <f t="shared" si="44"/>
        <v>5.3915628583922626E-7</v>
      </c>
      <c r="BD35" s="735">
        <f t="shared" si="45"/>
        <v>8.2855203038176284E-5</v>
      </c>
      <c r="BF35" s="1036"/>
      <c r="BG35" s="1035">
        <v>-2.1717464925059899E-12</v>
      </c>
      <c r="BH35" s="1035">
        <v>-4.8947159878212232E-12</v>
      </c>
      <c r="BI35" s="752">
        <v>9</v>
      </c>
      <c r="BM35" s="863">
        <v>-1.970679417920528E-21</v>
      </c>
      <c r="BN35" s="863">
        <v>-1.583824765793124E-21</v>
      </c>
      <c r="BP35">
        <v>-1.16805885077909E-19</v>
      </c>
      <c r="BQ35">
        <v>-1.2941689427932762E-20</v>
      </c>
      <c r="BS35">
        <v>-8.5224019875517649E-21</v>
      </c>
      <c r="BT35">
        <v>-4.2785514405374054E-22</v>
      </c>
    </row>
    <row r="36" spans="1:72" x14ac:dyDescent="0.2">
      <c r="A36" s="105">
        <f>'DATOS GENERALES'!A90:B90+AV36</f>
        <v>27.290090539156285</v>
      </c>
      <c r="B36" s="106"/>
      <c r="C36" s="105">
        <f>'DATOS GENERALES'!C90:D90+BC36</f>
        <v>27.792581172061265</v>
      </c>
      <c r="D36" s="106"/>
      <c r="E36" s="107">
        <f>'DATOS GENERALES'!E90:F90+T36</f>
        <v>20.564265015093017</v>
      </c>
      <c r="F36" s="108"/>
      <c r="G36" s="109">
        <f>'DATOS GENERALES'!G90:H90+AA36</f>
        <v>20.884773133008597</v>
      </c>
      <c r="H36" s="110"/>
      <c r="I36" s="111">
        <f>'DATOS GENERALES'!I90:J90+AH36</f>
        <v>55.150445635767895</v>
      </c>
      <c r="J36" s="112"/>
      <c r="K36" s="802">
        <f>'DATOS GENERALES'!K90:L90+AO36</f>
        <v>910.34412607728154</v>
      </c>
      <c r="L36" s="112"/>
      <c r="N36" s="599"/>
      <c r="O36" s="731" t="s">
        <v>616</v>
      </c>
      <c r="P36" s="732">
        <f>IF('DATOS GENERALES'!E90="","",'DATOS GENERALES'!E90)</f>
        <v>20.72</v>
      </c>
      <c r="S36" s="734">
        <f t="shared" si="28"/>
        <v>20.564265015093017</v>
      </c>
      <c r="T36" s="734">
        <f t="shared" si="29"/>
        <v>-0.15573498490698157</v>
      </c>
      <c r="U36" s="735">
        <f t="shared" si="30"/>
        <v>5.3999999999999999E-2</v>
      </c>
      <c r="V36" s="725"/>
      <c r="W36" s="737">
        <f>IF('DATOS GENERALES'!G90="","",'DATOS GENERALES'!G90)</f>
        <v>20.7</v>
      </c>
      <c r="Z36" s="734">
        <f t="shared" si="31"/>
        <v>20.884773133008597</v>
      </c>
      <c r="AA36" s="734">
        <f t="shared" si="32"/>
        <v>0.18477313300859777</v>
      </c>
      <c r="AB36" s="735">
        <f t="shared" si="33"/>
        <v>0.27977878625233515</v>
      </c>
      <c r="AC36" s="727"/>
      <c r="AD36" s="737">
        <f>IF('DATOS GENERALES'!I90="","",'DATOS GENERALES'!I90)</f>
        <v>55.3</v>
      </c>
      <c r="AG36" s="734">
        <f t="shared" si="34"/>
        <v>55.150445635767895</v>
      </c>
      <c r="AH36" s="734">
        <f t="shared" si="35"/>
        <v>-0.14955436423210244</v>
      </c>
      <c r="AI36" s="735">
        <f t="shared" si="36"/>
        <v>0.76264678434372346</v>
      </c>
      <c r="AJ36" s="725"/>
      <c r="AK36" s="737">
        <f>IF('DATOS GENERALES'!K90="","",'DATOS GENERALES'!K90)</f>
        <v>910</v>
      </c>
      <c r="AN36" s="734">
        <f t="shared" si="37"/>
        <v>910.34412607728154</v>
      </c>
      <c r="AO36" s="734">
        <f t="shared" si="38"/>
        <v>0.34412607728154399</v>
      </c>
      <c r="AP36" s="735">
        <f t="shared" si="39"/>
        <v>0.44000000659045196</v>
      </c>
      <c r="AQ36" s="725"/>
      <c r="AR36" s="737">
        <f>IF('DATOS GENERALES'!A90="","",'DATOS GENERALES'!A90)</f>
        <v>27.290089999999999</v>
      </c>
      <c r="AU36" s="734">
        <f t="shared" si="40"/>
        <v>27.290090539156285</v>
      </c>
      <c r="AV36" s="734">
        <f t="shared" si="41"/>
        <v>5.3915628583922626E-7</v>
      </c>
      <c r="AW36" s="735">
        <f t="shared" si="42"/>
        <v>8.2855203038176284E-5</v>
      </c>
      <c r="AX36" s="725"/>
      <c r="AY36" s="737">
        <f>IF('DATOS GENERALES'!C90="","",'DATOS GENERALES'!C90)</f>
        <v>27.792580000000001</v>
      </c>
      <c r="BB36" s="734">
        <f t="shared" si="43"/>
        <v>27.792581172061265</v>
      </c>
      <c r="BC36" s="734">
        <f t="shared" si="44"/>
        <v>1.1720612640431227E-6</v>
      </c>
      <c r="BD36" s="735">
        <f t="shared" si="45"/>
        <v>8.3454617062425629E-5</v>
      </c>
      <c r="BF36" s="1036"/>
      <c r="BG36" s="1035">
        <v>1.9885712879472517E-14</v>
      </c>
      <c r="BH36" s="1035">
        <v>4.5522451516296612E-14</v>
      </c>
      <c r="BI36" s="752">
        <v>10</v>
      </c>
    </row>
    <row r="37" spans="1:72" x14ac:dyDescent="0.2">
      <c r="A37" s="105">
        <f>'DATOS GENERALES'!A91:B91+AV37</f>
        <v>27.792581172061265</v>
      </c>
      <c r="B37" s="106"/>
      <c r="C37" s="105">
        <f>'DATOS GENERALES'!C91:D91+BC37</f>
        <v>28.294251694662286</v>
      </c>
      <c r="D37" s="106"/>
      <c r="E37" s="107">
        <f>'DATOS GENERALES'!E91:F91+T37</f>
        <v>20.554261220725227</v>
      </c>
      <c r="F37" s="108"/>
      <c r="G37" s="109">
        <f>'DATOS GENERALES'!G91:H91+AA37</f>
        <v>20.884773133008597</v>
      </c>
      <c r="H37" s="110"/>
      <c r="I37" s="111">
        <f>'DATOS GENERALES'!I91:J91+AH37</f>
        <v>55.686532882649125</v>
      </c>
      <c r="J37" s="112"/>
      <c r="K37" s="802">
        <f>'DATOS GENERALES'!K91:L91+AO37</f>
        <v>910.34412607728154</v>
      </c>
      <c r="L37" s="112"/>
      <c r="N37" s="599"/>
      <c r="O37" s="731" t="s">
        <v>617</v>
      </c>
      <c r="P37" s="732">
        <f>IF('DATOS GENERALES'!E91="","",'DATOS GENERALES'!E91)</f>
        <v>20.71</v>
      </c>
      <c r="S37" s="734">
        <f t="shared" si="28"/>
        <v>20.554261220725227</v>
      </c>
      <c r="T37" s="734">
        <f t="shared" si="29"/>
        <v>-0.15573877927477398</v>
      </c>
      <c r="U37" s="735">
        <f t="shared" si="30"/>
        <v>5.3999999999999999E-2</v>
      </c>
      <c r="V37" s="725"/>
      <c r="W37" s="737">
        <f>IF('DATOS GENERALES'!G91="","",'DATOS GENERALES'!G91)</f>
        <v>20.7</v>
      </c>
      <c r="Z37" s="734">
        <f t="shared" si="31"/>
        <v>20.884773133008597</v>
      </c>
      <c r="AA37" s="734">
        <f t="shared" si="32"/>
        <v>0.18477313300859777</v>
      </c>
      <c r="AB37" s="735">
        <f t="shared" si="33"/>
        <v>0.27977878625233515</v>
      </c>
      <c r="AC37" s="727"/>
      <c r="AD37" s="737">
        <f>IF('DATOS GENERALES'!I91="","",'DATOS GENERALES'!I91)</f>
        <v>55.8</v>
      </c>
      <c r="AG37" s="734">
        <f t="shared" si="34"/>
        <v>55.686532882649125</v>
      </c>
      <c r="AH37" s="734">
        <f t="shared" si="35"/>
        <v>-0.11346711735087212</v>
      </c>
      <c r="AI37" s="735">
        <f t="shared" si="36"/>
        <v>0.76470703188918121</v>
      </c>
      <c r="AJ37" s="725"/>
      <c r="AK37" s="737">
        <f>IF('DATOS GENERALES'!K91="","",'DATOS GENERALES'!K91)</f>
        <v>910</v>
      </c>
      <c r="AN37" s="734">
        <f t="shared" si="37"/>
        <v>910.34412607728154</v>
      </c>
      <c r="AO37" s="734">
        <f t="shared" si="38"/>
        <v>0.34412607728154399</v>
      </c>
      <c r="AP37" s="735">
        <f t="shared" si="39"/>
        <v>0.44000000659045196</v>
      </c>
      <c r="AQ37" s="725"/>
      <c r="AR37" s="737">
        <f>IF('DATOS GENERALES'!A91="","",'DATOS GENERALES'!A91)</f>
        <v>27.792580000000001</v>
      </c>
      <c r="AU37" s="734">
        <f t="shared" si="40"/>
        <v>27.792581172061265</v>
      </c>
      <c r="AV37" s="734">
        <f t="shared" si="41"/>
        <v>1.1720612640431227E-6</v>
      </c>
      <c r="AW37" s="735">
        <f t="shared" si="42"/>
        <v>8.3454617062425629E-5</v>
      </c>
      <c r="AX37" s="725"/>
      <c r="AY37" s="737">
        <f>IF('DATOS GENERALES'!C91="","",'DATOS GENERALES'!C91)</f>
        <v>28.294250000000002</v>
      </c>
      <c r="BB37" s="734">
        <f t="shared" si="43"/>
        <v>28.294251694662286</v>
      </c>
      <c r="BC37" s="734">
        <f t="shared" si="44"/>
        <v>1.6946622842795023E-6</v>
      </c>
      <c r="BD37" s="735">
        <f t="shared" si="45"/>
        <v>8.3946627167083565E-5</v>
      </c>
      <c r="BF37" s="1037"/>
      <c r="BG37" s="1035">
        <v>-7.814523688509512E-17</v>
      </c>
      <c r="BH37" s="1035">
        <v>-1.8178499464438459E-16</v>
      </c>
      <c r="BI37" s="752">
        <v>11</v>
      </c>
      <c r="BL37" s="1" t="s">
        <v>317</v>
      </c>
      <c r="BM37" s="863">
        <v>-9.9890346219010044E-302</v>
      </c>
      <c r="BN37" s="863">
        <v>2.2000000000000001E-3</v>
      </c>
      <c r="BP37">
        <v>-1.0003664106925012E-301</v>
      </c>
      <c r="BQ37">
        <v>8.1999999999999998E-4</v>
      </c>
      <c r="BS37">
        <v>1.8899097174451818E-6</v>
      </c>
      <c r="BT37">
        <v>1.2995960529009261E-3</v>
      </c>
    </row>
    <row r="38" spans="1:72" x14ac:dyDescent="0.2">
      <c r="A38" s="105">
        <f>'DATOS GENERALES'!A92:B92+AV38</f>
        <v>28.294251694662286</v>
      </c>
      <c r="B38" s="106"/>
      <c r="C38" s="105">
        <f>'DATOS GENERALES'!C92:D92+BC38</f>
        <v>28.79658213316953</v>
      </c>
      <c r="D38" s="106"/>
      <c r="E38" s="107">
        <f>'DATOS GENERALES'!E92:F92+T38</f>
        <v>20.544257384345386</v>
      </c>
      <c r="F38" s="108"/>
      <c r="G38" s="109">
        <f>'DATOS GENERALES'!G92:H92+AA38</f>
        <v>20.884773133008597</v>
      </c>
      <c r="H38" s="110"/>
      <c r="I38" s="111">
        <f>'DATOS GENERALES'!I92:J92+AH38</f>
        <v>55.793676012286291</v>
      </c>
      <c r="J38" s="112"/>
      <c r="K38" s="802">
        <f>'DATOS GENERALES'!K92:L92+AO38</f>
        <v>910.34412607728154</v>
      </c>
      <c r="L38" s="112"/>
      <c r="N38" s="599"/>
      <c r="O38" s="731" t="s">
        <v>618</v>
      </c>
      <c r="P38" s="732">
        <f>IF('DATOS GENERALES'!E92="","",'DATOS GENERALES'!E92)</f>
        <v>20.7</v>
      </c>
      <c r="S38" s="734">
        <f t="shared" si="28"/>
        <v>20.544257384345386</v>
      </c>
      <c r="T38" s="734">
        <f t="shared" si="29"/>
        <v>-0.15574261565461356</v>
      </c>
      <c r="U38" s="735">
        <f t="shared" si="30"/>
        <v>5.3999999999999999E-2</v>
      </c>
      <c r="V38" s="725"/>
      <c r="W38" s="737">
        <f>IF('DATOS GENERALES'!G92="","",'DATOS GENERALES'!G92)</f>
        <v>20.7</v>
      </c>
      <c r="Z38" s="734">
        <f t="shared" si="31"/>
        <v>20.884773133008597</v>
      </c>
      <c r="AA38" s="734">
        <f t="shared" si="32"/>
        <v>0.18477313300859777</v>
      </c>
      <c r="AB38" s="735">
        <f t="shared" si="33"/>
        <v>0.27977878625233515</v>
      </c>
      <c r="AC38" s="727"/>
      <c r="AD38" s="737">
        <f>IF('DATOS GENERALES'!I92="","",'DATOS GENERALES'!I92)</f>
        <v>55.9</v>
      </c>
      <c r="AG38" s="734">
        <f t="shared" si="34"/>
        <v>55.793676012286291</v>
      </c>
      <c r="AH38" s="734">
        <f t="shared" si="35"/>
        <v>-0.10632398771370788</v>
      </c>
      <c r="AI38" s="735">
        <f t="shared" si="36"/>
        <v>0.76511732282360301</v>
      </c>
      <c r="AJ38" s="725"/>
      <c r="AK38" s="737">
        <f>IF('DATOS GENERALES'!K92="","",'DATOS GENERALES'!K92)</f>
        <v>910</v>
      </c>
      <c r="AN38" s="734">
        <f t="shared" si="37"/>
        <v>910.34412607728154</v>
      </c>
      <c r="AO38" s="734">
        <f t="shared" si="38"/>
        <v>0.34412607728154399</v>
      </c>
      <c r="AP38" s="735">
        <f t="shared" si="39"/>
        <v>0.44000000659045196</v>
      </c>
      <c r="AQ38" s="725"/>
      <c r="AR38" s="737">
        <f>IF('DATOS GENERALES'!A92="","",'DATOS GENERALES'!A92)</f>
        <v>28.294250000000002</v>
      </c>
      <c r="AU38" s="734">
        <f t="shared" si="40"/>
        <v>28.294251694662286</v>
      </c>
      <c r="AV38" s="734">
        <f t="shared" si="41"/>
        <v>1.6946622842795023E-6</v>
      </c>
      <c r="AW38" s="735">
        <f t="shared" si="42"/>
        <v>8.3946627167083565E-5</v>
      </c>
      <c r="AX38" s="725"/>
      <c r="AY38" s="737">
        <f>IF('DATOS GENERALES'!C92="","",'DATOS GENERALES'!C92)</f>
        <v>28.796579999999999</v>
      </c>
      <c r="BB38" s="734">
        <f t="shared" si="43"/>
        <v>28.79658213316953</v>
      </c>
      <c r="BC38" s="734">
        <f t="shared" si="44"/>
        <v>2.1331695307935661E-6</v>
      </c>
      <c r="BD38" s="735">
        <f t="shared" si="45"/>
        <v>8.4419037885946624E-5</v>
      </c>
      <c r="BF38" s="128"/>
      <c r="BG38" s="128"/>
      <c r="BH38" s="128"/>
      <c r="BI38" s="719"/>
      <c r="BM38" s="863">
        <v>0.99890346219003368</v>
      </c>
      <c r="BN38" s="863">
        <v>1.3279478002588313E-5</v>
      </c>
      <c r="BP38">
        <v>1.0003664106924615</v>
      </c>
      <c r="BQ38">
        <v>5.1784990271872794E-6</v>
      </c>
      <c r="BS38">
        <v>0.99998111152531588</v>
      </c>
      <c r="BT38">
        <v>4.0479701897863619E-6</v>
      </c>
    </row>
    <row r="39" spans="1:72" ht="15" x14ac:dyDescent="0.2">
      <c r="A39" s="105">
        <f>'DATOS GENERALES'!A93:B93+AV39</f>
        <v>28.79658213316953</v>
      </c>
      <c r="B39" s="106"/>
      <c r="C39" s="105">
        <f>'DATOS GENERALES'!C93:D93+BC39</f>
        <v>29.298242516241114</v>
      </c>
      <c r="D39" s="106"/>
      <c r="E39" s="107">
        <f>'DATOS GENERALES'!E93:F93+T39</f>
        <v>20.554261220725227</v>
      </c>
      <c r="F39" s="108"/>
      <c r="G39" s="109">
        <f>'DATOS GENERALES'!G93:H93+AA39</f>
        <v>20.884773133008597</v>
      </c>
      <c r="H39" s="110"/>
      <c r="I39" s="111">
        <f>'DATOS GENERALES'!I93:J93+AH39</f>
        <v>55.043153866652574</v>
      </c>
      <c r="J39" s="112"/>
      <c r="K39" s="802">
        <f>'DATOS GENERALES'!K93:L93+AO39</f>
        <v>910.34412607728154</v>
      </c>
      <c r="L39" s="112"/>
      <c r="N39" s="599"/>
      <c r="O39" s="731" t="s">
        <v>619</v>
      </c>
      <c r="P39" s="732">
        <f>IF('DATOS GENERALES'!E93="","",'DATOS GENERALES'!E93)</f>
        <v>20.71</v>
      </c>
      <c r="S39" s="734">
        <f t="shared" si="28"/>
        <v>20.554261220725227</v>
      </c>
      <c r="T39" s="734">
        <f t="shared" si="29"/>
        <v>-0.15573877927477398</v>
      </c>
      <c r="U39" s="735">
        <f t="shared" si="30"/>
        <v>5.3999999999999999E-2</v>
      </c>
      <c r="V39" s="725"/>
      <c r="W39" s="737">
        <f>IF('DATOS GENERALES'!G93="","",'DATOS GENERALES'!G93)</f>
        <v>20.7</v>
      </c>
      <c r="Z39" s="734">
        <f t="shared" si="31"/>
        <v>20.884773133008597</v>
      </c>
      <c r="AA39" s="734">
        <f t="shared" si="32"/>
        <v>0.18477313300859777</v>
      </c>
      <c r="AB39" s="735">
        <f t="shared" si="33"/>
        <v>0.27977878625233515</v>
      </c>
      <c r="AC39" s="727"/>
      <c r="AD39" s="737">
        <f>IF('DATOS GENERALES'!I93="","",'DATOS GENERALES'!I93)</f>
        <v>55.2</v>
      </c>
      <c r="AG39" s="734">
        <f t="shared" si="34"/>
        <v>55.043153866652574</v>
      </c>
      <c r="AH39" s="734">
        <f t="shared" si="35"/>
        <v>-0.15684613334742892</v>
      </c>
      <c r="AI39" s="735">
        <f t="shared" si="36"/>
        <v>0.76223297625996211</v>
      </c>
      <c r="AJ39" s="725"/>
      <c r="AK39" s="737">
        <f>IF('DATOS GENERALES'!K93="","",'DATOS GENERALES'!K93)</f>
        <v>910</v>
      </c>
      <c r="AN39" s="734">
        <f t="shared" si="37"/>
        <v>910.34412607728154</v>
      </c>
      <c r="AO39" s="734">
        <f t="shared" si="38"/>
        <v>0.34412607728154399</v>
      </c>
      <c r="AP39" s="735">
        <f t="shared" si="39"/>
        <v>0.44000000659045196</v>
      </c>
      <c r="AQ39" s="725"/>
      <c r="AR39" s="737">
        <f>IF('DATOS GENERALES'!A93="","",'DATOS GENERALES'!A93)</f>
        <v>28.796579999999999</v>
      </c>
      <c r="AU39" s="734">
        <f t="shared" si="40"/>
        <v>28.79658213316953</v>
      </c>
      <c r="AV39" s="734">
        <f t="shared" si="41"/>
        <v>2.1331695307935661E-6</v>
      </c>
      <c r="AW39" s="735">
        <f t="shared" si="42"/>
        <v>8.4419037885946624E-5</v>
      </c>
      <c r="AX39" s="725"/>
      <c r="AY39" s="737">
        <f>IF('DATOS GENERALES'!C93="","",'DATOS GENERALES'!C93)</f>
        <v>29.29824</v>
      </c>
      <c r="BB39" s="734">
        <f t="shared" si="43"/>
        <v>29.298242516241114</v>
      </c>
      <c r="BC39" s="734">
        <f t="shared" si="44"/>
        <v>2.5162411141366192E-6</v>
      </c>
      <c r="BD39" s="735">
        <f t="shared" si="45"/>
        <v>8.4960392208024982E-5</v>
      </c>
      <c r="BF39" s="748"/>
      <c r="BG39" s="749" t="s">
        <v>605</v>
      </c>
      <c r="BH39" s="749" t="s">
        <v>606</v>
      </c>
      <c r="BI39" s="750"/>
      <c r="BM39" s="863">
        <v>2.4248581775285216E-5</v>
      </c>
      <c r="BN39" s="863">
        <v>-3.0659809017137272E-7</v>
      </c>
      <c r="BP39">
        <v>-8.1662801213189251E-6</v>
      </c>
      <c r="BQ39">
        <v>-8.5000133947354841E-8</v>
      </c>
      <c r="BS39">
        <v>-1.0660523481684225E-7</v>
      </c>
      <c r="BT39">
        <v>-8.5083982609290834E-8</v>
      </c>
    </row>
    <row r="40" spans="1:72" x14ac:dyDescent="0.2">
      <c r="A40" s="105">
        <f>'DATOS GENERALES'!A94:B94+AV40</f>
        <v>29.298242516241114</v>
      </c>
      <c r="B40" s="106"/>
      <c r="C40" s="105">
        <f>'DATOS GENERALES'!C94:D94+BC40</f>
        <v>29.800752877876008</v>
      </c>
      <c r="D40" s="106"/>
      <c r="E40" s="107">
        <f>'DATOS GENERALES'!E94:F94+T40</f>
        <v>20.514245623133629</v>
      </c>
      <c r="F40" s="108"/>
      <c r="G40" s="109">
        <f>'DATOS GENERALES'!G94:H94+AA40</f>
        <v>20.884773133008597</v>
      </c>
      <c r="H40" s="110"/>
      <c r="I40" s="111">
        <f>'DATOS GENERALES'!I94:J94+AH40</f>
        <v>54.398883013787014</v>
      </c>
      <c r="J40" s="112"/>
      <c r="K40" s="802">
        <f>'DATOS GENERALES'!K94:L94+AO40</f>
        <v>910.34412607728154</v>
      </c>
      <c r="L40" s="112"/>
      <c r="N40" s="599"/>
      <c r="O40" s="731" t="s">
        <v>620</v>
      </c>
      <c r="P40" s="732">
        <f>IF('DATOS GENERALES'!E94="","",'DATOS GENERALES'!E94)</f>
        <v>20.67</v>
      </c>
      <c r="S40" s="734">
        <f t="shared" si="28"/>
        <v>20.514245623133629</v>
      </c>
      <c r="T40" s="734">
        <f t="shared" si="29"/>
        <v>-0.15575437686637272</v>
      </c>
      <c r="U40" s="735">
        <f t="shared" si="30"/>
        <v>5.3999999999999999E-2</v>
      </c>
      <c r="V40" s="725"/>
      <c r="W40" s="737">
        <f>IF('DATOS GENERALES'!G94="","",'DATOS GENERALES'!G94)</f>
        <v>20.7</v>
      </c>
      <c r="Z40" s="734">
        <f t="shared" si="31"/>
        <v>20.884773133008597</v>
      </c>
      <c r="AA40" s="734">
        <f t="shared" si="32"/>
        <v>0.18477313300859777</v>
      </c>
      <c r="AB40" s="735">
        <f t="shared" si="33"/>
        <v>0.27977878625233515</v>
      </c>
      <c r="AC40" s="727"/>
      <c r="AD40" s="737">
        <f>IF('DATOS GENERALES'!I94="","",'DATOS GENERALES'!I94)</f>
        <v>54.6</v>
      </c>
      <c r="AG40" s="734">
        <f t="shared" si="34"/>
        <v>54.398883013787014</v>
      </c>
      <c r="AH40" s="734">
        <f t="shared" si="35"/>
        <v>-0.20111698621298757</v>
      </c>
      <c r="AI40" s="735">
        <f t="shared" si="36"/>
        <v>0.75973781773470483</v>
      </c>
      <c r="AJ40" s="725"/>
      <c r="AK40" s="737">
        <f>IF('DATOS GENERALES'!K94="","",'DATOS GENERALES'!K94)</f>
        <v>910</v>
      </c>
      <c r="AN40" s="734">
        <f t="shared" si="37"/>
        <v>910.34412607728154</v>
      </c>
      <c r="AO40" s="734">
        <f t="shared" si="38"/>
        <v>0.34412607728154399</v>
      </c>
      <c r="AP40" s="735">
        <f t="shared" si="39"/>
        <v>0.44000000659045196</v>
      </c>
      <c r="AQ40" s="725"/>
      <c r="AR40" s="737">
        <f>IF('DATOS GENERALES'!A94="","",'DATOS GENERALES'!A94)</f>
        <v>29.29824</v>
      </c>
      <c r="AU40" s="734">
        <f t="shared" si="40"/>
        <v>29.298242516241114</v>
      </c>
      <c r="AV40" s="734">
        <f t="shared" si="41"/>
        <v>2.5162411141366192E-6</v>
      </c>
      <c r="AW40" s="735">
        <f t="shared" si="42"/>
        <v>8.4960392208024982E-5</v>
      </c>
      <c r="AX40" s="725"/>
      <c r="AY40" s="737">
        <f>IF('DATOS GENERALES'!C94="","",'DATOS GENERALES'!C94)</f>
        <v>29.800750000000001</v>
      </c>
      <c r="BB40" s="734">
        <f t="shared" si="43"/>
        <v>29.800752877876008</v>
      </c>
      <c r="BC40" s="734">
        <f t="shared" si="44"/>
        <v>2.8778760068348674E-6</v>
      </c>
      <c r="BD40" s="735">
        <f t="shared" si="45"/>
        <v>8.5660471874512978E-5</v>
      </c>
      <c r="BF40" s="751" t="s">
        <v>624</v>
      </c>
      <c r="BG40" s="1035">
        <v>-5.9208292434850591</v>
      </c>
      <c r="BH40" s="1035">
        <v>-0.1517265662842654</v>
      </c>
      <c r="BI40" s="752">
        <v>1</v>
      </c>
      <c r="BM40" s="863">
        <v>-2.1502877038914433E-7</v>
      </c>
      <c r="BN40" s="863">
        <v>2.8368718392718965E-9</v>
      </c>
      <c r="BP40">
        <v>7.1476063729920651E-8</v>
      </c>
      <c r="BQ40">
        <v>5.8883600210799118E-10</v>
      </c>
      <c r="BS40">
        <v>3.8114653741635161E-9</v>
      </c>
      <c r="BT40">
        <v>9.2045376343014611E-10</v>
      </c>
    </row>
    <row r="41" spans="1:72" x14ac:dyDescent="0.2">
      <c r="A41" s="105">
        <f>'DATOS GENERALES'!A95:B95+AV41</f>
        <v>29.800752877876008</v>
      </c>
      <c r="B41" s="106"/>
      <c r="C41" s="105">
        <f>'DATOS GENERALES'!C95:D95+BC41</f>
        <v>30.303133250699791</v>
      </c>
      <c r="D41" s="106"/>
      <c r="E41" s="107">
        <f>'DATOS GENERALES'!E95:F95+T41</f>
        <v>20.514245623133629</v>
      </c>
      <c r="F41" s="108"/>
      <c r="G41" s="109">
        <f>'DATOS GENERALES'!G95:H95+AA41</f>
        <v>20.884773133008597</v>
      </c>
      <c r="H41" s="110"/>
      <c r="I41" s="111">
        <f>'DATOS GENERALES'!I95:J95+AH41</f>
        <v>55.257712631636863</v>
      </c>
      <c r="J41" s="112"/>
      <c r="K41" s="802">
        <f>'DATOS GENERALES'!K95:L95+AO41</f>
        <v>910.34412607728154</v>
      </c>
      <c r="L41" s="112"/>
      <c r="N41" s="599"/>
      <c r="O41" s="743" t="s">
        <v>621</v>
      </c>
      <c r="P41" s="732">
        <f>IF('DATOS GENERALES'!E95="","",'DATOS GENERALES'!E95)</f>
        <v>20.67</v>
      </c>
      <c r="S41" s="734">
        <f t="shared" si="28"/>
        <v>20.514245623133629</v>
      </c>
      <c r="T41" s="734">
        <f t="shared" si="29"/>
        <v>-0.15575437686637272</v>
      </c>
      <c r="U41" s="735">
        <f t="shared" si="30"/>
        <v>5.3999999999999999E-2</v>
      </c>
      <c r="V41" s="725"/>
      <c r="W41" s="737">
        <f>IF('DATOS GENERALES'!G95="","",'DATOS GENERALES'!G95)</f>
        <v>20.7</v>
      </c>
      <c r="Z41" s="734">
        <f t="shared" si="31"/>
        <v>20.884773133008597</v>
      </c>
      <c r="AA41" s="734">
        <f t="shared" si="32"/>
        <v>0.18477313300859777</v>
      </c>
      <c r="AB41" s="735">
        <f t="shared" si="33"/>
        <v>0.27977878625233515</v>
      </c>
      <c r="AC41" s="727"/>
      <c r="AD41" s="737">
        <f>IF('DATOS GENERALES'!I95="","",'DATOS GENERALES'!I95)</f>
        <v>55.4</v>
      </c>
      <c r="AG41" s="734">
        <f t="shared" si="34"/>
        <v>55.257712631636863</v>
      </c>
      <c r="AH41" s="734">
        <f t="shared" si="35"/>
        <v>-0.14228736836313516</v>
      </c>
      <c r="AI41" s="735">
        <f t="shared" si="36"/>
        <v>0.76306000623592829</v>
      </c>
      <c r="AJ41" s="725"/>
      <c r="AK41" s="737">
        <f>IF('DATOS GENERALES'!K95="","",'DATOS GENERALES'!K95)</f>
        <v>910</v>
      </c>
      <c r="AN41" s="734">
        <f t="shared" si="37"/>
        <v>910.34412607728154</v>
      </c>
      <c r="AO41" s="734">
        <f t="shared" si="38"/>
        <v>0.34412607728154399</v>
      </c>
      <c r="AP41" s="735">
        <f t="shared" si="39"/>
        <v>0.44000000659045196</v>
      </c>
      <c r="AQ41" s="725"/>
      <c r="AR41" s="737">
        <f>IF('DATOS GENERALES'!A95="","",'DATOS GENERALES'!A95)</f>
        <v>29.800750000000001</v>
      </c>
      <c r="AU41" s="734">
        <f t="shared" si="40"/>
        <v>29.800752877876008</v>
      </c>
      <c r="AV41" s="734">
        <f t="shared" si="41"/>
        <v>2.8778760068348674E-6</v>
      </c>
      <c r="AW41" s="735">
        <f t="shared" si="42"/>
        <v>8.5660471874512978E-5</v>
      </c>
      <c r="AX41" s="725"/>
      <c r="AY41" s="737">
        <f>IF('DATOS GENERALES'!C95="","",'DATOS GENERALES'!C95)</f>
        <v>30.303129999999999</v>
      </c>
      <c r="BB41" s="734">
        <f t="shared" si="43"/>
        <v>30.303133250699791</v>
      </c>
      <c r="BC41" s="734">
        <f t="shared" si="44"/>
        <v>3.2506997911241342E-6</v>
      </c>
      <c r="BD41" s="735">
        <f t="shared" si="45"/>
        <v>8.6598739079207787E-5</v>
      </c>
      <c r="BF41" s="1036"/>
      <c r="BG41" s="1035">
        <v>1.5488048369318221</v>
      </c>
      <c r="BH41" s="1035">
        <v>1.5760300151934602E-2</v>
      </c>
      <c r="BI41" s="752">
        <v>2</v>
      </c>
      <c r="BM41" s="863">
        <v>1.019865954433792E-9</v>
      </c>
      <c r="BN41" s="863">
        <v>-1.4074916493592702E-11</v>
      </c>
      <c r="BP41">
        <v>-3.3311259183554196E-10</v>
      </c>
      <c r="BQ41">
        <v>-1.7575075838829824E-12</v>
      </c>
      <c r="BS41">
        <v>-2.7510592474189839E-11</v>
      </c>
      <c r="BT41">
        <v>-5.3265704827361423E-12</v>
      </c>
    </row>
    <row r="42" spans="1:72" x14ac:dyDescent="0.2">
      <c r="N42" s="599"/>
      <c r="O42" s="731" t="s">
        <v>622</v>
      </c>
      <c r="P42" s="732"/>
      <c r="S42" s="734" t="str">
        <f t="shared" si="28"/>
        <v/>
      </c>
      <c r="T42" s="734" t="str">
        <f t="shared" si="29"/>
        <v/>
      </c>
      <c r="U42" s="735" t="str">
        <f t="shared" si="30"/>
        <v/>
      </c>
      <c r="V42" s="725"/>
      <c r="W42" s="769"/>
      <c r="Z42" s="734" t="str">
        <f t="shared" si="31"/>
        <v/>
      </c>
      <c r="AA42" s="734" t="str">
        <f t="shared" si="32"/>
        <v/>
      </c>
      <c r="AB42" s="735" t="str">
        <f t="shared" si="33"/>
        <v/>
      </c>
      <c r="AC42" s="727"/>
      <c r="AD42" s="769"/>
      <c r="AG42" s="734" t="str">
        <f t="shared" si="34"/>
        <v/>
      </c>
      <c r="AH42" s="734" t="str">
        <f t="shared" si="35"/>
        <v/>
      </c>
      <c r="AI42" s="735" t="str">
        <f t="shared" si="36"/>
        <v/>
      </c>
      <c r="AJ42" s="725"/>
      <c r="AK42" s="769"/>
      <c r="AN42" s="734" t="str">
        <f t="shared" si="37"/>
        <v/>
      </c>
      <c r="AO42" s="734" t="str">
        <f t="shared" si="38"/>
        <v/>
      </c>
      <c r="AP42" s="735" t="str">
        <f t="shared" si="39"/>
        <v/>
      </c>
      <c r="AQ42" s="725"/>
      <c r="AR42" s="769"/>
      <c r="AU42" s="734" t="str">
        <f t="shared" si="40"/>
        <v/>
      </c>
      <c r="AV42" s="734" t="str">
        <f t="shared" si="41"/>
        <v/>
      </c>
      <c r="AW42" s="735" t="str">
        <f t="shared" si="42"/>
        <v/>
      </c>
      <c r="AX42" s="725"/>
      <c r="AY42" s="769"/>
      <c r="BB42" s="734" t="str">
        <f t="shared" si="43"/>
        <v/>
      </c>
      <c r="BC42" s="734" t="str">
        <f t="shared" si="44"/>
        <v/>
      </c>
      <c r="BD42" s="735" t="str">
        <f t="shared" si="45"/>
        <v/>
      </c>
      <c r="BF42" s="1036"/>
      <c r="BG42" s="1035">
        <v>-2.2222816431764159E-2</v>
      </c>
      <c r="BH42" s="1035">
        <v>-7.0765008892341788E-4</v>
      </c>
      <c r="BI42" s="752">
        <v>3</v>
      </c>
      <c r="BM42" s="863">
        <v>-2.8909577841170526E-12</v>
      </c>
      <c r="BN42" s="863">
        <v>4.1802509526222723E-14</v>
      </c>
      <c r="BP42">
        <v>9.2857970542216356E-13</v>
      </c>
      <c r="BQ42">
        <v>1.7902000824965347E-15</v>
      </c>
      <c r="BS42">
        <v>9.8023971965273749E-14</v>
      </c>
      <c r="BT42">
        <v>1.8089661793228367E-14</v>
      </c>
    </row>
    <row r="43" spans="1:72" x14ac:dyDescent="0.2">
      <c r="N43" s="599"/>
      <c r="O43" s="743" t="s">
        <v>623</v>
      </c>
      <c r="P43" s="744"/>
      <c r="S43" s="734" t="str">
        <f t="shared" si="28"/>
        <v/>
      </c>
      <c r="T43" s="734" t="str">
        <f t="shared" si="29"/>
        <v/>
      </c>
      <c r="U43" s="735" t="str">
        <f t="shared" si="30"/>
        <v/>
      </c>
      <c r="V43" s="725"/>
      <c r="W43" s="769"/>
      <c r="Z43" s="734" t="str">
        <f t="shared" si="31"/>
        <v/>
      </c>
      <c r="AA43" s="734" t="str">
        <f t="shared" si="32"/>
        <v/>
      </c>
      <c r="AB43" s="735" t="str">
        <f t="shared" si="33"/>
        <v/>
      </c>
      <c r="AC43" s="727"/>
      <c r="AD43" s="769"/>
      <c r="AG43" s="734" t="str">
        <f t="shared" si="34"/>
        <v/>
      </c>
      <c r="AH43" s="734" t="str">
        <f t="shared" si="35"/>
        <v/>
      </c>
      <c r="AI43" s="735" t="str">
        <f t="shared" si="36"/>
        <v/>
      </c>
      <c r="AJ43" s="725"/>
      <c r="AK43" s="769"/>
      <c r="AN43" s="734" t="str">
        <f t="shared" si="37"/>
        <v/>
      </c>
      <c r="AO43" s="734" t="str">
        <f t="shared" si="38"/>
        <v/>
      </c>
      <c r="AP43" s="735" t="str">
        <f t="shared" si="39"/>
        <v/>
      </c>
      <c r="AQ43" s="725"/>
      <c r="AR43" s="769"/>
      <c r="AU43" s="734" t="str">
        <f t="shared" si="40"/>
        <v/>
      </c>
      <c r="AV43" s="734" t="str">
        <f t="shared" si="41"/>
        <v/>
      </c>
      <c r="AW43" s="735" t="str">
        <f t="shared" si="42"/>
        <v/>
      </c>
      <c r="AX43" s="725"/>
      <c r="AY43" s="769"/>
      <c r="BB43" s="734" t="str">
        <f t="shared" si="43"/>
        <v/>
      </c>
      <c r="BC43" s="734" t="str">
        <f t="shared" si="44"/>
        <v/>
      </c>
      <c r="BD43" s="735" t="str">
        <f t="shared" si="45"/>
        <v/>
      </c>
      <c r="BF43" s="1036"/>
      <c r="BG43" s="1035">
        <v>5.1833907756959618E-4</v>
      </c>
      <c r="BH43" s="1035">
        <v>1.8099034753779303E-5</v>
      </c>
      <c r="BI43" s="752">
        <v>4</v>
      </c>
      <c r="BM43" s="863">
        <v>5.1356616464752567E-15</v>
      </c>
      <c r="BN43" s="863">
        <v>-7.7791537348195931E-17</v>
      </c>
      <c r="BP43">
        <v>-1.625129730877232E-15</v>
      </c>
      <c r="BQ43">
        <v>2.6509665202991762E-18</v>
      </c>
      <c r="BS43">
        <v>-2.0215568740022695E-16</v>
      </c>
      <c r="BT43">
        <v>-3.7495830813205601E-17</v>
      </c>
    </row>
    <row r="44" spans="1:72" x14ac:dyDescent="0.2">
      <c r="N44" s="599"/>
      <c r="O44" s="731" t="s">
        <v>625</v>
      </c>
      <c r="P44" s="745">
        <f>AVERAGE(P32:P43)</f>
        <v>20.715000000000003</v>
      </c>
      <c r="S44" s="734">
        <f t="shared" si="28"/>
        <v>20.55926312316063</v>
      </c>
      <c r="T44" s="734">
        <f t="shared" si="29"/>
        <v>-0.15573687683937365</v>
      </c>
      <c r="U44" s="735">
        <f t="shared" si="30"/>
        <v>5.3999999999999999E-2</v>
      </c>
      <c r="V44" s="725"/>
      <c r="W44" s="747">
        <f>AVERAGE(W32:W43)</f>
        <v>20.699999999999996</v>
      </c>
      <c r="Z44" s="734">
        <f t="shared" si="31"/>
        <v>20.884773133008594</v>
      </c>
      <c r="AA44" s="734">
        <f t="shared" si="32"/>
        <v>0.18477313300859777</v>
      </c>
      <c r="AB44" s="735">
        <f t="shared" si="33"/>
        <v>0.27977878625233499</v>
      </c>
      <c r="AC44" s="727"/>
      <c r="AD44" s="747">
        <f>AVERAGE(AD32:AD43)</f>
        <v>55.39</v>
      </c>
      <c r="AG44" s="734">
        <f t="shared" si="34"/>
        <v>55.246987046846066</v>
      </c>
      <c r="AH44" s="734">
        <f t="shared" si="35"/>
        <v>-0.14301295315393503</v>
      </c>
      <c r="AI44" s="735">
        <f t="shared" si="36"/>
        <v>0.76301871042532787</v>
      </c>
      <c r="AJ44" s="725"/>
      <c r="AK44" s="747">
        <f>AVERAGE(AK32:AK43)</f>
        <v>910</v>
      </c>
      <c r="AN44" s="734">
        <f t="shared" si="37"/>
        <v>910.34412607728154</v>
      </c>
      <c r="AO44" s="734">
        <f t="shared" si="38"/>
        <v>0.34412607728154399</v>
      </c>
      <c r="AP44" s="735">
        <f t="shared" si="39"/>
        <v>0.44000000659045196</v>
      </c>
      <c r="AQ44" s="725"/>
      <c r="AR44" s="861">
        <f>AVERAGE(AY32-AR32,AY33-AR33,AY34-AR34,AY35-AR35,AY36-AR36,AY37-AR37,AY38-AR38,AY39-AR39,AY40-AR40,AY41-AR41)</f>
        <v>0.50208300000000006</v>
      </c>
      <c r="AU44" s="734">
        <f>IF(AR44="","",IF(AR44&lt;50,$BG$27+$BG$28*AR44+$BG$29*AR44^2+$BG$30*AR44^3+$BG$31*AR44^4+$BG$32*AR44^5+$BG$33*AR44^6+$BG$34*AR44^7+$BG$35*AR44^8+$BG$36*AR44^9+$BG$37*AR44^10+$BG$38*AR44^11,$BG$40+$BG$41*AR44+$BG$42*AR44^2+$BG$43*AR44^3+$BG$44*AR44^4+$BG$45*AR44^5+$BG$46*AR44^6+$BG$47*AR44^7+$BG$48*AR44^8+$BG$49*AR44^9+$BG$50*AR44^10+$BG$51*AR44^11))</f>
        <v>0.50212937734763741</v>
      </c>
      <c r="AV44" s="734">
        <f t="shared" si="41"/>
        <v>4.6377347637349686E-5</v>
      </c>
      <c r="AW44" s="735">
        <f>IF(AR44="","",IF(AR44&lt;50,$BH$27+$BH$28*AR44+$BH$29*AR44^2+$BH$30*AR44^3+$BH$31*AR44^4+$BH$32*AR44^5+$BH$33*AR44^6+$BH$34*AR44^7+$BH$35*AR44^8+$BH$36*AR44^9+$BH$37*AR44^10+$BH$38*AR44^11,$BH$40+$BH$41*AR44+$BH$42*AR44^2+$BH$43*AR44^3+$BH$44*AR44^4+$BH$45*AR44^5+$BH$46*AR44^6+$BH$47*AR44^7+$BH$48*AR44^8+$BH$49*AR44^9+$BH$50*AR44^10+$BH$51*AR44^11))</f>
        <v>1.3266688443741762E-4</v>
      </c>
      <c r="AX44" s="725"/>
      <c r="AY44" s="861">
        <f>AVERAGE(BB32-AU32,BB33-AU33,BB34-AU34,BB35-AU35,BB36-AU36,BB37-AU37,BB38-AU38,BB39-AU39,BB40-AU40,BB41-AU41)</f>
        <v>0.50208365414273715</v>
      </c>
      <c r="BB44" s="734">
        <f>AVERAGE(BB32-AU32,BB33-AU33,BB34-AU34,BB35-AU35,BB36-AU36,BB37-AU37,BB38-AU38,BB39-AU39,BB40-AU40,BB41-AU41)</f>
        <v>0.50208365414273715</v>
      </c>
      <c r="BC44" s="734">
        <f>IF(AY44="","",BB44-AY44)</f>
        <v>0</v>
      </c>
      <c r="BD44" s="735">
        <f>IF(AY44="","",IF(AR44&lt;50,$BH$27+$BH$28*AR44+$BH$29*AR44^2+$BH$30*AR44^3+$BH$31*AR44^4+$BH$32*AR44^5+$BH$33*AR44^6+$BH$34*AR44^7+$BH$35*AR44^8+$BH$36*AR44^9+$BH$37*AR44^10+$BH$38*AR44^11,$BH$40+$BH$41*AR44+$BH$42*AR44^2+$BH$43*AR44^3+$BH$44*AR44^4+$BH$45*AR44^5+$BH$46*AR44^6+$BH$47*AR44^7+$BH$48*AR44^8+$BH$49*AR44^9+$BH$50*AR44^10+$BH$51*AR44^11))</f>
        <v>1.3266688443741762E-4</v>
      </c>
      <c r="BF44" s="1036"/>
      <c r="BG44" s="1035">
        <v>-7.7222090256526266E-6</v>
      </c>
      <c r="BH44" s="1035">
        <v>-2.9226320832610391E-7</v>
      </c>
      <c r="BI44" s="752">
        <v>5</v>
      </c>
      <c r="BM44" s="863">
        <v>-5.7666996952787066E-18</v>
      </c>
      <c r="BN44" s="863">
        <v>9.1342546540490864E-20</v>
      </c>
      <c r="BP44">
        <v>1.8004689376481816E-18</v>
      </c>
      <c r="BQ44">
        <v>-9.452035690050259E-21</v>
      </c>
      <c r="BS44">
        <v>2.5258676631427641E-19</v>
      </c>
      <c r="BT44">
        <v>4.7905032876379161E-20</v>
      </c>
    </row>
    <row r="45" spans="1:72" x14ac:dyDescent="0.2">
      <c r="N45" s="599"/>
      <c r="O45" s="731" t="s">
        <v>626</v>
      </c>
      <c r="P45" s="745">
        <f>MIN(P32:P43)</f>
        <v>20.67</v>
      </c>
      <c r="S45" s="734">
        <f t="shared" si="28"/>
        <v>20.514245623133629</v>
      </c>
      <c r="T45" s="734">
        <f t="shared" si="29"/>
        <v>-0.15575437686637272</v>
      </c>
      <c r="U45" s="735">
        <f t="shared" si="30"/>
        <v>5.3999999999999999E-2</v>
      </c>
      <c r="V45" s="725"/>
      <c r="W45" s="747">
        <f>MIN(W32:W43)</f>
        <v>20.7</v>
      </c>
      <c r="Z45" s="734">
        <f t="shared" si="31"/>
        <v>20.884773133008597</v>
      </c>
      <c r="AA45" s="734">
        <f t="shared" si="32"/>
        <v>0.18477313300859777</v>
      </c>
      <c r="AB45" s="735">
        <f t="shared" si="33"/>
        <v>0.27977878625233515</v>
      </c>
      <c r="AC45" s="727"/>
      <c r="AD45" s="747">
        <f>MIN(AD32:AD43)</f>
        <v>54.6</v>
      </c>
      <c r="AG45" s="734">
        <f t="shared" si="34"/>
        <v>54.398883013787014</v>
      </c>
      <c r="AH45" s="734">
        <f t="shared" si="35"/>
        <v>-0.20111698621298757</v>
      </c>
      <c r="AI45" s="735">
        <f t="shared" si="36"/>
        <v>0.75973781773470483</v>
      </c>
      <c r="AJ45" s="725"/>
      <c r="AK45" s="747">
        <f>MIN(AK32:AK43)</f>
        <v>910</v>
      </c>
      <c r="AN45" s="734">
        <f t="shared" si="37"/>
        <v>910.34412607728154</v>
      </c>
      <c r="AO45" s="734">
        <f t="shared" si="38"/>
        <v>0.34412607728154399</v>
      </c>
      <c r="AP45" s="735">
        <f t="shared" si="39"/>
        <v>0.44000000659045196</v>
      </c>
      <c r="AQ45" s="725"/>
      <c r="AR45" s="861">
        <f>MIN(AY32-AR32,AY33-AR33,AY34-AR34,AY35-AR35,AY36-AR36,AY37-AR37,AY38-AR38,AY39-AR39,AY40-AR40,AY41-AR41)</f>
        <v>0.50166000000000111</v>
      </c>
      <c r="AU45" s="734">
        <f t="shared" ref="AU45:AU46" si="46">IF(AR45="","",IF(AR45&lt;50,$BG$27+$BG$28*AR45+$BG$29*AR45^2+$BG$30*AR45^3+$BG$31*AR45^4+$BG$32*AR45^5+$BG$33*AR45^6+$BG$34*AR45^7+$BG$35*AR45^8+$BG$36*AR45^9+$BG$37*AR45^10+$BG$38*AR45^11,$BG$40+$BG$41*AR45+$BG$42*AR45^2+$BG$43*AR45^3+$BG$44*AR45^4+$BG$45*AR45^5+$BG$46*AR45^6+$BG$47*AR45^7+$BG$48*AR45^8+$BG$49*AR45^9+$BG$50*AR45^10+$BG$51*AR45^11))</f>
        <v>0.50170634835844119</v>
      </c>
      <c r="AV45" s="734">
        <f t="shared" si="41"/>
        <v>4.634835844008478E-5</v>
      </c>
      <c r="AW45" s="735">
        <f t="shared" ref="AW45:AW46" si="47">IF(AR45="","",IF(AR45&lt;50,$BH$27+$BH$28*AR45+$BH$29*AR45^2+$BH$30*AR45^3+$BH$31*AR45^4+$BH$32*AR45^5+$BH$33*AR45^6+$BH$34*AR45^7+$BH$35*AR45^8+$BH$36*AR45^9+$BH$37*AR45^10+$BH$38*AR45^11,$BH$40+$BH$41*AR45+$BH$42*AR45^2+$BH$43*AR45^3+$BH$44*AR45^4+$BH$45*AR45^5+$BH$46*AR45^6+$BH$47*AR45^7+$BH$48*AR45^8+$BH$49*AR45^9+$BH$50*AR45^10+$BH$51*AR45^11))</f>
        <v>1.3259667422349454E-4</v>
      </c>
      <c r="AX45" s="725"/>
      <c r="AY45" s="861">
        <f>MIN(BB32-AU32,BB33-AU33,BB34-AU34,BB35-AU35,BB36-AU36,BB37-AU37,BB38-AU38,BB39-AU39,BB40-AU40,BB41-AU41)</f>
        <v>0.50166038307158445</v>
      </c>
      <c r="BB45" s="734">
        <f>MIN(BB32-AU32,BB33-AU33,BB34-AU34,BB35-AU35,BB36-AU36,BB37-AU37,BB38-AU38,BB39-AU39,BB40-AU40,BB41-AU41)</f>
        <v>0.50166038307158445</v>
      </c>
      <c r="BC45" s="734">
        <f t="shared" ref="BC45:BC46" si="48">IF(AY45="","",BB45-AY45)</f>
        <v>0</v>
      </c>
      <c r="BD45" s="735">
        <f t="shared" ref="BD45:BD46" si="49">IF(AY45="","",IF(AR45&lt;50,$BH$27+$BH$28*AR45+$BH$29*AR45^2+$BH$30*AR45^3+$BH$31*AR45^4+$BH$32*AR45^5+$BH$33*AR45^6+$BH$34*AR45^7+$BH$35*AR45^8+$BH$36*AR45^9+$BH$37*AR45^10+$BH$38*AR45^11,$BH$40+$BH$41*AR45+$BH$42*AR45^2+$BH$43*AR45^3+$BH$44*AR45^4+$BH$45*AR45^5+$BH$46*AR45^6+$BH$47*AR45^7+$BH$48*AR45^8+$BH$49*AR45^9+$BH$50*AR45^10+$BH$51*AR45^11))</f>
        <v>1.3259667422349454E-4</v>
      </c>
      <c r="BF45" s="1036"/>
      <c r="BG45" s="1035">
        <v>7.6882947381011653E-8</v>
      </c>
      <c r="BH45" s="1035">
        <v>3.118855456131872E-9</v>
      </c>
      <c r="BI45" s="752">
        <v>6</v>
      </c>
      <c r="BM45" s="863">
        <v>3.9732020038910922E-21</v>
      </c>
      <c r="BN45" s="863">
        <v>-6.5622591813130343E-23</v>
      </c>
      <c r="BP45">
        <v>-1.2252321500129282E-21</v>
      </c>
      <c r="BQ45">
        <v>1.0794481311602609E-23</v>
      </c>
      <c r="BS45">
        <v>-1.8871873865480516E-22</v>
      </c>
      <c r="BT45">
        <v>-3.6757203768418594E-23</v>
      </c>
    </row>
    <row r="46" spans="1:72" x14ac:dyDescent="0.2">
      <c r="N46" s="599"/>
      <c r="O46" s="731" t="s">
        <v>627</v>
      </c>
      <c r="P46" s="745">
        <f>MAX(P32:P43)</f>
        <v>20.75</v>
      </c>
      <c r="S46" s="734">
        <f t="shared" si="28"/>
        <v>20.594276146124148</v>
      </c>
      <c r="T46" s="734">
        <f t="shared" si="29"/>
        <v>-0.15572385387585186</v>
      </c>
      <c r="U46" s="735">
        <f t="shared" si="30"/>
        <v>5.3999999999999999E-2</v>
      </c>
      <c r="V46" s="725"/>
      <c r="W46" s="747">
        <f>MAX(W32:W43)</f>
        <v>20.7</v>
      </c>
      <c r="Z46" s="734">
        <f t="shared" si="31"/>
        <v>20.884773133008597</v>
      </c>
      <c r="AA46" s="734">
        <f t="shared" si="32"/>
        <v>0.18477313300859777</v>
      </c>
      <c r="AB46" s="735">
        <f t="shared" si="33"/>
        <v>0.27977878625233515</v>
      </c>
      <c r="AC46" s="727"/>
      <c r="AD46" s="747">
        <f>MAX(AD32:AD43)</f>
        <v>55.9</v>
      </c>
      <c r="AG46" s="734">
        <f t="shared" si="34"/>
        <v>55.793676012286291</v>
      </c>
      <c r="AH46" s="734">
        <f t="shared" si="35"/>
        <v>-0.10632398771370788</v>
      </c>
      <c r="AI46" s="735">
        <f t="shared" si="36"/>
        <v>0.76511732282360301</v>
      </c>
      <c r="AJ46" s="725"/>
      <c r="AK46" s="747">
        <f>MAX(AK32:AK43)</f>
        <v>910</v>
      </c>
      <c r="AN46" s="734">
        <f t="shared" si="37"/>
        <v>910.34412607728154</v>
      </c>
      <c r="AO46" s="734">
        <f t="shared" si="38"/>
        <v>0.34412607728154399</v>
      </c>
      <c r="AP46" s="735">
        <f t="shared" si="39"/>
        <v>0.44000000659045196</v>
      </c>
      <c r="AQ46" s="725"/>
      <c r="AR46" s="861">
        <f>MAX(AY32-AR32,AY33-AR33,AY34-AR34,AY35-AR35,AY36-AR36,AY37-AR37,AY38-AR38,AY39-AR39,AY40-AR40,AY41-AR41)</f>
        <v>0.5025100000000009</v>
      </c>
      <c r="AU46" s="734">
        <f t="shared" si="46"/>
        <v>0.50255640659278034</v>
      </c>
      <c r="AV46" s="734">
        <f t="shared" si="41"/>
        <v>4.6406592779435485E-5</v>
      </c>
      <c r="AW46" s="735">
        <f t="shared" si="47"/>
        <v>1.3273771715334941E-4</v>
      </c>
      <c r="AX46" s="725"/>
      <c r="AY46" s="861">
        <f>MAX(BB32-AU32,BB33-AU33,BB34-AU34,BB35-AU35,BB36-AU36,BB37-AU37,BB38-AU38,BB39-AU39,BB40-AU40,BB41-AU41)</f>
        <v>0.5025103616348936</v>
      </c>
      <c r="BB46" s="734">
        <f>MAX(BB32-AU32,BB33-AU33,BB34-AU34,BB35-AU35,BB36-AU36,BB37-AU37,BB38-AU38,BB39-AU39,BB40-AU40,BB41-AU41)</f>
        <v>0.5025103616348936</v>
      </c>
      <c r="BC46" s="734">
        <f t="shared" si="48"/>
        <v>0</v>
      </c>
      <c r="BD46" s="735">
        <f t="shared" si="49"/>
        <v>1.3273771715334941E-4</v>
      </c>
      <c r="BF46" s="1036"/>
      <c r="BG46" s="1035">
        <v>-5.1873348643907428E-10</v>
      </c>
      <c r="BH46" s="1035">
        <v>-2.2322871290002731E-11</v>
      </c>
      <c r="BI46" s="752">
        <v>7</v>
      </c>
      <c r="BM46" s="863">
        <v>-1.5323629318822946E-24</v>
      </c>
      <c r="BN46" s="863">
        <v>2.6298830023270956E-26</v>
      </c>
      <c r="BP46">
        <v>4.6706238938820674E-25</v>
      </c>
      <c r="BQ46">
        <v>-5.7137251638665449E-27</v>
      </c>
      <c r="BS46">
        <v>7.7587428587900299E-26</v>
      </c>
      <c r="BT46">
        <v>1.5511556271887025E-26</v>
      </c>
    </row>
    <row r="47" spans="1:72" x14ac:dyDescent="0.2">
      <c r="N47" s="599"/>
      <c r="O47" s="720"/>
      <c r="P47" s="770"/>
      <c r="U47" s="123"/>
      <c r="V47" s="725"/>
      <c r="W47" s="771"/>
      <c r="AB47" s="123"/>
      <c r="AC47" s="727"/>
      <c r="AD47" s="771"/>
      <c r="AI47" s="123"/>
      <c r="AJ47" s="725"/>
      <c r="AK47" s="771"/>
      <c r="AP47" s="123"/>
      <c r="AQ47" s="725"/>
      <c r="AR47" s="771"/>
      <c r="AW47" s="123"/>
      <c r="AX47" s="725"/>
      <c r="AY47" s="771"/>
      <c r="BD47" s="123"/>
      <c r="BF47" s="1036"/>
      <c r="BG47" s="1035">
        <v>2.3450193342464156E-12</v>
      </c>
      <c r="BH47" s="1035">
        <v>1.060614966586615E-13</v>
      </c>
      <c r="BI47" s="752">
        <v>8</v>
      </c>
      <c r="BM47" s="863">
        <v>2.5316703384011821E-28</v>
      </c>
      <c r="BN47" s="863">
        <v>-4.4982936611565718E-30</v>
      </c>
      <c r="BP47">
        <v>-7.6313250755462868E-29</v>
      </c>
      <c r="BQ47">
        <v>1.1807861606061328E-30</v>
      </c>
      <c r="BS47">
        <v>-1.3499822255901131E-29</v>
      </c>
      <c r="BT47">
        <v>-2.7642632241998564E-30</v>
      </c>
    </row>
    <row r="48" spans="1:72" ht="36" x14ac:dyDescent="0.2">
      <c r="N48" s="599"/>
      <c r="O48" s="720"/>
      <c r="P48" s="757" t="s">
        <v>75</v>
      </c>
      <c r="Q48" s="758"/>
      <c r="R48" s="759"/>
      <c r="S48" s="759"/>
      <c r="T48" s="759"/>
      <c r="U48" s="760"/>
      <c r="V48" s="761"/>
      <c r="W48" s="762" t="s">
        <v>172</v>
      </c>
      <c r="X48" s="758"/>
      <c r="Y48" s="759"/>
      <c r="Z48" s="759"/>
      <c r="AA48" s="759"/>
      <c r="AB48" s="760"/>
      <c r="AC48" s="763"/>
      <c r="AD48" s="762" t="s">
        <v>174</v>
      </c>
      <c r="AE48" s="758"/>
      <c r="AF48" s="759"/>
      <c r="AG48" s="759"/>
      <c r="AH48" s="759"/>
      <c r="AI48" s="760"/>
      <c r="AJ48" s="761"/>
      <c r="AK48" s="762" t="s">
        <v>173</v>
      </c>
      <c r="AL48" s="758"/>
      <c r="AM48" s="759"/>
      <c r="AN48" s="759"/>
      <c r="AO48" s="759"/>
      <c r="AP48" s="760"/>
      <c r="AQ48" s="761"/>
      <c r="AR48" s="762" t="s">
        <v>603</v>
      </c>
      <c r="AS48" s="758"/>
      <c r="AT48" s="759"/>
      <c r="AU48" s="759"/>
      <c r="AV48" s="759"/>
      <c r="AW48" s="760"/>
      <c r="AX48" s="761"/>
      <c r="AY48" s="762" t="s">
        <v>604</v>
      </c>
      <c r="AZ48" s="758"/>
      <c r="BA48" s="759"/>
      <c r="BB48" s="759"/>
      <c r="BC48" s="759"/>
      <c r="BD48" s="760"/>
      <c r="BF48" s="1036"/>
      <c r="BG48" s="1035">
        <v>-6.8060782890225909E-15</v>
      </c>
      <c r="BH48" s="1035">
        <v>-3.2089250396454809E-16</v>
      </c>
      <c r="BI48" s="752">
        <v>9</v>
      </c>
    </row>
    <row r="49" spans="1:72" ht="12.75" customHeight="1" x14ac:dyDescent="0.25">
      <c r="A49" s="1633" t="s">
        <v>73</v>
      </c>
      <c r="B49" s="1634"/>
      <c r="C49" s="1633" t="s">
        <v>74</v>
      </c>
      <c r="D49" s="1634"/>
      <c r="E49" s="1626" t="s">
        <v>75</v>
      </c>
      <c r="F49" s="1627"/>
      <c r="G49" s="1626" t="s">
        <v>172</v>
      </c>
      <c r="H49" s="1627"/>
      <c r="I49" s="1626" t="s">
        <v>174</v>
      </c>
      <c r="J49" s="1627"/>
      <c r="K49" s="1628" t="s">
        <v>173</v>
      </c>
      <c r="L49" s="1629"/>
      <c r="M49" s="54"/>
      <c r="N49" s="599">
        <v>3</v>
      </c>
      <c r="O49" s="720"/>
      <c r="P49" s="765" t="s">
        <v>608</v>
      </c>
      <c r="Q49" s="766"/>
      <c r="R49" s="766"/>
      <c r="S49" s="767" t="s">
        <v>609</v>
      </c>
      <c r="T49" s="201" t="s">
        <v>610</v>
      </c>
      <c r="U49" s="768" t="s">
        <v>611</v>
      </c>
      <c r="V49" s="725"/>
      <c r="W49" s="90" t="s">
        <v>608</v>
      </c>
      <c r="X49" s="766"/>
      <c r="Y49" s="766"/>
      <c r="Z49" s="767" t="s">
        <v>609</v>
      </c>
      <c r="AA49" s="201" t="s">
        <v>610</v>
      </c>
      <c r="AB49" s="768" t="s">
        <v>611</v>
      </c>
      <c r="AC49" s="727"/>
      <c r="AD49" s="90" t="s">
        <v>608</v>
      </c>
      <c r="AE49" s="766"/>
      <c r="AF49" s="766"/>
      <c r="AG49" s="767" t="s">
        <v>609</v>
      </c>
      <c r="AH49" s="201" t="s">
        <v>610</v>
      </c>
      <c r="AI49" s="768" t="s">
        <v>611</v>
      </c>
      <c r="AJ49" s="725"/>
      <c r="AK49" s="90" t="s">
        <v>608</v>
      </c>
      <c r="AL49" s="749" t="s">
        <v>607</v>
      </c>
      <c r="AM49" s="749" t="s">
        <v>606</v>
      </c>
      <c r="AN49" s="767" t="s">
        <v>609</v>
      </c>
      <c r="AO49" s="201" t="s">
        <v>610</v>
      </c>
      <c r="AP49" s="768" t="s">
        <v>611</v>
      </c>
      <c r="AQ49" s="725"/>
      <c r="AR49" s="90" t="s">
        <v>608</v>
      </c>
      <c r="AS49" s="749" t="s">
        <v>607</v>
      </c>
      <c r="AT49" s="749" t="s">
        <v>606</v>
      </c>
      <c r="AU49" s="767" t="s">
        <v>609</v>
      </c>
      <c r="AV49" s="201" t="s">
        <v>610</v>
      </c>
      <c r="AW49" s="768" t="s">
        <v>611</v>
      </c>
      <c r="AX49" s="725"/>
      <c r="AY49" s="90" t="s">
        <v>608</v>
      </c>
      <c r="AZ49" s="749" t="s">
        <v>607</v>
      </c>
      <c r="BA49" s="749" t="s">
        <v>606</v>
      </c>
      <c r="BB49" s="767" t="s">
        <v>609</v>
      </c>
      <c r="BC49" s="201" t="s">
        <v>610</v>
      </c>
      <c r="BD49" s="768" t="s">
        <v>611</v>
      </c>
      <c r="BF49" s="1036"/>
      <c r="BG49" s="1035">
        <v>1.1465429850982007E-17</v>
      </c>
      <c r="BH49" s="1035">
        <v>5.5952113602926902E-19</v>
      </c>
      <c r="BI49" s="752">
        <v>10</v>
      </c>
      <c r="BL49" s="1" t="s">
        <v>441</v>
      </c>
      <c r="BM49" s="863">
        <v>-9.9995928846415866E-302</v>
      </c>
      <c r="BN49" s="863">
        <v>0.02</v>
      </c>
      <c r="BP49">
        <v>-1.0005573896566663E-301</v>
      </c>
      <c r="BQ49">
        <v>8.2000000000000007E-3</v>
      </c>
      <c r="BS49">
        <v>-1.5478063307794443E-4</v>
      </c>
      <c r="BT49">
        <v>8.4061816345591348E-3</v>
      </c>
    </row>
    <row r="50" spans="1:72" x14ac:dyDescent="0.2">
      <c r="A50" s="105">
        <f>'DATOS GENERALES'!A102:B102+AV50</f>
        <v>25.234386594004658</v>
      </c>
      <c r="B50" s="106"/>
      <c r="C50" s="105">
        <f>'DATOS GENERALES'!C102:D102+BC50</f>
        <v>26.235008787305869</v>
      </c>
      <c r="D50" s="106"/>
      <c r="E50" s="819">
        <f>'DATOS GENERALES'!E102:F102+T50</f>
        <v>20.524249585549587</v>
      </c>
      <c r="F50" s="108"/>
      <c r="G50" s="109">
        <f>'DATOS GENERALES'!G102:H102+AA50</f>
        <v>20.786416832831947</v>
      </c>
      <c r="H50" s="110"/>
      <c r="I50" s="111">
        <f>'DATOS GENERALES'!I102:J102+AH50</f>
        <v>54.29141783194715</v>
      </c>
      <c r="J50" s="112"/>
      <c r="K50" s="802">
        <f>'DATOS GENERALES'!K102:L102+AO50</f>
        <v>910.34412607728154</v>
      </c>
      <c r="L50" s="112"/>
      <c r="N50" s="599"/>
      <c r="O50" s="731" t="s">
        <v>612</v>
      </c>
      <c r="P50" s="732">
        <f>IF('DATOS GENERALES'!E102="","",'DATOS GENERALES'!E102)</f>
        <v>20.68</v>
      </c>
      <c r="S50" s="734">
        <f>IF(P50="","",$Q$14+$Q$15*P50+$Q$16*P50^2+$Q$17*P50^3+$Q$18*P50^4+$Q$19*P50^5+$Q$20*P50^6+$Q$21*P50^7+$Q$22*P50^8+$Q$23*P50^9+$Q$24*P50^10+$Q$25*P50^11)</f>
        <v>20.524249585549587</v>
      </c>
      <c r="T50" s="734">
        <f>IF(P50="","",S50-P50)</f>
        <v>-0.15575041445041293</v>
      </c>
      <c r="U50" s="735">
        <f>IF(P50="","",$R$14+$R$15*P50+$R$16*P50^2+$R$17*P50^3+$R$18*P50^4+$R$19*P50^5+$R$20*P50^6+$R$21*P50^7+$R$22*P50^8+$R$23*P50^9+$R$24*P50^10+$R$25*P50^11)</f>
        <v>5.3999999999999999E-2</v>
      </c>
      <c r="V50" s="725"/>
      <c r="W50" s="737">
        <f>IF('DATOS GENERALES'!G102="","",'DATOS GENERALES'!G102)</f>
        <v>20.6</v>
      </c>
      <c r="Z50" s="734">
        <f>IF(W50="","",$X$14+$X$15*W50+$X$16*W50^2+$X$17*W50^3+$X$18*W50^4+$X$19*W50^5+$X$20*W50^6+$X$21*W50^7+$X$22*W50^8+$X$23*W50^9+$X$24*W50^10+$X$25*W50^11)</f>
        <v>20.786416832831947</v>
      </c>
      <c r="AA50" s="734">
        <f>IF(W50="","",Z50-W50)</f>
        <v>0.1864168328319451</v>
      </c>
      <c r="AB50" s="735">
        <f>IF(W50="","",$Y$14+$Y$15*W50+$Y$16*W50^2+$Y$17*W50^3+$Y$18*W50^4+$Y$19*W50^5+$Y$20*W50^6+$Y$21*W50^7+$Y$22*W50^8+$Y$23*W50^9+$Y$24*W50^10+$Y$25*W50^11)</f>
        <v>0.27981562539672183</v>
      </c>
      <c r="AC50" s="727"/>
      <c r="AD50" s="737">
        <f>IF('DATOS GENERALES'!I102="","",'DATOS GENERALES'!I102)</f>
        <v>54.5</v>
      </c>
      <c r="AG50" s="734">
        <f>IF(AD50="","",$AE$14+$AE$15*AD50+$AE$16*AD50^2+$AE$17*AD50^3+$AE$18*AD50^4+$AE$19*AD50^5+$AE$20*AD50^6+$AE$21*AD50^7+$AE$22*AD50^8+$AE$23*AD50^9+$AE$24*AD50^10+$AE$25*AD50^11)</f>
        <v>54.29141783194715</v>
      </c>
      <c r="AH50" s="734">
        <f>IF(AD50="","",AG50-AD50)</f>
        <v>-0.20858216805284968</v>
      </c>
      <c r="AI50" s="735">
        <f>IF(AD50="","",$AF$14+$AF$15*AD50+$AF$16*AD50^2+$AF$17*AD50^3+$AF$18*AD50^4+$AF$19*AD50^5+$AF$20*AD50^6+$AF$21*AD50^7+$AF$22*AD50^8+$AF$23*AD50^9+$AF$24*AD50^10+$AF$25*AD50^11)</f>
        <v>0.75931990631004731</v>
      </c>
      <c r="AJ50" s="725"/>
      <c r="AK50" s="737">
        <f>IF('DATOS GENERALES'!K102="","",'DATOS GENERALES'!K102)</f>
        <v>910</v>
      </c>
      <c r="AN50" s="734">
        <f>IF(AK50="","",$AL$14+$AL$15*AK50+$AL$16*AK50^2+$AL$17*AK50^3+$AL$18*AK50^4+$AL$19*AK50^5+$AL$20*AK50^6+$AL$21*AK50^7+$AL$22*AK50^8+$AL$23*AK50^9+$AL$24*AK50^10+$AL$25*AK50^11)</f>
        <v>910.34412607728154</v>
      </c>
      <c r="AO50" s="734">
        <f>IF(AK50="","",AN50-AK50)</f>
        <v>0.34412607728154399</v>
      </c>
      <c r="AP50" s="735">
        <f>IF(AK50="","",$AM$14+$AM$15*AK50+$AM$16*AK50^2+$AM$17*AK50^3+$AM$18*AK50^4+$AM$19*AK50^5+$AM$20*AK50^6+$AM$21*AK50^7+$AM$22*AK50^8+$AM$23*AK50^9+$AM$24*AK50^10+$AM$25*AK50^11)</f>
        <v>0.44000000659045196</v>
      </c>
      <c r="AQ50" s="725"/>
      <c r="AR50" s="737">
        <f>IF('DATOS GENERALES'!A102="","",'DATOS GENERALES'!A102)</f>
        <v>25.234390000000001</v>
      </c>
      <c r="AU50" s="734">
        <f>IF(AR50="","",$AS$14+$AS$15*AR50+$AS$16*AR50^2+$AS$17*AR50^3+$AS$18*AR50^4+$AS$19*AR50^5+$AS$20*AR50^6+$AS$21*AR50^7+$AS$22*AR50^8+$AS$23*AR50^9+$AS$24*AR50^10+$AS$25*AR50^11)</f>
        <v>25.234386594004658</v>
      </c>
      <c r="AV50" s="734">
        <f>IF(AR50="","",AU50-AR50)</f>
        <v>-3.4059953435416901E-6</v>
      </c>
      <c r="AW50" s="735">
        <f>IF(AR50="","",$AT$14+$AT$15*AR50+$AT$16*AR50^2+$AT$17*AR50^3+$AT$18*AR50^4+$AT$19*AR50^5+$AT$20*AR50^6+$AT$21*AR50^7+$AT$22*AR50^8+$AT$23*AR50^9+$AT$24*AR50^10+$AT$25*AR50^11)</f>
        <v>7.7895746513415021E-5</v>
      </c>
      <c r="AX50" s="725"/>
      <c r="AY50" s="737">
        <f>IF('DATOS GENERALES'!C102="","",'DATOS GENERALES'!C102)</f>
        <v>26.235009999999999</v>
      </c>
      <c r="BB50" s="734">
        <f>IF(AY50="","",$AZ$14+$AZ$15*AY50+$AZ$16*AY50^2+$AZ$17*AY50^3+$AZ$18*AY50^4+$AZ$19*AY50^5+$AZ$20*AY50^6+$AZ$21*AY50^7+$AZ$22*AY50^8+$AZ$23*AY50^9+$AZ$24*AY50^10+$AZ$25*AY50^11)</f>
        <v>26.235008787305869</v>
      </c>
      <c r="BC50" s="734">
        <f>IF(AY50="","",BB50-AY50)</f>
        <v>-1.2126941300039107E-6</v>
      </c>
      <c r="BD50" s="735">
        <f>IF(AY50="","",$BA$14+$BA$15*AY50+$BA$16*AY50^2+$BA$17*AY50^3+$BA$18*AY50^4+$BA$19*AY50^5+$BA$20*AY50^6+$BA$21*AY50^7+$BA$22*AY50^8+$BA$23*AY50^9+$BA$24*AY50^10+$BA$25*AY50^11)</f>
        <v>8.092091032094878E-5</v>
      </c>
      <c r="BF50" s="1037"/>
      <c r="BG50" s="1035">
        <v>-8.5224019875517649E-21</v>
      </c>
      <c r="BH50" s="1035">
        <v>-4.2785514405374054E-22</v>
      </c>
      <c r="BI50" s="752">
        <v>11</v>
      </c>
      <c r="BL50" s="863"/>
      <c r="BM50" s="863">
        <v>0.99995928846415849</v>
      </c>
      <c r="BN50" s="863">
        <v>5.313133507227974E-5</v>
      </c>
      <c r="BP50">
        <v>1.0005573896566462</v>
      </c>
      <c r="BQ50">
        <v>-1.6123519564883055E-5</v>
      </c>
      <c r="BS50">
        <v>1.0000313901018245</v>
      </c>
      <c r="BT50">
        <v>-4.1936476658502531E-5</v>
      </c>
    </row>
    <row r="51" spans="1:72" x14ac:dyDescent="0.2">
      <c r="A51" s="105">
        <f>'DATOS GENERALES'!A103:B103+AV51</f>
        <v>26.235008787305869</v>
      </c>
      <c r="B51" s="106"/>
      <c r="C51" s="105">
        <f>'DATOS GENERALES'!C103:D103+BC51</f>
        <v>27.237900466367439</v>
      </c>
      <c r="D51" s="106"/>
      <c r="E51" s="107">
        <f>'DATOS GENERALES'!E103:F103+T51</f>
        <v>20.494237572265575</v>
      </c>
      <c r="F51" s="108"/>
      <c r="G51" s="109">
        <f>'DATOS GENERALES'!G103:H103+AA51</f>
        <v>20.786416832831947</v>
      </c>
      <c r="H51" s="110"/>
      <c r="I51" s="111">
        <f>'DATOS GENERALES'!I103:J103+AH51</f>
        <v>55.043153866652574</v>
      </c>
      <c r="J51" s="112"/>
      <c r="K51" s="802">
        <f>'DATOS GENERALES'!K103:L103+AO51</f>
        <v>910.34412607728154</v>
      </c>
      <c r="L51" s="112"/>
      <c r="N51" s="599"/>
      <c r="O51" s="731" t="s">
        <v>613</v>
      </c>
      <c r="P51" s="732">
        <f>IF('DATOS GENERALES'!E103="","",'DATOS GENERALES'!E103)</f>
        <v>20.65</v>
      </c>
      <c r="S51" s="734">
        <f t="shared" ref="S51:S64" si="50">IF(P51="","",$Q$14+$Q$15*P51+$Q$16*P51^2+$Q$17*P51^3+$Q$18*P51^4+$Q$19*P51^5+$Q$20*P51^6+$Q$21*P51^7+$Q$22*P51^8+$Q$23*P51^9+$Q$24*P51^10+$Q$25*P51^11)</f>
        <v>20.494237572265575</v>
      </c>
      <c r="T51" s="734">
        <f t="shared" ref="T51:T64" si="51">IF(P51="","",S51-P51)</f>
        <v>-0.15576242773442317</v>
      </c>
      <c r="U51" s="735">
        <f t="shared" ref="U51:U64" si="52">IF(P51="","",$R$14+$R$15*P51+$R$16*P51^2+$R$17*P51^3+$R$18*P51^4+$R$19*P51^5+$R$20*P51^6+$R$21*P51^7+$R$22*P51^8+$R$23*P51^9+$R$24*P51^10+$R$25*P51^11)</f>
        <v>5.3999999999999999E-2</v>
      </c>
      <c r="V51" s="725"/>
      <c r="W51" s="737">
        <f>IF('DATOS GENERALES'!G103="","",'DATOS GENERALES'!G103)</f>
        <v>20.6</v>
      </c>
      <c r="Z51" s="734">
        <f t="shared" ref="Z51:Z64" si="53">IF(W51="","",$X$14+$X$15*W51+$X$16*W51^2+$X$17*W51^3+$X$18*W51^4+$X$19*W51^5+$X$20*W51^6+$X$21*W51^7+$X$22*W51^8+$X$23*W51^9+$X$24*W51^10+$X$25*W51^11)</f>
        <v>20.786416832831947</v>
      </c>
      <c r="AA51" s="734">
        <f t="shared" ref="AA51:AA64" si="54">IF(W51="","",Z51-W51)</f>
        <v>0.1864168328319451</v>
      </c>
      <c r="AB51" s="735">
        <f t="shared" ref="AB51:AB64" si="55">IF(W51="","",$Y$14+$Y$15*W51+$Y$16*W51^2+$Y$17*W51^3+$Y$18*W51^4+$Y$19*W51^5+$Y$20*W51^6+$Y$21*W51^7+$Y$22*W51^8+$Y$23*W51^9+$Y$24*W51^10+$Y$25*W51^11)</f>
        <v>0.27981562539672183</v>
      </c>
      <c r="AC51" s="727"/>
      <c r="AD51" s="737">
        <f>IF('DATOS GENERALES'!I103="","",'DATOS GENERALES'!I103)</f>
        <v>55.2</v>
      </c>
      <c r="AG51" s="734">
        <f t="shared" ref="AG51:AG64" si="56">IF(AD51="","",$AE$14+$AE$15*AD51+$AE$16*AD51^2+$AE$17*AD51^3+$AE$18*AD51^4+$AE$19*AD51^5+$AE$20*AD51^6+$AE$21*AD51^7+$AE$22*AD51^8+$AE$23*AD51^9+$AE$24*AD51^10+$AE$25*AD51^11)</f>
        <v>55.043153866652574</v>
      </c>
      <c r="AH51" s="734">
        <f t="shared" ref="AH51:AH64" si="57">IF(AD51="","",AG51-AD51)</f>
        <v>-0.15684613334742892</v>
      </c>
      <c r="AI51" s="735">
        <f t="shared" ref="AI51:AI64" si="58">IF(AD51="","",$AF$14+$AF$15*AD51+$AF$16*AD51^2+$AF$17*AD51^3+$AF$18*AD51^4+$AF$19*AD51^5+$AF$20*AD51^6+$AF$21*AD51^7+$AF$22*AD51^8+$AF$23*AD51^9+$AF$24*AD51^10+$AF$25*AD51^11)</f>
        <v>0.76223297625996211</v>
      </c>
      <c r="AJ51" s="725"/>
      <c r="AK51" s="737">
        <f>IF('DATOS GENERALES'!K103="","",'DATOS GENERALES'!K103)</f>
        <v>910</v>
      </c>
      <c r="AN51" s="734">
        <f t="shared" ref="AN51:AN64" si="59">IF(AK51="","",$AL$14+$AL$15*AK51+$AL$16*AK51^2+$AL$17*AK51^3+$AL$18*AK51^4+$AL$19*AK51^5+$AL$20*AK51^6+$AL$21*AK51^7+$AL$22*AK51^8+$AL$23*AK51^9+$AL$24*AK51^10+$AL$25*AK51^11)</f>
        <v>910.34412607728154</v>
      </c>
      <c r="AO51" s="734">
        <f t="shared" ref="AO51:AO64" si="60">IF(AK51="","",AN51-AK51)</f>
        <v>0.34412607728154399</v>
      </c>
      <c r="AP51" s="735">
        <f t="shared" ref="AP51:AP64" si="61">IF(AK51="","",$AM$14+$AM$15*AK51+$AM$16*AK51^2+$AM$17*AK51^3+$AM$18*AK51^4+$AM$19*AK51^5+$AM$20*AK51^6+$AM$21*AK51^7+$AM$22*AK51^8+$AM$23*AK51^9+$AM$24*AK51^10+$AM$25*AK51^11)</f>
        <v>0.44000000659045196</v>
      </c>
      <c r="AQ51" s="725"/>
      <c r="AR51" s="737">
        <f>IF('DATOS GENERALES'!A103="","",'DATOS GENERALES'!A103)</f>
        <v>26.235009999999999</v>
      </c>
      <c r="AU51" s="734">
        <f t="shared" ref="AU51:AU61" si="62">IF(AR51="","",$AS$14+$AS$15*AR51+$AS$16*AR51^2+$AS$17*AR51^3+$AS$18*AR51^4+$AS$19*AR51^5+$AS$20*AR51^6+$AS$21*AR51^7+$AS$22*AR51^8+$AS$23*AR51^9+$AS$24*AR51^10+$AS$25*AR51^11)</f>
        <v>26.235008787305869</v>
      </c>
      <c r="AV51" s="734">
        <f t="shared" ref="AV51:AV64" si="63">IF(AR51="","",AU51-AR51)</f>
        <v>-1.2126941300039107E-6</v>
      </c>
      <c r="AW51" s="735">
        <f t="shared" ref="AW51:AW61" si="64">IF(AR51="","",$AT$14+$AT$15*AR51+$AT$16*AR51^2+$AT$17*AR51^3+$AT$18*AR51^4+$AT$19*AR51^5+$AT$20*AR51^6+$AT$21*AR51^7+$AT$22*AR51^8+$AT$23*AR51^9+$AT$24*AR51^10+$AT$25*AR51^11)</f>
        <v>8.092091032094878E-5</v>
      </c>
      <c r="AX51" s="725"/>
      <c r="AY51" s="737">
        <f>IF('DATOS GENERALES'!C103="","",'DATOS GENERALES'!C103)</f>
        <v>27.2379</v>
      </c>
      <c r="BB51" s="734">
        <f t="shared" ref="BB51:BB61" si="65">IF(AY51="","",$AZ$14+$AZ$15*AY51+$AZ$16*AY51^2+$AZ$17*AY51^3+$AZ$18*AY51^4+$AZ$19*AY51^5+$AZ$20*AY51^6+$AZ$21*AY51^7+$AZ$22*AY51^8+$AZ$23*AY51^9+$AZ$24*AY51^10+$AZ$25*AY51^11)</f>
        <v>27.237900466367439</v>
      </c>
      <c r="BC51" s="734">
        <f t="shared" ref="BC51:BC61" si="66">IF(AY51="","",BB51-AY51)</f>
        <v>4.6636743888939236E-7</v>
      </c>
      <c r="BD51" s="735">
        <f t="shared" ref="BD51:BD61" si="67">IF(AY51="","",$BA$14+$BA$15*AY51+$BA$16*AY51^2+$BA$17*AY51^3+$BA$18*AY51^4+$BA$19*AY51^5+$BA$20*AY51^6+$BA$21*AY51^7+$BA$22*AY51^8+$BA$23*AY51^9+$BA$24*AY51^10+$BA$25*AY51^11)</f>
        <v>8.2783605905308033E-5</v>
      </c>
      <c r="BF51" s="128"/>
      <c r="BG51" s="128"/>
      <c r="BH51" s="128"/>
      <c r="BI51" s="128"/>
      <c r="BL51" s="863"/>
      <c r="BM51" s="863">
        <v>1.2566168179324946E-7</v>
      </c>
      <c r="BN51" s="863">
        <v>-1.702727344905529E-7</v>
      </c>
      <c r="BP51">
        <v>-1.7991482471305283E-6</v>
      </c>
      <c r="BQ51">
        <v>4.9519258841553615E-8</v>
      </c>
      <c r="BS51">
        <v>-8.723636096309717E-8</v>
      </c>
      <c r="BT51">
        <v>1.4095615258208734E-7</v>
      </c>
    </row>
    <row r="52" spans="1:72" ht="15" x14ac:dyDescent="0.2">
      <c r="A52" s="105">
        <f>'DATOS GENERALES'!A104:B104+AV52</f>
        <v>27.237900466367439</v>
      </c>
      <c r="B52" s="106"/>
      <c r="C52" s="105">
        <f>'DATOS GENERALES'!C104:D104+BC52</f>
        <v>28.239551642283534</v>
      </c>
      <c r="D52" s="106"/>
      <c r="E52" s="107">
        <f>'DATOS GENERALES'!E104:F104+T52</f>
        <v>20.494237572265575</v>
      </c>
      <c r="F52" s="108"/>
      <c r="G52" s="109">
        <f>'DATOS GENERALES'!G104:H104+AA52</f>
        <v>20.786416832831947</v>
      </c>
      <c r="H52" s="110"/>
      <c r="I52" s="111">
        <f>'DATOS GENERALES'!I104:J104+AH52</f>
        <v>54.721129919828414</v>
      </c>
      <c r="J52" s="112"/>
      <c r="K52" s="802">
        <f>'DATOS GENERALES'!K104:L104+AO52</f>
        <v>910.34412607728154</v>
      </c>
      <c r="L52" s="112"/>
      <c r="N52" s="599"/>
      <c r="O52" s="731" t="s">
        <v>614</v>
      </c>
      <c r="P52" s="732">
        <f>IF('DATOS GENERALES'!E104="","",'DATOS GENERALES'!E104)</f>
        <v>20.65</v>
      </c>
      <c r="S52" s="734">
        <f t="shared" si="50"/>
        <v>20.494237572265575</v>
      </c>
      <c r="T52" s="734">
        <f t="shared" si="51"/>
        <v>-0.15576242773442317</v>
      </c>
      <c r="U52" s="735">
        <f t="shared" si="52"/>
        <v>5.3999999999999999E-2</v>
      </c>
      <c r="V52" s="725"/>
      <c r="W52" s="737">
        <f>IF('DATOS GENERALES'!G104="","",'DATOS GENERALES'!G104)</f>
        <v>20.6</v>
      </c>
      <c r="Z52" s="734">
        <f t="shared" si="53"/>
        <v>20.786416832831947</v>
      </c>
      <c r="AA52" s="734">
        <f t="shared" si="54"/>
        <v>0.1864168328319451</v>
      </c>
      <c r="AB52" s="735">
        <f t="shared" si="55"/>
        <v>0.27981562539672183</v>
      </c>
      <c r="AC52" s="727"/>
      <c r="AD52" s="737">
        <f>IF('DATOS GENERALES'!I104="","",'DATOS GENERALES'!I104)</f>
        <v>54.9</v>
      </c>
      <c r="AG52" s="734">
        <f t="shared" si="56"/>
        <v>54.721129919828414</v>
      </c>
      <c r="AH52" s="734">
        <f t="shared" si="57"/>
        <v>-0.17887008017158479</v>
      </c>
      <c r="AI52" s="735">
        <f t="shared" si="58"/>
        <v>0.7609880348593383</v>
      </c>
      <c r="AJ52" s="725"/>
      <c r="AK52" s="737">
        <f>IF('DATOS GENERALES'!K104="","",'DATOS GENERALES'!K104)</f>
        <v>910</v>
      </c>
      <c r="AN52" s="734">
        <f t="shared" si="59"/>
        <v>910.34412607728154</v>
      </c>
      <c r="AO52" s="734">
        <f t="shared" si="60"/>
        <v>0.34412607728154399</v>
      </c>
      <c r="AP52" s="735">
        <f t="shared" si="61"/>
        <v>0.44000000659045196</v>
      </c>
      <c r="AQ52" s="725"/>
      <c r="AR52" s="737">
        <f>IF('DATOS GENERALES'!A104="","",'DATOS GENERALES'!A104)</f>
        <v>27.2379</v>
      </c>
      <c r="AU52" s="734">
        <f t="shared" si="62"/>
        <v>27.237900466367439</v>
      </c>
      <c r="AV52" s="734">
        <f t="shared" si="63"/>
        <v>4.6636743888939236E-7</v>
      </c>
      <c r="AW52" s="735">
        <f t="shared" si="64"/>
        <v>8.2783605905308033E-5</v>
      </c>
      <c r="AX52" s="725"/>
      <c r="AY52" s="737">
        <f>IF('DATOS GENERALES'!C104="","",'DATOS GENERALES'!C104)</f>
        <v>28.239550000000001</v>
      </c>
      <c r="BB52" s="734">
        <f t="shared" si="65"/>
        <v>28.239551642283534</v>
      </c>
      <c r="BC52" s="734">
        <f t="shared" si="66"/>
        <v>1.6422835322771334E-6</v>
      </c>
      <c r="BD52" s="735">
        <f t="shared" si="67"/>
        <v>8.3895559261228103E-5</v>
      </c>
      <c r="BF52" s="772"/>
      <c r="BG52" s="749" t="s">
        <v>605</v>
      </c>
      <c r="BH52" s="749" t="s">
        <v>606</v>
      </c>
      <c r="BI52" s="750"/>
      <c r="BL52" s="863"/>
      <c r="BM52" s="863">
        <v>-1.3086647821717971E-10</v>
      </c>
      <c r="BN52" s="863">
        <v>2.1365759163980094E-10</v>
      </c>
      <c r="BP52">
        <v>2.2894919476808522E-9</v>
      </c>
      <c r="BQ52">
        <v>-5.6936387695689638E-11</v>
      </c>
      <c r="BS52">
        <v>8.8473607181819598E-11</v>
      </c>
      <c r="BT52">
        <v>-1.8589875261456643E-10</v>
      </c>
    </row>
    <row r="53" spans="1:72" x14ac:dyDescent="0.2">
      <c r="A53" s="105">
        <f>'DATOS GENERALES'!A105:B105+AV53</f>
        <v>28.239551642283534</v>
      </c>
      <c r="B53" s="106"/>
      <c r="C53" s="105">
        <f>'DATOS GENERALES'!C105:D105+BC53</f>
        <v>29.24105247431196</v>
      </c>
      <c r="D53" s="106"/>
      <c r="E53" s="107">
        <f>'DATOS GENERALES'!E105:F105+T53</f>
        <v>20.50424161870562</v>
      </c>
      <c r="F53" s="108"/>
      <c r="G53" s="109">
        <f>'DATOS GENERALES'!G105:H105+AA53</f>
        <v>20.786416832831947</v>
      </c>
      <c r="H53" s="110"/>
      <c r="I53" s="111">
        <f>'DATOS GENERALES'!I105:J105+AH53</f>
        <v>55.579364979765614</v>
      </c>
      <c r="J53" s="112"/>
      <c r="K53" s="802">
        <f>'DATOS GENERALES'!K105:L105+AO53</f>
        <v>911.34039976853819</v>
      </c>
      <c r="L53" s="112"/>
      <c r="N53" s="599"/>
      <c r="O53" s="731" t="s">
        <v>615</v>
      </c>
      <c r="P53" s="732">
        <f>IF('DATOS GENERALES'!E105="","",'DATOS GENERALES'!E105)</f>
        <v>20.66</v>
      </c>
      <c r="S53" s="734">
        <f t="shared" si="50"/>
        <v>20.50424161870562</v>
      </c>
      <c r="T53" s="734">
        <f t="shared" si="51"/>
        <v>-0.15575838129437969</v>
      </c>
      <c r="U53" s="735">
        <f t="shared" si="52"/>
        <v>5.3999999999999999E-2</v>
      </c>
      <c r="V53" s="725"/>
      <c r="W53" s="737">
        <f>IF('DATOS GENERALES'!G105="","",'DATOS GENERALES'!G105)</f>
        <v>20.6</v>
      </c>
      <c r="Z53" s="734">
        <f t="shared" si="53"/>
        <v>20.786416832831947</v>
      </c>
      <c r="AA53" s="734">
        <f t="shared" si="54"/>
        <v>0.1864168328319451</v>
      </c>
      <c r="AB53" s="735">
        <f t="shared" si="55"/>
        <v>0.27981562539672183</v>
      </c>
      <c r="AC53" s="727"/>
      <c r="AD53" s="737">
        <f>IF('DATOS GENERALES'!I105="","",'DATOS GENERALES'!I105)</f>
        <v>55.7</v>
      </c>
      <c r="AG53" s="734">
        <f t="shared" si="56"/>
        <v>55.579364979765614</v>
      </c>
      <c r="AH53" s="734">
        <f t="shared" si="57"/>
        <v>-0.12063502023438843</v>
      </c>
      <c r="AI53" s="735">
        <f t="shared" si="58"/>
        <v>0.76429615476320278</v>
      </c>
      <c r="AJ53" s="725"/>
      <c r="AK53" s="737">
        <f>IF('DATOS GENERALES'!K105="","",'DATOS GENERALES'!K105)</f>
        <v>911</v>
      </c>
      <c r="AN53" s="734">
        <f t="shared" si="59"/>
        <v>911.34039976853819</v>
      </c>
      <c r="AO53" s="734">
        <f t="shared" si="60"/>
        <v>0.34039976853819098</v>
      </c>
      <c r="AP53" s="735">
        <f t="shared" si="61"/>
        <v>0.44000000669050343</v>
      </c>
      <c r="AQ53" s="725"/>
      <c r="AR53" s="737">
        <f>IF('DATOS GENERALES'!A105="","",'DATOS GENERALES'!A105)</f>
        <v>28.239550000000001</v>
      </c>
      <c r="AU53" s="734">
        <f t="shared" si="62"/>
        <v>28.239551642283534</v>
      </c>
      <c r="AV53" s="734">
        <f t="shared" si="63"/>
        <v>1.6422835322771334E-6</v>
      </c>
      <c r="AW53" s="735">
        <f t="shared" si="64"/>
        <v>8.3895559261228103E-5</v>
      </c>
      <c r="AX53" s="725"/>
      <c r="AY53" s="737">
        <f>IF('DATOS GENERALES'!C105="","",'DATOS GENERALES'!C105)</f>
        <v>29.241050000000001</v>
      </c>
      <c r="BB53" s="734">
        <f t="shared" si="65"/>
        <v>29.24105247431196</v>
      </c>
      <c r="BC53" s="734">
        <f t="shared" si="66"/>
        <v>2.4743119588777063E-6</v>
      </c>
      <c r="BD53" s="735">
        <f t="shared" si="67"/>
        <v>8.489233038445898E-5</v>
      </c>
      <c r="BF53" s="773" t="s">
        <v>317</v>
      </c>
      <c r="BG53" s="1038">
        <v>1.8899097174451818E-6</v>
      </c>
      <c r="BH53" s="1038">
        <v>1.2995960529009261E-3</v>
      </c>
      <c r="BI53" s="752">
        <v>1</v>
      </c>
      <c r="BL53" s="863"/>
      <c r="BM53" s="863">
        <v>6.0088835953686955E-14</v>
      </c>
      <c r="BN53" s="863">
        <v>-1.4170000729296814E-13</v>
      </c>
      <c r="BP53">
        <v>-1.5478913627206772E-12</v>
      </c>
      <c r="BQ53">
        <v>3.4310546911175326E-14</v>
      </c>
      <c r="BS53">
        <v>-4.2324205252982779E-14</v>
      </c>
      <c r="BT53">
        <v>1.318999103189578E-13</v>
      </c>
    </row>
    <row r="54" spans="1:72" x14ac:dyDescent="0.2">
      <c r="A54" s="105">
        <f>'DATOS GENERALES'!A106:B106+AV54</f>
        <v>29.24105247431196</v>
      </c>
      <c r="B54" s="106"/>
      <c r="C54" s="105">
        <f>'DATOS GENERALES'!C106:D106+BC54</f>
        <v>30.241983203635371</v>
      </c>
      <c r="D54" s="106"/>
      <c r="E54" s="107">
        <f>'DATOS GENERALES'!E106:F106+T54</f>
        <v>20.45422096638497</v>
      </c>
      <c r="F54" s="108"/>
      <c r="G54" s="109">
        <f>'DATOS GENERALES'!G106:H106+AA54</f>
        <v>20.786416832831947</v>
      </c>
      <c r="H54" s="110"/>
      <c r="I54" s="111">
        <f>'DATOS GENERALES'!I106:J106+AH54</f>
        <v>55.150445635767895</v>
      </c>
      <c r="J54" s="112"/>
      <c r="K54" s="802">
        <f>'DATOS GENERALES'!K106:L106+AO54</f>
        <v>911.34039976853819</v>
      </c>
      <c r="L54" s="112"/>
      <c r="N54" s="599"/>
      <c r="O54" s="731" t="s">
        <v>616</v>
      </c>
      <c r="P54" s="732">
        <f>IF('DATOS GENERALES'!E106="","",'DATOS GENERALES'!E106)</f>
        <v>20.61</v>
      </c>
      <c r="S54" s="734">
        <f t="shared" si="50"/>
        <v>20.45422096638497</v>
      </c>
      <c r="T54" s="734">
        <f t="shared" si="51"/>
        <v>-0.15577903361502976</v>
      </c>
      <c r="U54" s="735">
        <f t="shared" si="52"/>
        <v>5.3999999999999999E-2</v>
      </c>
      <c r="V54" s="725"/>
      <c r="W54" s="737">
        <f>IF('DATOS GENERALES'!G106="","",'DATOS GENERALES'!G106)</f>
        <v>20.6</v>
      </c>
      <c r="Z54" s="734">
        <f t="shared" si="53"/>
        <v>20.786416832831947</v>
      </c>
      <c r="AA54" s="734">
        <f t="shared" si="54"/>
        <v>0.1864168328319451</v>
      </c>
      <c r="AB54" s="735">
        <f t="shared" si="55"/>
        <v>0.27981562539672183</v>
      </c>
      <c r="AC54" s="727"/>
      <c r="AD54" s="737">
        <f>IF('DATOS GENERALES'!I106="","",'DATOS GENERALES'!I106)</f>
        <v>55.3</v>
      </c>
      <c r="AG54" s="734">
        <f t="shared" si="56"/>
        <v>55.150445635767895</v>
      </c>
      <c r="AH54" s="734">
        <f t="shared" si="57"/>
        <v>-0.14955436423210244</v>
      </c>
      <c r="AI54" s="735">
        <f t="shared" si="58"/>
        <v>0.76264678434372346</v>
      </c>
      <c r="AJ54" s="725"/>
      <c r="AK54" s="737">
        <f>IF('DATOS GENERALES'!K106="","",'DATOS GENERALES'!K106)</f>
        <v>911</v>
      </c>
      <c r="AN54" s="734">
        <f t="shared" si="59"/>
        <v>911.34039976853819</v>
      </c>
      <c r="AO54" s="734">
        <f t="shared" si="60"/>
        <v>0.34039976853819098</v>
      </c>
      <c r="AP54" s="735">
        <f t="shared" si="61"/>
        <v>0.44000000669050343</v>
      </c>
      <c r="AQ54" s="725"/>
      <c r="AR54" s="737">
        <f>IF('DATOS GENERALES'!A106="","",'DATOS GENERALES'!A106)</f>
        <v>29.241050000000001</v>
      </c>
      <c r="AU54" s="734">
        <f t="shared" si="62"/>
        <v>29.24105247431196</v>
      </c>
      <c r="AV54" s="734">
        <f t="shared" si="63"/>
        <v>2.4743119588777063E-6</v>
      </c>
      <c r="AW54" s="735">
        <f t="shared" si="64"/>
        <v>8.489233038445898E-5</v>
      </c>
      <c r="AX54" s="725"/>
      <c r="AY54" s="737">
        <f>IF('DATOS GENERALES'!C106="","",'DATOS GENERALES'!C106)</f>
        <v>30.241980000000002</v>
      </c>
      <c r="BB54" s="734">
        <f t="shared" si="65"/>
        <v>30.241983203635371</v>
      </c>
      <c r="BC54" s="734">
        <f t="shared" si="66"/>
        <v>3.2036353694309128E-6</v>
      </c>
      <c r="BD54" s="735">
        <f t="shared" si="67"/>
        <v>8.6469389711338329E-5</v>
      </c>
      <c r="BF54" s="1036"/>
      <c r="BG54" s="1038">
        <v>0.99998111152531588</v>
      </c>
      <c r="BH54" s="1038">
        <v>4.0479701897863619E-6</v>
      </c>
      <c r="BI54" s="752">
        <v>2</v>
      </c>
      <c r="BL54" s="863"/>
      <c r="BM54" s="863">
        <v>-1.0390384801411847E-17</v>
      </c>
      <c r="BN54" s="863">
        <v>5.5868870951017701E-17</v>
      </c>
      <c r="BP54">
        <v>6.2412510417367396E-16</v>
      </c>
      <c r="BQ54">
        <v>-1.202191707071292E-17</v>
      </c>
      <c r="BS54">
        <v>9.1789251170512596E-18</v>
      </c>
      <c r="BT54">
        <v>-5.592743043764165E-17</v>
      </c>
    </row>
    <row r="55" spans="1:72" x14ac:dyDescent="0.2">
      <c r="A55" s="105">
        <f>'DATOS GENERALES'!A107:B107+AV55</f>
        <v>30.241983203635371</v>
      </c>
      <c r="B55" s="106"/>
      <c r="C55" s="105">
        <f>'DATOS GENERALES'!C107:D107+BC55</f>
        <v>31.242294082696006</v>
      </c>
      <c r="D55" s="106"/>
      <c r="E55" s="107">
        <f>'DATOS GENERALES'!E107:F107+T55</f>
        <v>20.494237572265575</v>
      </c>
      <c r="F55" s="108"/>
      <c r="G55" s="109">
        <f>'DATOS GENERALES'!G107:H107+AA55</f>
        <v>20.786416832831947</v>
      </c>
      <c r="H55" s="110"/>
      <c r="I55" s="111">
        <f>'DATOS GENERALES'!I107:J107+AH55</f>
        <v>55.686532882649125</v>
      </c>
      <c r="J55" s="112"/>
      <c r="K55" s="802">
        <f>'DATOS GENERALES'!K107:L107+AO55</f>
        <v>911.34039976853819</v>
      </c>
      <c r="L55" s="112"/>
      <c r="N55" s="599"/>
      <c r="O55" s="731" t="s">
        <v>617</v>
      </c>
      <c r="P55" s="732">
        <f>IF('DATOS GENERALES'!E107="","",'DATOS GENERALES'!E107)</f>
        <v>20.65</v>
      </c>
      <c r="S55" s="734">
        <f t="shared" si="50"/>
        <v>20.494237572265575</v>
      </c>
      <c r="T55" s="734">
        <f t="shared" si="51"/>
        <v>-0.15576242773442317</v>
      </c>
      <c r="U55" s="735">
        <f t="shared" si="52"/>
        <v>5.3999999999999999E-2</v>
      </c>
      <c r="V55" s="725"/>
      <c r="W55" s="737">
        <f>IF('DATOS GENERALES'!G107="","",'DATOS GENERALES'!G107)</f>
        <v>20.6</v>
      </c>
      <c r="Z55" s="734">
        <f t="shared" si="53"/>
        <v>20.786416832831947</v>
      </c>
      <c r="AA55" s="734">
        <f t="shared" si="54"/>
        <v>0.1864168328319451</v>
      </c>
      <c r="AB55" s="735">
        <f t="shared" si="55"/>
        <v>0.27981562539672183</v>
      </c>
      <c r="AC55" s="727"/>
      <c r="AD55" s="737">
        <f>IF('DATOS GENERALES'!I107="","",'DATOS GENERALES'!I107)</f>
        <v>55.8</v>
      </c>
      <c r="AG55" s="734">
        <f t="shared" si="56"/>
        <v>55.686532882649125</v>
      </c>
      <c r="AH55" s="734">
        <f t="shared" si="57"/>
        <v>-0.11346711735087212</v>
      </c>
      <c r="AI55" s="735">
        <f t="shared" si="58"/>
        <v>0.76470703188918121</v>
      </c>
      <c r="AJ55" s="725"/>
      <c r="AK55" s="737">
        <f>IF('DATOS GENERALES'!K107="","",'DATOS GENERALES'!K107)</f>
        <v>911</v>
      </c>
      <c r="AN55" s="734">
        <f t="shared" si="59"/>
        <v>911.34039976853819</v>
      </c>
      <c r="AO55" s="734">
        <f t="shared" si="60"/>
        <v>0.34039976853819098</v>
      </c>
      <c r="AP55" s="735">
        <f t="shared" si="61"/>
        <v>0.44000000669050343</v>
      </c>
      <c r="AQ55" s="725"/>
      <c r="AR55" s="737">
        <f>IF('DATOS GENERALES'!A107="","",'DATOS GENERALES'!A107)</f>
        <v>30.241980000000002</v>
      </c>
      <c r="AU55" s="734">
        <f t="shared" si="62"/>
        <v>30.241983203635371</v>
      </c>
      <c r="AV55" s="734">
        <f t="shared" si="63"/>
        <v>3.2036353694309128E-6</v>
      </c>
      <c r="AW55" s="735">
        <f t="shared" si="64"/>
        <v>8.6469389711338329E-5</v>
      </c>
      <c r="AX55" s="725"/>
      <c r="AY55" s="737">
        <f>IF('DATOS GENERALES'!C107="","",'DATOS GENERALES'!C107)</f>
        <v>31.242290000000001</v>
      </c>
      <c r="BB55" s="734">
        <f t="shared" si="65"/>
        <v>31.242294082696006</v>
      </c>
      <c r="BC55" s="734">
        <f t="shared" si="66"/>
        <v>4.0826960052697814E-6</v>
      </c>
      <c r="BD55" s="735">
        <f t="shared" si="67"/>
        <v>8.9210390978589071E-5</v>
      </c>
      <c r="BF55" s="1036"/>
      <c r="BG55" s="1038">
        <v>-1.0660523481684225E-7</v>
      </c>
      <c r="BH55" s="1038">
        <v>-8.5083982609290834E-8</v>
      </c>
      <c r="BI55" s="752">
        <v>3</v>
      </c>
      <c r="BL55" s="863"/>
      <c r="BM55" s="863">
        <v>-1.128326179542283E-21</v>
      </c>
      <c r="BN55" s="863">
        <v>-1.3750941717392875E-20</v>
      </c>
      <c r="BP55">
        <v>-1.5759576061798457E-19</v>
      </c>
      <c r="BQ55">
        <v>2.5563090650202364E-21</v>
      </c>
      <c r="BS55">
        <v>-1.3156049641752548E-22</v>
      </c>
      <c r="BT55">
        <v>1.4848255402557456E-20</v>
      </c>
    </row>
    <row r="56" spans="1:72" x14ac:dyDescent="0.2">
      <c r="A56" s="105">
        <f>'DATOS GENERALES'!A108:B108+AV56</f>
        <v>31.242294082696006</v>
      </c>
      <c r="B56" s="106"/>
      <c r="C56" s="105">
        <f>'DATOS GENERALES'!C108:D108+BC56</f>
        <v>32.244815299191721</v>
      </c>
      <c r="D56" s="106"/>
      <c r="E56" s="107">
        <f>'DATOS GENERALES'!E108:F108+T56</f>
        <v>20.484233483813487</v>
      </c>
      <c r="F56" s="108"/>
      <c r="G56" s="109">
        <f>'DATOS GENERALES'!G108:H108+AA56</f>
        <v>20.786416832831947</v>
      </c>
      <c r="H56" s="110"/>
      <c r="I56" s="111">
        <f>'DATOS GENERALES'!I108:J108+AH56</f>
        <v>55.686532882649125</v>
      </c>
      <c r="J56" s="112"/>
      <c r="K56" s="802">
        <f>'DATOS GENERALES'!K108:L108+AO56</f>
        <v>911.34039976853819</v>
      </c>
      <c r="L56" s="112"/>
      <c r="N56" s="599"/>
      <c r="O56" s="731" t="s">
        <v>618</v>
      </c>
      <c r="P56" s="732">
        <f>IF('DATOS GENERALES'!E108="","",'DATOS GENERALES'!E108)</f>
        <v>20.64</v>
      </c>
      <c r="S56" s="734">
        <f t="shared" si="50"/>
        <v>20.484233483813487</v>
      </c>
      <c r="T56" s="734">
        <f t="shared" si="51"/>
        <v>-0.15576651618651383</v>
      </c>
      <c r="U56" s="735">
        <f t="shared" si="52"/>
        <v>5.3999999999999999E-2</v>
      </c>
      <c r="V56" s="725"/>
      <c r="W56" s="737">
        <f>IF('DATOS GENERALES'!G108="","",'DATOS GENERALES'!G108)</f>
        <v>20.6</v>
      </c>
      <c r="Z56" s="734">
        <f t="shared" si="53"/>
        <v>20.786416832831947</v>
      </c>
      <c r="AA56" s="734">
        <f t="shared" si="54"/>
        <v>0.1864168328319451</v>
      </c>
      <c r="AB56" s="735">
        <f t="shared" si="55"/>
        <v>0.27981562539672183</v>
      </c>
      <c r="AC56" s="727"/>
      <c r="AD56" s="737">
        <f>IF('DATOS GENERALES'!I108="","",'DATOS GENERALES'!I108)</f>
        <v>55.8</v>
      </c>
      <c r="AG56" s="734">
        <f t="shared" si="56"/>
        <v>55.686532882649125</v>
      </c>
      <c r="AH56" s="734">
        <f t="shared" si="57"/>
        <v>-0.11346711735087212</v>
      </c>
      <c r="AI56" s="735">
        <f t="shared" si="58"/>
        <v>0.76470703188918121</v>
      </c>
      <c r="AJ56" s="725"/>
      <c r="AK56" s="737">
        <f>IF('DATOS GENERALES'!K108="","",'DATOS GENERALES'!K108)</f>
        <v>911</v>
      </c>
      <c r="AN56" s="734">
        <f t="shared" si="59"/>
        <v>911.34039976853819</v>
      </c>
      <c r="AO56" s="734">
        <f t="shared" si="60"/>
        <v>0.34039976853819098</v>
      </c>
      <c r="AP56" s="735">
        <f t="shared" si="61"/>
        <v>0.44000000669050343</v>
      </c>
      <c r="AQ56" s="725"/>
      <c r="AR56" s="737">
        <f>IF('DATOS GENERALES'!A108="","",'DATOS GENERALES'!A108)</f>
        <v>31.242290000000001</v>
      </c>
      <c r="AU56" s="734">
        <f t="shared" si="62"/>
        <v>31.242294082696006</v>
      </c>
      <c r="AV56" s="734">
        <f t="shared" si="63"/>
        <v>4.0826960052697814E-6</v>
      </c>
      <c r="AW56" s="735">
        <f t="shared" si="64"/>
        <v>8.9210390978589071E-5</v>
      </c>
      <c r="AX56" s="725"/>
      <c r="AY56" s="737">
        <f>IF('DATOS GENERALES'!C108="","",'DATOS GENERALES'!C108)</f>
        <v>32.244810000000001</v>
      </c>
      <c r="BB56" s="734">
        <f t="shared" si="65"/>
        <v>32.244815299191721</v>
      </c>
      <c r="BC56" s="734">
        <f t="shared" si="66"/>
        <v>5.2991917200984062E-6</v>
      </c>
      <c r="BD56" s="735">
        <f t="shared" si="67"/>
        <v>9.3431316024600308E-5</v>
      </c>
      <c r="BF56" s="1036"/>
      <c r="BG56" s="1038">
        <v>3.8114653741635161E-9</v>
      </c>
      <c r="BH56" s="1038">
        <v>9.2045376343014611E-10</v>
      </c>
      <c r="BI56" s="752">
        <v>4</v>
      </c>
      <c r="BL56" s="863"/>
      <c r="BM56" s="863">
        <v>7.8092528769757016E-25</v>
      </c>
      <c r="BN56" s="863">
        <v>2.1328905091384047E-24</v>
      </c>
      <c r="BP56">
        <v>2.5159274212171619E-23</v>
      </c>
      <c r="BQ56">
        <v>-3.2943375993154117E-25</v>
      </c>
      <c r="BS56">
        <v>-3.5771817212683768E-25</v>
      </c>
      <c r="BT56">
        <v>-2.4893478730444878E-24</v>
      </c>
    </row>
    <row r="57" spans="1:72" x14ac:dyDescent="0.2">
      <c r="A57" s="105">
        <f>'DATOS GENERALES'!A109:B109+AV57</f>
        <v>32.244815299191721</v>
      </c>
      <c r="B57" s="106"/>
      <c r="C57" s="105">
        <f>'DATOS GENERALES'!C109:D109+BC57</f>
        <v>33.246056892895389</v>
      </c>
      <c r="D57" s="106"/>
      <c r="E57" s="107">
        <f>'DATOS GENERALES'!E109:F109+T57</f>
        <v>20.474229353349358</v>
      </c>
      <c r="F57" s="108"/>
      <c r="G57" s="109">
        <f>'DATOS GENERALES'!G109:H109+AA57</f>
        <v>20.786416832831947</v>
      </c>
      <c r="H57" s="110"/>
      <c r="I57" s="111">
        <f>'DATOS GENERALES'!I109:J109+AH57</f>
        <v>55.90079436867709</v>
      </c>
      <c r="J57" s="112"/>
      <c r="K57" s="802">
        <f>'DATOS GENERALES'!K109:L109+AO57</f>
        <v>910.34412607728154</v>
      </c>
      <c r="L57" s="112"/>
      <c r="N57" s="599"/>
      <c r="O57" s="731" t="s">
        <v>619</v>
      </c>
      <c r="P57" s="732">
        <f>IF('DATOS GENERALES'!E109="","",'DATOS GENERALES'!E109)</f>
        <v>20.63</v>
      </c>
      <c r="S57" s="734">
        <f t="shared" si="50"/>
        <v>20.474229353349358</v>
      </c>
      <c r="T57" s="734">
        <f t="shared" si="51"/>
        <v>-0.155770646650641</v>
      </c>
      <c r="U57" s="735">
        <f t="shared" si="52"/>
        <v>5.3999999999999999E-2</v>
      </c>
      <c r="V57" s="725"/>
      <c r="W57" s="737">
        <f>IF('DATOS GENERALES'!G109="","",'DATOS GENERALES'!G109)</f>
        <v>20.6</v>
      </c>
      <c r="Z57" s="734">
        <f t="shared" si="53"/>
        <v>20.786416832831947</v>
      </c>
      <c r="AA57" s="734">
        <f t="shared" si="54"/>
        <v>0.1864168328319451</v>
      </c>
      <c r="AB57" s="735">
        <f t="shared" si="55"/>
        <v>0.27981562539672183</v>
      </c>
      <c r="AC57" s="727"/>
      <c r="AD57" s="737">
        <f>IF('DATOS GENERALES'!I109="","",'DATOS GENERALES'!I109)</f>
        <v>56</v>
      </c>
      <c r="AG57" s="734">
        <f t="shared" si="56"/>
        <v>55.90079436867709</v>
      </c>
      <c r="AH57" s="734">
        <f t="shared" si="57"/>
        <v>-9.9205631322909937E-2</v>
      </c>
      <c r="AI57" s="735">
        <f t="shared" si="58"/>
        <v>0.76552702756646807</v>
      </c>
      <c r="AJ57" s="725"/>
      <c r="AK57" s="737">
        <f>IF('DATOS GENERALES'!K109="","",'DATOS GENERALES'!K109)</f>
        <v>910</v>
      </c>
      <c r="AN57" s="734">
        <f t="shared" si="59"/>
        <v>910.34412607728154</v>
      </c>
      <c r="AO57" s="734">
        <f t="shared" si="60"/>
        <v>0.34412607728154399</v>
      </c>
      <c r="AP57" s="735">
        <f t="shared" si="61"/>
        <v>0.44000000659045196</v>
      </c>
      <c r="AQ57" s="725"/>
      <c r="AR57" s="737">
        <f>IF('DATOS GENERALES'!A109="","",'DATOS GENERALES'!A109)</f>
        <v>32.244810000000001</v>
      </c>
      <c r="AU57" s="734">
        <f t="shared" si="62"/>
        <v>32.244815299191721</v>
      </c>
      <c r="AV57" s="734">
        <f t="shared" si="63"/>
        <v>5.2991917200984062E-6</v>
      </c>
      <c r="AW57" s="735">
        <f t="shared" si="64"/>
        <v>9.3431316024600308E-5</v>
      </c>
      <c r="AX57" s="725"/>
      <c r="AY57" s="737">
        <f>IF('DATOS GENERALES'!C109="","",'DATOS GENERALES'!C109)</f>
        <v>33.246049999999997</v>
      </c>
      <c r="BB57" s="734">
        <f t="shared" si="65"/>
        <v>33.246056892895389</v>
      </c>
      <c r="BC57" s="734">
        <f t="shared" si="66"/>
        <v>6.8928953922409164E-6</v>
      </c>
      <c r="BD57" s="735">
        <f t="shared" si="67"/>
        <v>9.9008138246148292E-5</v>
      </c>
      <c r="BF57" s="1036"/>
      <c r="BG57" s="1038">
        <v>-2.7510592474189839E-11</v>
      </c>
      <c r="BH57" s="1038">
        <v>-5.3265704827361423E-12</v>
      </c>
      <c r="BI57" s="752">
        <v>5</v>
      </c>
      <c r="BL57" s="863"/>
      <c r="BM57" s="863">
        <v>-1.3335708667220895E-28</v>
      </c>
      <c r="BN57" s="863">
        <v>-2.0255541343360016E-28</v>
      </c>
      <c r="BP57">
        <v>-2.4677339550086145E-27</v>
      </c>
      <c r="BQ57">
        <v>2.4481165935969639E-29</v>
      </c>
      <c r="BS57">
        <v>7.5101186641674017E-29</v>
      </c>
      <c r="BT57">
        <v>2.5588077285824073E-28</v>
      </c>
    </row>
    <row r="58" spans="1:72" x14ac:dyDescent="0.2">
      <c r="A58" s="105">
        <f>'DATOS GENERALES'!A110:B110+AV58</f>
        <v>33.246056892895389</v>
      </c>
      <c r="B58" s="106"/>
      <c r="C58" s="105">
        <f>'DATOS GENERALES'!C110:D110+BC58</f>
        <v>34.248918719002674</v>
      </c>
      <c r="D58" s="106"/>
      <c r="E58" s="107">
        <f>'DATOS GENERALES'!E110:F110+T58</f>
        <v>20.45422096638497</v>
      </c>
      <c r="F58" s="108"/>
      <c r="G58" s="109">
        <f>'DATOS GENERALES'!G110:H110+AA58</f>
        <v>20.786416832831947</v>
      </c>
      <c r="H58" s="110"/>
      <c r="I58" s="111">
        <f>'DATOS GENERALES'!I110:J110+AH58</f>
        <v>55.579364979765614</v>
      </c>
      <c r="J58" s="112"/>
      <c r="K58" s="802">
        <f>'DATOS GENERALES'!K110:L110+AO58</f>
        <v>910.34412607728154</v>
      </c>
      <c r="L58" s="112"/>
      <c r="N58" s="599"/>
      <c r="O58" s="731" t="s">
        <v>620</v>
      </c>
      <c r="P58" s="732">
        <f>IF('DATOS GENERALES'!E110="","",'DATOS GENERALES'!E110)</f>
        <v>20.61</v>
      </c>
      <c r="S58" s="734">
        <f t="shared" si="50"/>
        <v>20.45422096638497</v>
      </c>
      <c r="T58" s="734">
        <f t="shared" si="51"/>
        <v>-0.15577903361502976</v>
      </c>
      <c r="U58" s="735">
        <f t="shared" si="52"/>
        <v>5.3999999999999999E-2</v>
      </c>
      <c r="V58" s="725"/>
      <c r="W58" s="737">
        <f>IF('DATOS GENERALES'!G110="","",'DATOS GENERALES'!G110)</f>
        <v>20.6</v>
      </c>
      <c r="Z58" s="734">
        <f t="shared" si="53"/>
        <v>20.786416832831947</v>
      </c>
      <c r="AA58" s="734">
        <f t="shared" si="54"/>
        <v>0.1864168328319451</v>
      </c>
      <c r="AB58" s="735">
        <f t="shared" si="55"/>
        <v>0.27981562539672183</v>
      </c>
      <c r="AC58" s="727"/>
      <c r="AD58" s="737">
        <f>IF('DATOS GENERALES'!I110="","",'DATOS GENERALES'!I110)</f>
        <v>55.7</v>
      </c>
      <c r="AG58" s="734">
        <f t="shared" si="56"/>
        <v>55.579364979765614</v>
      </c>
      <c r="AH58" s="734">
        <f t="shared" si="57"/>
        <v>-0.12063502023438843</v>
      </c>
      <c r="AI58" s="735">
        <f t="shared" si="58"/>
        <v>0.76429615476320278</v>
      </c>
      <c r="AJ58" s="725"/>
      <c r="AK58" s="737">
        <f>IF('DATOS GENERALES'!K110="","",'DATOS GENERALES'!K110)</f>
        <v>910</v>
      </c>
      <c r="AN58" s="734">
        <f t="shared" si="59"/>
        <v>910.34412607728154</v>
      </c>
      <c r="AO58" s="734">
        <f t="shared" si="60"/>
        <v>0.34412607728154399</v>
      </c>
      <c r="AP58" s="735">
        <f t="shared" si="61"/>
        <v>0.44000000659045196</v>
      </c>
      <c r="AQ58" s="725"/>
      <c r="AR58" s="737">
        <f>IF('DATOS GENERALES'!A110="","",'DATOS GENERALES'!A110)</f>
        <v>33.246049999999997</v>
      </c>
      <c r="AU58" s="734">
        <f t="shared" si="62"/>
        <v>33.246056892895389</v>
      </c>
      <c r="AV58" s="734">
        <f t="shared" si="63"/>
        <v>6.8928953922409164E-6</v>
      </c>
      <c r="AW58" s="735">
        <f t="shared" si="64"/>
        <v>9.9008138246148292E-5</v>
      </c>
      <c r="AX58" s="725"/>
      <c r="AY58" s="737">
        <f>IF('DATOS GENERALES'!C110="","",'DATOS GENERALES'!C110)</f>
        <v>34.248910000000002</v>
      </c>
      <c r="BB58" s="734">
        <f t="shared" si="65"/>
        <v>34.248918719002674</v>
      </c>
      <c r="BC58" s="734">
        <f t="shared" si="66"/>
        <v>8.7190026718531044E-6</v>
      </c>
      <c r="BD58" s="735">
        <f t="shared" si="67"/>
        <v>1.0536014206624644E-4</v>
      </c>
      <c r="BF58" s="1036"/>
      <c r="BG58" s="1038">
        <v>9.8023971965273749E-14</v>
      </c>
      <c r="BH58" s="1038">
        <v>1.8089661793228367E-14</v>
      </c>
      <c r="BI58" s="752">
        <v>6</v>
      </c>
      <c r="BL58" s="863"/>
      <c r="BM58" s="863">
        <v>1.0268999796611686E-32</v>
      </c>
      <c r="BN58" s="863">
        <v>1.075224575692218E-32</v>
      </c>
      <c r="BP58">
        <v>1.358062345382768E-31</v>
      </c>
      <c r="BQ58">
        <v>-9.1462977146727502E-34</v>
      </c>
      <c r="BS58">
        <v>-6.4896395164200937E-33</v>
      </c>
      <c r="BT58">
        <v>-1.4715273563059412E-32</v>
      </c>
    </row>
    <row r="59" spans="1:72" x14ac:dyDescent="0.2">
      <c r="A59" s="105">
        <f>'DATOS GENERALES'!A111:B111+AV59</f>
        <v>34.248918719002674</v>
      </c>
      <c r="B59" s="106"/>
      <c r="C59" s="105">
        <f>'DATOS GENERALES'!C111:D111+BC59</f>
        <v>35.251520415345901</v>
      </c>
      <c r="D59" s="106"/>
      <c r="E59" s="107">
        <f>'DATOS GENERALES'!E111:F111+T59</f>
        <v>20.45422096638497</v>
      </c>
      <c r="F59" s="108"/>
      <c r="G59" s="109">
        <f>'DATOS GENERALES'!G111:H111+AA59</f>
        <v>20.786416832831947</v>
      </c>
      <c r="H59" s="110"/>
      <c r="I59" s="111">
        <f>'DATOS GENERALES'!I111:J111+AH59</f>
        <v>54.721129919828414</v>
      </c>
      <c r="J59" s="112"/>
      <c r="K59" s="802">
        <f>'DATOS GENERALES'!K111:L111+AO59</f>
        <v>910.34412607728154</v>
      </c>
      <c r="L59" s="112"/>
      <c r="N59" s="599"/>
      <c r="O59" s="731" t="s">
        <v>621</v>
      </c>
      <c r="P59" s="732">
        <f>IF('DATOS GENERALES'!E111="","",'DATOS GENERALES'!E111)</f>
        <v>20.61</v>
      </c>
      <c r="S59" s="734">
        <f t="shared" si="50"/>
        <v>20.45422096638497</v>
      </c>
      <c r="T59" s="734">
        <f t="shared" si="51"/>
        <v>-0.15577903361502976</v>
      </c>
      <c r="U59" s="735">
        <f t="shared" si="52"/>
        <v>5.3999999999999999E-2</v>
      </c>
      <c r="V59" s="725"/>
      <c r="W59" s="737">
        <f>IF('DATOS GENERALES'!G111="","",'DATOS GENERALES'!G111)</f>
        <v>20.6</v>
      </c>
      <c r="Z59" s="734">
        <f t="shared" si="53"/>
        <v>20.786416832831947</v>
      </c>
      <c r="AA59" s="734">
        <f t="shared" si="54"/>
        <v>0.1864168328319451</v>
      </c>
      <c r="AB59" s="735">
        <f t="shared" si="55"/>
        <v>0.27981562539672183</v>
      </c>
      <c r="AC59" s="727"/>
      <c r="AD59" s="737">
        <f>IF('DATOS GENERALES'!I111="","",'DATOS GENERALES'!I111)</f>
        <v>54.9</v>
      </c>
      <c r="AG59" s="734">
        <f t="shared" si="56"/>
        <v>54.721129919828414</v>
      </c>
      <c r="AH59" s="734">
        <f t="shared" si="57"/>
        <v>-0.17887008017158479</v>
      </c>
      <c r="AI59" s="735">
        <f t="shared" si="58"/>
        <v>0.7609880348593383</v>
      </c>
      <c r="AJ59" s="725"/>
      <c r="AK59" s="737">
        <f>IF('DATOS GENERALES'!K111="","",'DATOS GENERALES'!K111)</f>
        <v>910</v>
      </c>
      <c r="AN59" s="734">
        <f t="shared" si="59"/>
        <v>910.34412607728154</v>
      </c>
      <c r="AO59" s="734">
        <f t="shared" si="60"/>
        <v>0.34412607728154399</v>
      </c>
      <c r="AP59" s="735">
        <f t="shared" si="61"/>
        <v>0.44000000659045196</v>
      </c>
      <c r="AQ59" s="725"/>
      <c r="AR59" s="737">
        <f>IF('DATOS GENERALES'!A111="","",'DATOS GENERALES'!A111)</f>
        <v>34.248910000000002</v>
      </c>
      <c r="AU59" s="734">
        <f t="shared" si="62"/>
        <v>34.248918719002674</v>
      </c>
      <c r="AV59" s="734">
        <f t="shared" si="63"/>
        <v>8.7190026718531044E-6</v>
      </c>
      <c r="AW59" s="735">
        <f t="shared" si="64"/>
        <v>1.0536014206624644E-4</v>
      </c>
      <c r="AX59" s="725"/>
      <c r="AY59" s="737">
        <f>IF('DATOS GENERALES'!C111="","",'DATOS GENERALES'!C111)</f>
        <v>35.251510000000003</v>
      </c>
      <c r="BB59" s="734">
        <f t="shared" si="65"/>
        <v>35.251520415345901</v>
      </c>
      <c r="BC59" s="734">
        <f t="shared" si="66"/>
        <v>1.0415345897740735E-5</v>
      </c>
      <c r="BD59" s="735">
        <f t="shared" si="67"/>
        <v>1.1142200750080544E-4</v>
      </c>
      <c r="BF59" s="1036"/>
      <c r="BG59" s="1038">
        <v>-2.0215568740022695E-16</v>
      </c>
      <c r="BH59" s="1038">
        <v>-3.7495830813205601E-17</v>
      </c>
      <c r="BI59" s="752">
        <v>7</v>
      </c>
      <c r="BL59" s="863"/>
      <c r="BM59" s="863">
        <v>-3.0660637721512388E-37</v>
      </c>
      <c r="BN59" s="863">
        <v>-2.4428879094585316E-37</v>
      </c>
      <c r="BP59">
        <v>-3.2117971716984173E-36</v>
      </c>
      <c r="BQ59">
        <v>1.1468578399505391E-38</v>
      </c>
      <c r="BS59">
        <v>2.1262748969308267E-37</v>
      </c>
      <c r="BT59">
        <v>3.6240858408417383E-37</v>
      </c>
    </row>
    <row r="60" spans="1:72" x14ac:dyDescent="0.2">
      <c r="A60" s="397"/>
      <c r="B60" s="397"/>
      <c r="C60" s="397"/>
      <c r="D60" s="397"/>
      <c r="E60" s="398"/>
      <c r="F60" s="398"/>
      <c r="G60" s="399"/>
      <c r="H60" s="399"/>
      <c r="I60" s="400"/>
      <c r="J60" s="401"/>
      <c r="K60" s="401"/>
      <c r="L60" s="401"/>
      <c r="N60" s="54"/>
      <c r="O60" s="731" t="s">
        <v>622</v>
      </c>
      <c r="P60" s="732"/>
      <c r="S60" s="734" t="str">
        <f t="shared" si="50"/>
        <v/>
      </c>
      <c r="T60" s="734" t="str">
        <f t="shared" si="51"/>
        <v/>
      </c>
      <c r="U60" s="735" t="str">
        <f t="shared" si="52"/>
        <v/>
      </c>
      <c r="V60" s="725"/>
      <c r="W60" s="771"/>
      <c r="Z60" s="734" t="str">
        <f t="shared" si="53"/>
        <v/>
      </c>
      <c r="AA60" s="734" t="str">
        <f t="shared" si="54"/>
        <v/>
      </c>
      <c r="AB60" s="735" t="str">
        <f t="shared" si="55"/>
        <v/>
      </c>
      <c r="AC60" s="727"/>
      <c r="AD60" s="771"/>
      <c r="AG60" s="734" t="str">
        <f t="shared" si="56"/>
        <v/>
      </c>
      <c r="AH60" s="734" t="str">
        <f t="shared" si="57"/>
        <v/>
      </c>
      <c r="AI60" s="735" t="str">
        <f t="shared" si="58"/>
        <v/>
      </c>
      <c r="AJ60" s="725"/>
      <c r="AK60" s="771"/>
      <c r="AN60" s="734" t="str">
        <f t="shared" si="59"/>
        <v/>
      </c>
      <c r="AO60" s="734" t="str">
        <f t="shared" si="60"/>
        <v/>
      </c>
      <c r="AP60" s="735" t="str">
        <f t="shared" si="61"/>
        <v/>
      </c>
      <c r="AQ60" s="725"/>
      <c r="AR60" s="771"/>
      <c r="AU60" s="734" t="str">
        <f t="shared" si="62"/>
        <v/>
      </c>
      <c r="AV60" s="734" t="str">
        <f t="shared" si="63"/>
        <v/>
      </c>
      <c r="AW60" s="735" t="str">
        <f t="shared" si="64"/>
        <v/>
      </c>
      <c r="AX60" s="725"/>
      <c r="AY60" s="771"/>
      <c r="BB60" s="734" t="str">
        <f t="shared" si="65"/>
        <v/>
      </c>
      <c r="BC60" s="734" t="str">
        <f t="shared" si="66"/>
        <v/>
      </c>
      <c r="BD60" s="735" t="str">
        <f t="shared" si="67"/>
        <v/>
      </c>
      <c r="BF60" s="1036"/>
      <c r="BG60" s="1038">
        <v>2.5258676631427641E-19</v>
      </c>
      <c r="BH60" s="1038">
        <v>4.7905032876379161E-20</v>
      </c>
      <c r="BI60" s="752">
        <v>8</v>
      </c>
    </row>
    <row r="61" spans="1:72" x14ac:dyDescent="0.2">
      <c r="N61" s="54"/>
      <c r="O61" s="743" t="s">
        <v>623</v>
      </c>
      <c r="P61" s="744"/>
      <c r="S61" s="734" t="str">
        <f t="shared" si="50"/>
        <v/>
      </c>
      <c r="T61" s="734" t="str">
        <f t="shared" si="51"/>
        <v/>
      </c>
      <c r="U61" s="735" t="str">
        <f t="shared" si="52"/>
        <v/>
      </c>
      <c r="V61" s="725"/>
      <c r="W61" s="771"/>
      <c r="Z61" s="734" t="str">
        <f t="shared" si="53"/>
        <v/>
      </c>
      <c r="AA61" s="734" t="str">
        <f t="shared" si="54"/>
        <v/>
      </c>
      <c r="AB61" s="735" t="str">
        <f t="shared" si="55"/>
        <v/>
      </c>
      <c r="AC61" s="727"/>
      <c r="AD61" s="771"/>
      <c r="AG61" s="734" t="str">
        <f t="shared" si="56"/>
        <v/>
      </c>
      <c r="AH61" s="734" t="str">
        <f t="shared" si="57"/>
        <v/>
      </c>
      <c r="AI61" s="735" t="str">
        <f t="shared" si="58"/>
        <v/>
      </c>
      <c r="AJ61" s="725"/>
      <c r="AK61" s="771"/>
      <c r="AN61" s="734" t="str">
        <f t="shared" si="59"/>
        <v/>
      </c>
      <c r="AO61" s="734" t="str">
        <f t="shared" si="60"/>
        <v/>
      </c>
      <c r="AP61" s="735" t="str">
        <f t="shared" si="61"/>
        <v/>
      </c>
      <c r="AQ61" s="725"/>
      <c r="AR61" s="771"/>
      <c r="AU61" s="734" t="str">
        <f t="shared" si="62"/>
        <v/>
      </c>
      <c r="AV61" s="734" t="str">
        <f t="shared" si="63"/>
        <v/>
      </c>
      <c r="AW61" s="735" t="str">
        <f t="shared" si="64"/>
        <v/>
      </c>
      <c r="AX61" s="725"/>
      <c r="AY61" s="771"/>
      <c r="BB61" s="734" t="str">
        <f t="shared" si="65"/>
        <v/>
      </c>
      <c r="BC61" s="734" t="str">
        <f t="shared" si="66"/>
        <v/>
      </c>
      <c r="BD61" s="735" t="str">
        <f t="shared" si="67"/>
        <v/>
      </c>
      <c r="BF61" s="1036"/>
      <c r="BG61" s="1038">
        <v>-1.8871873865480516E-22</v>
      </c>
      <c r="BH61" s="1038">
        <v>-3.6757203768418594E-23</v>
      </c>
      <c r="BI61" s="752">
        <v>9</v>
      </c>
      <c r="BL61" s="1" t="s">
        <v>438</v>
      </c>
      <c r="BM61" s="863">
        <v>-1.001498944719095E-301</v>
      </c>
      <c r="BN61" s="863">
        <v>0.16</v>
      </c>
      <c r="BP61">
        <v>-1.0004856654483451E-301</v>
      </c>
      <c r="BQ61">
        <v>0.16</v>
      </c>
      <c r="BS61">
        <v>1.1301932049889274E-2</v>
      </c>
      <c r="BT61">
        <v>7.7469022992432968E-2</v>
      </c>
    </row>
    <row r="62" spans="1:72" x14ac:dyDescent="0.2">
      <c r="N62" s="54"/>
      <c r="O62" s="731" t="s">
        <v>625</v>
      </c>
      <c r="P62" s="745">
        <f>AVERAGE(P50:P61)</f>
        <v>20.639000000000003</v>
      </c>
      <c r="S62" s="734">
        <f t="shared" si="50"/>
        <v>20.483233072657619</v>
      </c>
      <c r="T62" s="734">
        <f t="shared" si="51"/>
        <v>-0.15576692734238407</v>
      </c>
      <c r="U62" s="735">
        <f t="shared" si="52"/>
        <v>5.3999999999999999E-2</v>
      </c>
      <c r="V62" s="725"/>
      <c r="W62" s="747">
        <f>AVERAGE(W50:W61)</f>
        <v>20.599999999999998</v>
      </c>
      <c r="Z62" s="734">
        <f t="shared" si="53"/>
        <v>20.786416832831947</v>
      </c>
      <c r="AA62" s="734">
        <f t="shared" si="54"/>
        <v>0.18641683283194865</v>
      </c>
      <c r="AB62" s="735">
        <f t="shared" si="55"/>
        <v>0.27981562539672206</v>
      </c>
      <c r="AC62" s="727"/>
      <c r="AD62" s="747">
        <f>AVERAGE(AD50:AD61)</f>
        <v>55.38000000000001</v>
      </c>
      <c r="AG62" s="734">
        <f t="shared" si="56"/>
        <v>55.236261214322802</v>
      </c>
      <c r="AH62" s="734">
        <f t="shared" si="57"/>
        <v>-0.14373878567720766</v>
      </c>
      <c r="AI62" s="735">
        <f t="shared" si="58"/>
        <v>0.76297740875281184</v>
      </c>
      <c r="AJ62" s="725"/>
      <c r="AK62" s="747">
        <f>AVERAGE(AK50:AK61)</f>
        <v>910.4</v>
      </c>
      <c r="AN62" s="734">
        <f t="shared" si="59"/>
        <v>910.74263755896754</v>
      </c>
      <c r="AO62" s="734">
        <f t="shared" si="60"/>
        <v>0.3426375589675672</v>
      </c>
      <c r="AP62" s="735">
        <f t="shared" si="61"/>
        <v>0.44000000663041522</v>
      </c>
      <c r="AQ62" s="725"/>
      <c r="AR62" s="861">
        <f>AVERAGE(AY50-AR50,AY51-AR51,AY52-AR52,AY53-AR53,AY54-AR54,AY55-AR55,AY56-AR56,AY57-AR57,AY58-AR58,AY59-AR59)</f>
        <v>1.0017120000000002</v>
      </c>
      <c r="AU62" s="734">
        <f>IF(AR62="","",IF(AR62&lt;50,$BG$27+$BG$28*AR62+$BG$29*AR62^2+$BG$30*AR62^3+$BG$31*AR62^4+$BG$32*AR62^5+$BG$33*AR62^6+$BG$34*AR62^7+$BG$35*AR62^8+$BG$36*AR62^9+$BG$37*AR62^10+$BG$38*AR62^11,$BG$40+$BG$41*AR62+$BG$42*AR62^2+$BG$43*AR62^3+$BG$44*AR62^4+$BG$45*AR62^5+$BG$46*AR62^6+$BG$47*AR62^7+$BG$48*AR62^8+$BG$49*AR62^9+$BG$50*AR62^10+$BG$51*AR62^11))</f>
        <v>1.001781521989481</v>
      </c>
      <c r="AV62" s="734">
        <f t="shared" si="63"/>
        <v>6.9521989480847424E-5</v>
      </c>
      <c r="AW62" s="735">
        <f>IF(AR62="","",IF(AR62&lt;50,$BH$27+$BH$28*AR62+$BH$29*AR62^2+$BH$30*AR62^3+$BH$31*AR62^4+$BH$32*AR62^5+$BH$33*AR62^6+$BH$34*AR62^7+$BH$35*AR62^8+$BH$36*AR62^9+$BH$37*AR62^10+$BH$38*AR62^11,$BH$40+$BH$41*AR62+$BH$42*AR62^2+$BH$43*AR62^3+$BH$44*AR62^4+$BH$45*AR62^5+$BH$46*AR62^6+$BH$47*AR62^7+$BH$48*AR62^8+$BH$49*AR62^9+$BH$50*AR62^10+$BH$51*AR62^11))</f>
        <v>1.9021942282737954E-4</v>
      </c>
      <c r="AX62" s="725"/>
      <c r="AY62" s="861">
        <f>AVERAGE(BB50-AU50,BB51-AU51,BB52-AU52,BB53-AU53,BB54-AU54,BB55-AU55,BB56-AU56,BB57-AU57,BB58-AU58,BB59-AU59)</f>
        <v>1.0017133821341244</v>
      </c>
      <c r="BB62" s="734">
        <f>AVERAGE(BB50-AU50,BB51-AU51,BB52-AU52,BB53-AU53,BB54-AU54,BB55-AU55,BB56-AU56,BB57-AU57,BB58-AU58,BB59-AU59)</f>
        <v>1.0017133821341244</v>
      </c>
      <c r="BC62" s="734">
        <f>IF(AY62="","",BB62-AY62)</f>
        <v>0</v>
      </c>
      <c r="BD62" s="735">
        <f>IF(AY62="","",IF(AR62&lt;50,$BH$27+$BH$28*AR62+$BH$29*AR62^2+$BH$30*AR62^3+$BH$31*AR62^4+$BH$32*AR62^5+$BH$33*AR62^6+$BH$34*AR62^7+$BH$35*AR62^8+$BH$36*AR62^9+$BH$37*AR62^10+$BH$38*AR62^11,$BH$40+$BH$41*AR62+$BH$42*AR62^2+$BH$43*AR62^3+$BH$44*AR62^4+$BH$45*AR62^5+$BH$46*AR62^6+$BH$47*AR62^7+$BH$48*AR62^8+$BH$49*AR62^9+$BH$50*AR62^10+$BH$51*AR62^11))</f>
        <v>1.9021942282737954E-4</v>
      </c>
      <c r="BF62" s="1036"/>
      <c r="BG62" s="1038">
        <v>7.7587428587900299E-26</v>
      </c>
      <c r="BH62" s="1038">
        <v>1.5511556271887025E-26</v>
      </c>
      <c r="BI62" s="752">
        <v>10</v>
      </c>
      <c r="BM62" s="863">
        <v>1.0014989447190545</v>
      </c>
      <c r="BN62" s="863">
        <v>-3.4617574571709815E-5</v>
      </c>
      <c r="BP62">
        <v>1.0004856654483105</v>
      </c>
      <c r="BQ62">
        <v>-3.4620110599593764E-5</v>
      </c>
      <c r="BS62">
        <v>0.99976391981602375</v>
      </c>
      <c r="BT62">
        <v>9.4668134493380987E-5</v>
      </c>
    </row>
    <row r="63" spans="1:72" x14ac:dyDescent="0.2">
      <c r="N63" s="54"/>
      <c r="O63" s="731" t="s">
        <v>626</v>
      </c>
      <c r="P63" s="745">
        <f>MIN(P50:P61)</f>
        <v>20.61</v>
      </c>
      <c r="S63" s="734">
        <f t="shared" si="50"/>
        <v>20.45422096638497</v>
      </c>
      <c r="T63" s="734">
        <f t="shared" si="51"/>
        <v>-0.15577903361502976</v>
      </c>
      <c r="U63" s="735">
        <f t="shared" si="52"/>
        <v>5.3999999999999999E-2</v>
      </c>
      <c r="V63" s="725"/>
      <c r="W63" s="747">
        <f>MIN(W50:W61)</f>
        <v>20.6</v>
      </c>
      <c r="Z63" s="734">
        <f t="shared" si="53"/>
        <v>20.786416832831947</v>
      </c>
      <c r="AA63" s="734">
        <f t="shared" si="54"/>
        <v>0.1864168328319451</v>
      </c>
      <c r="AB63" s="735">
        <f t="shared" si="55"/>
        <v>0.27981562539672183</v>
      </c>
      <c r="AC63" s="727"/>
      <c r="AD63" s="747">
        <f>MIN(AD50:AD61)</f>
        <v>54.5</v>
      </c>
      <c r="AG63" s="734">
        <f t="shared" si="56"/>
        <v>54.29141783194715</v>
      </c>
      <c r="AH63" s="734">
        <f t="shared" si="57"/>
        <v>-0.20858216805284968</v>
      </c>
      <c r="AI63" s="735">
        <f t="shared" si="58"/>
        <v>0.75931990631004731</v>
      </c>
      <c r="AJ63" s="725"/>
      <c r="AK63" s="747">
        <f>MIN(AK50:AK61)</f>
        <v>910</v>
      </c>
      <c r="AN63" s="734">
        <f t="shared" si="59"/>
        <v>910.34412607728154</v>
      </c>
      <c r="AO63" s="734">
        <f t="shared" si="60"/>
        <v>0.34412607728154399</v>
      </c>
      <c r="AP63" s="735">
        <f t="shared" si="61"/>
        <v>0.44000000659045196</v>
      </c>
      <c r="AQ63" s="725"/>
      <c r="AR63" s="861">
        <f>MIN(AY50-AR50,AY51-AR51,AY52-AR52,AY53-AR53,AY54-AR54,AY55-AR55,AY56-AR56,AY57-AR57,AY58-AR58,AY59-AR59)</f>
        <v>1.0003099999999989</v>
      </c>
      <c r="AU63" s="734">
        <f t="shared" ref="AU63:AU64" si="68">IF(AR63="","",IF(AR63&lt;50,$BG$27+$BG$28*AR63+$BG$29*AR63^2+$BG$30*AR63^3+$BG$31*AR63^4+$BG$32*AR63^5+$BG$33*AR63^6+$BG$34*AR63^7+$BG$35*AR63^8+$BG$36*AR63^9+$BG$37*AR63^10+$BG$38*AR63^11,$BG$40+$BG$41*AR63+$BG$42*AR63^2+$BG$43*AR63^3+$BG$44*AR63^4+$BG$45*AR63^5+$BG$46*AR63^6+$BG$47*AR63^7+$BG$48*AR63^8+$BG$49*AR63^9+$BG$50*AR63^10+$BG$51*AR63^11))</f>
        <v>1.000379484335058</v>
      </c>
      <c r="AV63" s="734">
        <f t="shared" si="63"/>
        <v>6.9484335059044611E-5</v>
      </c>
      <c r="AW63" s="735">
        <f t="shared" ref="AW63:AW64" si="69">IF(AR63="","",IF(AR63&lt;50,$BH$27+$BH$28*AR63+$BH$29*AR63^2+$BH$30*AR63^3+$BH$31*AR63^4+$BH$32*AR63^5+$BH$33*AR63^6+$BH$34*AR63^7+$BH$35*AR63^8+$BH$36*AR63^9+$BH$37*AR63^10+$BH$38*AR63^11,$BH$40+$BH$41*AR63+$BH$42*AR63^2+$BH$43*AR63^3+$BH$44*AR63^4+$BH$45*AR63^5+$BH$46*AR63^6+$BH$47*AR63^7+$BH$48*AR63^8+$BH$49*AR63^9+$BH$50*AR63^10+$BH$51*AR63^11))</f>
        <v>1.9012062867105771E-4</v>
      </c>
      <c r="AX63" s="725"/>
      <c r="AY63" s="861">
        <f>MIN(BB50-AU50,BB51-AU51,BB52-AU52,BB53-AU53,BB54-AU54,BB55-AU55,BB56-AU56,BB57-AU57,BB58-AU58,BB59-AU59)</f>
        <v>1.0003108790606348</v>
      </c>
      <c r="BB63" s="734">
        <f>MIN(BB50-AU50,BB51-AU51,BB52-AU52,BB53-AU53,BB54-AU54,BB55-AU55,BB56-AU56,BB57-AU57,BB58-AU58,BB59-AU59)</f>
        <v>1.0003108790606348</v>
      </c>
      <c r="BC63" s="734">
        <f t="shared" ref="BC63:BC64" si="70">IF(AY63="","",BB63-AY63)</f>
        <v>0</v>
      </c>
      <c r="BD63" s="735">
        <f t="shared" ref="BD63:BD64" si="71">IF(AY63="","",IF(AR63&lt;50,$BH$27+$BH$28*AR63+$BH$29*AR63^2+$BH$30*AR63^3+$BH$31*AR63^4+$BH$32*AR63^5+$BH$33*AR63^6+$BH$34*AR63^7+$BH$35*AR63^8+$BH$36*AR63^9+$BH$37*AR63^10+$BH$38*AR63^11,$BH$40+$BH$41*AR63+$BH$42*AR63^2+$BH$43*AR63^3+$BH$44*AR63^4+$BH$45*AR63^5+$BH$46*AR63^6+$BH$47*AR63^7+$BH$48*AR63^8+$BH$49*AR63^9+$BH$50*AR63^10+$BH$51*AR63^11))</f>
        <v>1.9012062867105771E-4</v>
      </c>
      <c r="BF63" s="1037"/>
      <c r="BG63" s="1038">
        <v>-1.3499822255901131E-29</v>
      </c>
      <c r="BH63" s="1038">
        <v>-2.7642632241998564E-30</v>
      </c>
      <c r="BI63" s="752">
        <v>11</v>
      </c>
      <c r="BM63" s="863">
        <v>-1.3282100011890573E-6</v>
      </c>
      <c r="BN63" s="863">
        <v>2.988290386624195E-8</v>
      </c>
      <c r="BP63">
        <v>-4.4968764606077502E-7</v>
      </c>
      <c r="BQ63">
        <v>2.9885049531189421E-8</v>
      </c>
      <c r="BS63">
        <v>2.043748069161487E-7</v>
      </c>
      <c r="BT63">
        <v>-8.2414958763076319E-8</v>
      </c>
    </row>
    <row r="64" spans="1:72" x14ac:dyDescent="0.2">
      <c r="N64" s="54"/>
      <c r="O64" s="731" t="s">
        <v>627</v>
      </c>
      <c r="P64" s="745">
        <f>MAX(P50:P61)</f>
        <v>20.68</v>
      </c>
      <c r="S64" s="734">
        <f t="shared" si="50"/>
        <v>20.524249585549587</v>
      </c>
      <c r="T64" s="734">
        <f t="shared" si="51"/>
        <v>-0.15575041445041293</v>
      </c>
      <c r="U64" s="735">
        <f t="shared" si="52"/>
        <v>5.3999999999999999E-2</v>
      </c>
      <c r="V64" s="725"/>
      <c r="W64" s="747">
        <f>MAX(W50:W61)</f>
        <v>20.6</v>
      </c>
      <c r="Z64" s="734">
        <f t="shared" si="53"/>
        <v>20.786416832831947</v>
      </c>
      <c r="AA64" s="734">
        <f t="shared" si="54"/>
        <v>0.1864168328319451</v>
      </c>
      <c r="AB64" s="735">
        <f t="shared" si="55"/>
        <v>0.27981562539672183</v>
      </c>
      <c r="AC64" s="727"/>
      <c r="AD64" s="747">
        <f>MAX(AD50:AD61)</f>
        <v>56</v>
      </c>
      <c r="AG64" s="734">
        <f t="shared" si="56"/>
        <v>55.90079436867709</v>
      </c>
      <c r="AH64" s="734">
        <f t="shared" si="57"/>
        <v>-9.9205631322909937E-2</v>
      </c>
      <c r="AI64" s="735">
        <f t="shared" si="58"/>
        <v>0.76552702756646807</v>
      </c>
      <c r="AJ64" s="725"/>
      <c r="AK64" s="747">
        <f>MAX(AK50:AK61)</f>
        <v>911</v>
      </c>
      <c r="AN64" s="734">
        <f t="shared" si="59"/>
        <v>911.34039976853819</v>
      </c>
      <c r="AO64" s="734">
        <f t="shared" si="60"/>
        <v>0.34039976853819098</v>
      </c>
      <c r="AP64" s="735">
        <f t="shared" si="61"/>
        <v>0.44000000669050343</v>
      </c>
      <c r="AQ64" s="725"/>
      <c r="AR64" s="861">
        <f>MAX(AY50-AR50,AY51-AR51,AY52-AR52,AY53-AR53,AY54-AR54,AY55-AR55,AY56-AR56,AY57-AR57,AY58-AR58,AY59-AR59)</f>
        <v>1.0028900000000007</v>
      </c>
      <c r="AU64" s="734">
        <f t="shared" si="68"/>
        <v>1.0029595535243425</v>
      </c>
      <c r="AV64" s="734">
        <f t="shared" si="63"/>
        <v>6.9553524341792183E-5</v>
      </c>
      <c r="AW64" s="735">
        <f t="shared" si="69"/>
        <v>1.9030219348253988E-4</v>
      </c>
      <c r="AX64" s="725"/>
      <c r="AY64" s="861">
        <f>MAX(BB50-AU50,BB51-AU51,BB52-AU52,BB53-AU53,BB54-AU54,BB55-AU55,BB56-AU56,BB57-AU57,BB58-AU58,BB59-AU59)</f>
        <v>1.0028916790615696</v>
      </c>
      <c r="BB64" s="734">
        <f>MAX(BB50-AU50,BB51-AU51,BB52-AU52,BB53-AU53,BB54-AU54,BB55-AU55,BB56-AU56,BB57-AU57,BB58-AU58,BB59-AU59)</f>
        <v>1.0028916790615696</v>
      </c>
      <c r="BC64" s="734">
        <f t="shared" si="70"/>
        <v>0</v>
      </c>
      <c r="BD64" s="735">
        <f t="shared" si="71"/>
        <v>1.9030219348253988E-4</v>
      </c>
      <c r="BF64" s="128"/>
      <c r="BG64" s="128"/>
      <c r="BH64" s="128"/>
      <c r="BI64" s="128"/>
      <c r="BM64" s="863">
        <v>4.660210201438951E-10</v>
      </c>
      <c r="BN64" s="863">
        <v>-1.0115092199944035E-11</v>
      </c>
      <c r="BP64">
        <v>1.6649351554916227E-10</v>
      </c>
      <c r="BQ64">
        <v>-1.0115793312079179E-11</v>
      </c>
      <c r="BS64">
        <v>-7.1545335244224898E-11</v>
      </c>
      <c r="BT64">
        <v>2.9134161704966517E-11</v>
      </c>
    </row>
    <row r="65" spans="1:72" ht="15" x14ac:dyDescent="0.2">
      <c r="N65" s="54"/>
      <c r="O65" s="774"/>
      <c r="P65" s="770"/>
      <c r="U65" s="123"/>
      <c r="V65" s="725"/>
      <c r="W65" s="771"/>
      <c r="AB65" s="123"/>
      <c r="AC65" s="727"/>
      <c r="AD65" s="771"/>
      <c r="AI65" s="123"/>
      <c r="AJ65" s="725"/>
      <c r="AK65" s="771"/>
      <c r="AP65" s="123"/>
      <c r="AQ65" s="725"/>
      <c r="AR65" s="771"/>
      <c r="AW65" s="123"/>
      <c r="AX65" s="725"/>
      <c r="AY65" s="771"/>
      <c r="BD65" s="123"/>
      <c r="BF65" s="772"/>
      <c r="BG65" s="749" t="s">
        <v>605</v>
      </c>
      <c r="BH65" s="749" t="s">
        <v>606</v>
      </c>
      <c r="BI65" s="750"/>
      <c r="BM65" s="863">
        <v>-8.6793911579827922E-14</v>
      </c>
      <c r="BN65" s="863">
        <v>1.808786009108688E-15</v>
      </c>
      <c r="BP65">
        <v>-3.2948999549071864E-14</v>
      </c>
      <c r="BQ65">
        <v>1.808904103921573E-15</v>
      </c>
      <c r="BS65">
        <v>1.340297449692477E-14</v>
      </c>
      <c r="BT65">
        <v>-5.4851242274781327E-15</v>
      </c>
    </row>
    <row r="66" spans="1:72" ht="36" x14ac:dyDescent="0.2">
      <c r="N66" s="54"/>
      <c r="O66" s="720"/>
      <c r="P66" s="757" t="s">
        <v>75</v>
      </c>
      <c r="Q66" s="758"/>
      <c r="R66" s="759"/>
      <c r="S66" s="759"/>
      <c r="T66" s="759"/>
      <c r="U66" s="760"/>
      <c r="V66" s="761"/>
      <c r="W66" s="762" t="s">
        <v>172</v>
      </c>
      <c r="X66" s="758"/>
      <c r="Y66" s="759"/>
      <c r="Z66" s="759"/>
      <c r="AA66" s="759"/>
      <c r="AB66" s="760"/>
      <c r="AC66" s="763"/>
      <c r="AD66" s="762" t="s">
        <v>174</v>
      </c>
      <c r="AE66" s="758"/>
      <c r="AF66" s="759"/>
      <c r="AG66" s="759"/>
      <c r="AH66" s="759"/>
      <c r="AI66" s="760"/>
      <c r="AJ66" s="761"/>
      <c r="AK66" s="762" t="s">
        <v>173</v>
      </c>
      <c r="AL66" s="758"/>
      <c r="AM66" s="759"/>
      <c r="AN66" s="759"/>
      <c r="AO66" s="759"/>
      <c r="AP66" s="760"/>
      <c r="AQ66" s="761"/>
      <c r="AR66" s="762" t="s">
        <v>603</v>
      </c>
      <c r="AS66" s="758"/>
      <c r="AT66" s="759"/>
      <c r="AU66" s="759"/>
      <c r="AV66" s="759"/>
      <c r="AW66" s="760"/>
      <c r="AX66" s="761"/>
      <c r="AY66" s="762" t="s">
        <v>604</v>
      </c>
      <c r="AZ66" s="758"/>
      <c r="BA66" s="759"/>
      <c r="BB66" s="759"/>
      <c r="BC66" s="759"/>
      <c r="BD66" s="760"/>
      <c r="BF66" s="751" t="s">
        <v>441</v>
      </c>
      <c r="BG66" s="1039">
        <v>-1.5478063307794443E-4</v>
      </c>
      <c r="BH66" s="1039">
        <v>8.4061816345591348E-3</v>
      </c>
      <c r="BI66" s="752">
        <v>1</v>
      </c>
      <c r="BM66" s="863">
        <v>9.6110522279108102E-18</v>
      </c>
      <c r="BN66" s="863">
        <v>-1.9247055294211573E-19</v>
      </c>
      <c r="BP66">
        <v>3.8871435539215929E-18</v>
      </c>
      <c r="BQ66">
        <v>-1.9248195100914434E-19</v>
      </c>
      <c r="BS66">
        <v>-1.5012568857549305E-18</v>
      </c>
      <c r="BT66">
        <v>6.1533191039507106E-19</v>
      </c>
    </row>
    <row r="67" spans="1:72" ht="12.75" customHeight="1" x14ac:dyDescent="0.25">
      <c r="A67" s="1622" t="s">
        <v>73</v>
      </c>
      <c r="B67" s="1623"/>
      <c r="C67" s="1622" t="s">
        <v>74</v>
      </c>
      <c r="D67" s="1623"/>
      <c r="E67" s="1624" t="s">
        <v>75</v>
      </c>
      <c r="F67" s="1625"/>
      <c r="G67" s="1624" t="s">
        <v>172</v>
      </c>
      <c r="H67" s="1625"/>
      <c r="I67" s="1624" t="s">
        <v>174</v>
      </c>
      <c r="J67" s="1625"/>
      <c r="K67" s="1620" t="s">
        <v>173</v>
      </c>
      <c r="L67" s="1621"/>
      <c r="N67" s="54"/>
      <c r="O67" s="720"/>
      <c r="P67" s="765" t="s">
        <v>608</v>
      </c>
      <c r="Q67" s="766"/>
      <c r="R67" s="766"/>
      <c r="S67" s="767" t="s">
        <v>609</v>
      </c>
      <c r="T67" s="201" t="s">
        <v>610</v>
      </c>
      <c r="U67" s="768" t="s">
        <v>611</v>
      </c>
      <c r="V67" s="725"/>
      <c r="W67" s="90" t="s">
        <v>608</v>
      </c>
      <c r="X67" s="766"/>
      <c r="Y67" s="766"/>
      <c r="Z67" s="767" t="s">
        <v>609</v>
      </c>
      <c r="AA67" s="201" t="s">
        <v>610</v>
      </c>
      <c r="AB67" s="768" t="s">
        <v>611</v>
      </c>
      <c r="AC67" s="727"/>
      <c r="AD67" s="90" t="s">
        <v>608</v>
      </c>
      <c r="AE67" s="749" t="s">
        <v>607</v>
      </c>
      <c r="AF67" s="749" t="s">
        <v>606</v>
      </c>
      <c r="AG67" s="767" t="s">
        <v>609</v>
      </c>
      <c r="AH67" s="201" t="s">
        <v>610</v>
      </c>
      <c r="AI67" s="768" t="s">
        <v>611</v>
      </c>
      <c r="AJ67" s="725"/>
      <c r="AK67" s="90" t="s">
        <v>608</v>
      </c>
      <c r="AL67" s="749" t="s">
        <v>607</v>
      </c>
      <c r="AM67" s="749" t="s">
        <v>606</v>
      </c>
      <c r="AN67" s="767" t="s">
        <v>609</v>
      </c>
      <c r="AO67" s="201" t="s">
        <v>610</v>
      </c>
      <c r="AP67" s="768" t="s">
        <v>611</v>
      </c>
      <c r="AQ67" s="725"/>
      <c r="AR67" s="90" t="s">
        <v>608</v>
      </c>
      <c r="AS67" s="749" t="s">
        <v>607</v>
      </c>
      <c r="AT67" s="749" t="s">
        <v>606</v>
      </c>
      <c r="AU67" s="767" t="s">
        <v>609</v>
      </c>
      <c r="AV67" s="201" t="s">
        <v>610</v>
      </c>
      <c r="AW67" s="768" t="s">
        <v>611</v>
      </c>
      <c r="AX67" s="725"/>
      <c r="AY67" s="90" t="s">
        <v>608</v>
      </c>
      <c r="AZ67" s="749" t="s">
        <v>607</v>
      </c>
      <c r="BA67" s="749" t="s">
        <v>606</v>
      </c>
      <c r="BB67" s="767" t="s">
        <v>609</v>
      </c>
      <c r="BC67" s="201" t="s">
        <v>610</v>
      </c>
      <c r="BD67" s="768" t="s">
        <v>611</v>
      </c>
      <c r="BF67" s="1036"/>
      <c r="BG67" s="1039">
        <v>1.0000313901018245</v>
      </c>
      <c r="BH67" s="1039">
        <v>-4.1936476658502531E-5</v>
      </c>
      <c r="BI67" s="752">
        <v>2</v>
      </c>
      <c r="BM67" s="863">
        <v>-6.6469243734359383E-22</v>
      </c>
      <c r="BN67" s="863">
        <v>1.2863863982588204E-23</v>
      </c>
      <c r="BP67">
        <v>-2.8603413641233705E-22</v>
      </c>
      <c r="BQ67">
        <v>1.2864517567492948E-23</v>
      </c>
      <c r="BS67">
        <v>1.0550976040391304E-22</v>
      </c>
      <c r="BT67">
        <v>-4.3118922503893046E-23</v>
      </c>
    </row>
    <row r="68" spans="1:72" ht="12.75" customHeight="1" x14ac:dyDescent="0.2">
      <c r="A68" s="105" t="e">
        <f>'DATOS GENERALES'!A118:B118+AV68</f>
        <v>#VALUE!</v>
      </c>
      <c r="B68" s="106"/>
      <c r="C68" s="105" t="e">
        <f>'DATOS GENERALES'!C118:D118+BC68</f>
        <v>#VALUE!</v>
      </c>
      <c r="D68" s="106"/>
      <c r="E68" s="107" t="e">
        <f>'DATOS GENERALES'!E118:F118+T68</f>
        <v>#VALUE!</v>
      </c>
      <c r="F68" s="108"/>
      <c r="G68" s="109" t="e">
        <f>'DATOS GENERALES'!G118:H118+AA68</f>
        <v>#VALUE!</v>
      </c>
      <c r="H68" s="110"/>
      <c r="I68" s="111" t="e">
        <f>'DATOS GENERALES'!I118:J118+AH68</f>
        <v>#VALUE!</v>
      </c>
      <c r="J68" s="112"/>
      <c r="K68" s="802" t="e">
        <f>'DATOS GENERALES'!K118:L118+AO68</f>
        <v>#VALUE!</v>
      </c>
      <c r="L68" s="112"/>
      <c r="N68" s="54">
        <v>4</v>
      </c>
      <c r="O68" s="731" t="s">
        <v>612</v>
      </c>
      <c r="P68" s="732" t="str">
        <f>IF('DATOS GENERALES'!E118="","",'DATOS GENERALES'!E118)</f>
        <v/>
      </c>
      <c r="S68" s="734" t="str">
        <f>IF(P68="","",$Q$14+$Q$15*P68+$Q$16*P68^2+$Q$17*P68^3+$Q$18*P68^4+$Q$19*P68^5+$Q$20*P68^6+$Q$21*P68^7+$Q$22*P68^8+$Q$23*P68^9+$Q$24*P68^10+$Q$25*P68^11)</f>
        <v/>
      </c>
      <c r="T68" s="734" t="str">
        <f>IF(P68="","",S68-P68)</f>
        <v/>
      </c>
      <c r="U68" s="735" t="str">
        <f>IF(P68="","",$R$14+$R$15*P68+$R$16*P68^2+$R$17*P68^3+$R$18*P68^4+$R$19*P68^5+$R$20*P68^6+$R$21*P68^7+$R$22*P68^8+$R$23*P68^9+$R$24*P68^10+$R$25*P68^11)</f>
        <v/>
      </c>
      <c r="V68" s="725"/>
      <c r="W68" s="737" t="str">
        <f>IF('DATOS GENERALES'!G118="","",'DATOS GENERALES'!G118)</f>
        <v/>
      </c>
      <c r="Z68" s="734" t="str">
        <f>IF(W68="","",$X$14+$X$15*W68+$X$16*W68^2+$X$17*W68^3+$X$18*W68^4+$X$19*W68^5+$X$20*W68^6+$X$21*W68^7+$X$22*W68^8+$X$23*W68^9+$X$24*W68^10+$X$25*W68^11)</f>
        <v/>
      </c>
      <c r="AA68" s="734" t="str">
        <f>IF(W68="","",Z68-W68)</f>
        <v/>
      </c>
      <c r="AB68" s="735" t="str">
        <f>IF(W68="","",$Y$14+$Y$15*W68+$Y$16*W68^2+$Y$17*W68^3+$Y$18*W68^4+$Y$19*W68^5+$Y$20*W68^6+$Y$21*W68^7+$Y$22*W68^8+$Y$23*W68^9+$Y$24*W68^10+$Y$25*W68^11)</f>
        <v/>
      </c>
      <c r="AC68" s="727"/>
      <c r="AD68" s="737" t="str">
        <f>IF('DATOS GENERALES'!I118="","",'DATOS GENERALES'!I118)</f>
        <v/>
      </c>
      <c r="AG68" s="734" t="e">
        <f>$AE$14+$AE$15*AD68+$AE$16*AD68^2+$AE$17*AD68^3+$AE$18*AD68^4+$AE$19*AD68^5+$AE$20*AD68^6+$AE$21*AD68^7+$AE$22*AD68^8+$AE$23*AD68^9+$AE$24*AD68^10+$AE$25*AD68^11</f>
        <v>#VALUE!</v>
      </c>
      <c r="AH68" s="734" t="e">
        <f>AG68-AD68</f>
        <v>#VALUE!</v>
      </c>
      <c r="AI68" s="735" t="e">
        <f>$AF$14+$AF$15*AD68+$AF$16*AD68^2+$AF$17*AD68^3+$AF$18*AD68^4+$AF$19*AD68^5+$AF$20*AD68^6+$AF$21*AD68^7+$AF$22*AD68^8+$AF$23*AD68^9+$AF$24*AD68^10+$AF$25*AD68^11</f>
        <v>#VALUE!</v>
      </c>
      <c r="AJ68" s="725"/>
      <c r="AK68" s="737" t="str">
        <f>IF('DATOS GENERALES'!K118="","",'DATOS GENERALES'!K118)</f>
        <v/>
      </c>
      <c r="AN68" s="734" t="str">
        <f>IF(AK68="","",$AL$14+$AL$15*AK68+$AL$16*AK68^2+$AL$17*AK68^3+$AL$18*AK68^4+$AL$19*AK68^5+$AL$20*AK68^6+$AL$21*AK68^7+$AL$22*AK68^8+$AL$23*AK68^9+$AL$24*AK68^10+$AL$25*AK68^11)</f>
        <v/>
      </c>
      <c r="AO68" s="734" t="str">
        <f>IF(AK68="","",AN68-AK68)</f>
        <v/>
      </c>
      <c r="AP68" s="735" t="str">
        <f>IF(AK68="","",$AM$14+$AM$15*AK68+$AM$16*AK68^2+$AM$17*AK68^3+$AM$18*AK68^4+$AM$19*AK68^5+$AM$20*AK68^6+$AM$21*AK68^7+$AM$22*AK68^8+$AM$23*AK68^9+$AM$24*AK68^10+$AM$25*AK68^11)</f>
        <v/>
      </c>
      <c r="AQ68" s="725"/>
      <c r="AR68" s="737" t="str">
        <f>IF('DATOS GENERALES'!A118="","",'DATOS GENERALES'!A118)</f>
        <v/>
      </c>
      <c r="AU68" s="734" t="str">
        <f>IF(AR68="","",$AS$14+$AS$15*AR68+$AS$16*AR68^2+$AS$17*AR68^3+$AS$18*AR68^4+$AS$19*AR68^5+$AS$20*AR68^6+$AS$21*AR68^7+$AS$22*AR68^8+$AS$23*AR68^9+$AS$24*AR68^10+$AS$25*AR68^11)</f>
        <v/>
      </c>
      <c r="AV68" s="734" t="str">
        <f>IF(AR68="","",AU68-AR68)</f>
        <v/>
      </c>
      <c r="AW68" s="735" t="str">
        <f>IF(AR68="","",$AT$14+$AT$15*AR68+$AT$16*AR68^2+$AT$17*AR68^3+$AT$18*AR68^4+$AT$19*AR68^5+$AT$20*AR68^6+$AT$21*AR68^7+$AT$22*AR68^8+$AT$23*AR68^9+$AT$24*AR68^10+$AT$25*AR68^11)</f>
        <v/>
      </c>
      <c r="AX68" s="725"/>
      <c r="AY68" s="737" t="str">
        <f>IF('DATOS GENERALES'!C118="","",'DATOS GENERALES'!C118)</f>
        <v/>
      </c>
      <c r="BB68" s="734" t="str">
        <f>IF(AY68="","",$AZ$14+$AZ$15*AY68+$AZ$16*AY68^2+$AZ$17*AY68^3+$AZ$18*AY68^4+$AZ$19*AY68^5+$AZ$20*AY68^6+$AZ$21*AY68^7+$AZ$22*AY68^8+$AZ$23*AY68^9+$AZ$24*AY68^10+$AZ$25*AY68^11)</f>
        <v/>
      </c>
      <c r="BC68" s="734" t="str">
        <f>IF(AY68="","",BB68-AY68)</f>
        <v/>
      </c>
      <c r="BD68" s="735" t="str">
        <f>IF(AY68="","",$BA$14+$BA$15*AY68+$BA$16*AY68^2+$BA$17*AY68^3+$BA$18*AY68^4+$BA$19*AY68^5+$BA$20*AY68^6+$BA$21*AY68^7+$BA$22*AY68^8+$BA$23*AY68^9+$BA$24*AY68^10+$BA$25*AY68^11)</f>
        <v/>
      </c>
      <c r="BF68" s="1036"/>
      <c r="BG68" s="1039">
        <v>-8.723636096309717E-8</v>
      </c>
      <c r="BH68" s="1039">
        <v>1.4095615258208734E-7</v>
      </c>
      <c r="BI68" s="752">
        <v>3</v>
      </c>
      <c r="BM68" s="863">
        <v>2.9001622123367071E-26</v>
      </c>
      <c r="BN68" s="863">
        <v>-5.4639693983269685E-28</v>
      </c>
      <c r="BP68">
        <v>1.3227991452844882E-26</v>
      </c>
      <c r="BQ68">
        <v>-5.4641882634062028E-28</v>
      </c>
      <c r="BS68">
        <v>-4.6950317914392444E-27</v>
      </c>
      <c r="BT68">
        <v>1.9043376904382201E-27</v>
      </c>
    </row>
    <row r="69" spans="1:72" x14ac:dyDescent="0.2">
      <c r="A69" s="105" t="e">
        <f>'DATOS GENERALES'!A119:B119+AV69</f>
        <v>#VALUE!</v>
      </c>
      <c r="B69" s="106"/>
      <c r="C69" s="105" t="e">
        <f>'DATOS GENERALES'!C119:D119+BC69</f>
        <v>#VALUE!</v>
      </c>
      <c r="D69" s="106"/>
      <c r="E69" s="107" t="e">
        <f>'DATOS GENERALES'!E119:F119+T69</f>
        <v>#VALUE!</v>
      </c>
      <c r="F69" s="108"/>
      <c r="G69" s="109" t="e">
        <f>'DATOS GENERALES'!G119:H119+AA69</f>
        <v>#VALUE!</v>
      </c>
      <c r="H69" s="110"/>
      <c r="I69" s="111" t="e">
        <f>'DATOS GENERALES'!I119:J119+AH69</f>
        <v>#VALUE!</v>
      </c>
      <c r="J69" s="112"/>
      <c r="K69" s="802" t="e">
        <f>'DATOS GENERALES'!K119:L119+AO69</f>
        <v>#VALUE!</v>
      </c>
      <c r="L69" s="112"/>
      <c r="N69" s="54"/>
      <c r="O69" s="731" t="s">
        <v>613</v>
      </c>
      <c r="P69" s="732" t="str">
        <f>IF('DATOS GENERALES'!E119="","",'DATOS GENERALES'!E119)</f>
        <v/>
      </c>
      <c r="S69" s="734" t="str">
        <f t="shared" ref="S69:S82" si="72">IF(P69="","",$Q$14+$Q$15*P69+$Q$16*P69^2+$Q$17*P69^3+$Q$18*P69^4+$Q$19*P69^5+$Q$20*P69^6+$Q$21*P69^7+$Q$22*P69^8+$Q$23*P69^9+$Q$24*P69^10+$Q$25*P69^11)</f>
        <v/>
      </c>
      <c r="T69" s="734" t="str">
        <f t="shared" ref="T69:T82" si="73">IF(P69="","",S69-P69)</f>
        <v/>
      </c>
      <c r="U69" s="735" t="str">
        <f t="shared" ref="U69:U82" si="74">IF(P69="","",$R$14+$R$15*P69+$R$16*P69^2+$R$17*P69^3+$R$18*P69^4+$R$19*P69^5+$R$20*P69^6+$R$21*P69^7+$R$22*P69^8+$R$23*P69^9+$R$24*P69^10+$R$25*P69^11)</f>
        <v/>
      </c>
      <c r="V69" s="725"/>
      <c r="W69" s="737" t="str">
        <f>IF('DATOS GENERALES'!G119="","",'DATOS GENERALES'!G119)</f>
        <v/>
      </c>
      <c r="Z69" s="734" t="str">
        <f t="shared" ref="Z69:Z82" si="75">IF(W69="","",$X$14+$X$15*W69+$X$16*W69^2+$X$17*W69^3+$X$18*W69^4+$X$19*W69^5+$X$20*W69^6+$X$21*W69^7+$X$22*W69^8+$X$23*W69^9+$X$24*W69^10+$X$25*W69^11)</f>
        <v/>
      </c>
      <c r="AA69" s="734" t="str">
        <f t="shared" ref="AA69:AA82" si="76">IF(W69="","",Z69-W69)</f>
        <v/>
      </c>
      <c r="AB69" s="735" t="str">
        <f t="shared" ref="AB69:AB82" si="77">IF(W69="","",$Y$14+$Y$15*W69+$Y$16*W69^2+$Y$17*W69^3+$Y$18*W69^4+$Y$19*W69^5+$Y$20*W69^6+$Y$21*W69^7+$Y$22*W69^8+$Y$23*W69^9+$Y$24*W69^10+$Y$25*W69^11)</f>
        <v/>
      </c>
      <c r="AC69" s="727"/>
      <c r="AD69" s="737" t="str">
        <f>IF('DATOS GENERALES'!I119="","",'DATOS GENERALES'!I119)</f>
        <v/>
      </c>
      <c r="AG69" s="734" t="str">
        <f>IF(AD69="","",$AE$14+$AE$15*AD69+$AE$16*AD69^2+$AE$17*AD69^3+$AE$18*AD69^4+$AE$19*AD69^5+$AE$20*AD69^6+$AE$21*AD69^7+$AE$22*AD69^8+$AE$23*AD69^9+$AE$24*AD69^10+$AE$25*AD69^11)</f>
        <v/>
      </c>
      <c r="AH69" s="734" t="str">
        <f>IF(AD69="","",AG69-AD69)</f>
        <v/>
      </c>
      <c r="AI69" s="735" t="str">
        <f>IF(AD69="","",$AF$14+$AF$15*AD69+$AF$16*AD69^2+$AF$17*AD69^3+$AF$18*AD69^4+$AF$19*AD69^5+$AF$20*AD69^6+$AF$21*AD69^7+$AF$22*AD69^8+$AF$23*AD69^9+$AF$24*AD69^10+$AF$25*AD69^11)</f>
        <v/>
      </c>
      <c r="AJ69" s="725"/>
      <c r="AK69" s="737" t="str">
        <f>IF('DATOS GENERALES'!K119="","",'DATOS GENERALES'!K119)</f>
        <v/>
      </c>
      <c r="AN69" s="734" t="str">
        <f t="shared" ref="AN69:AN82" si="78">IF(AK69="","",$AL$14+$AL$15*AK69+$AL$16*AK69^2+$AL$17*AK69^3+$AL$18*AK69^4+$AL$19*AK69^5+$AL$20*AK69^6+$AL$21*AK69^7+$AL$22*AK69^8+$AL$23*AK69^9+$AL$24*AK69^10+$AL$25*AK69^11)</f>
        <v/>
      </c>
      <c r="AO69" s="734" t="str">
        <f t="shared" ref="AO69:AO82" si="79">IF(AK69="","",AN69-AK69)</f>
        <v/>
      </c>
      <c r="AP69" s="735" t="str">
        <f t="shared" ref="AP69:AP82" si="80">IF(AK69="","",$AM$14+$AM$15*AK69+$AM$16*AK69^2+$AM$17*AK69^3+$AM$18*AK69^4+$AM$19*AK69^5+$AM$20*AK69^6+$AM$21*AK69^7+$AM$22*AK69^8+$AM$23*AK69^9+$AM$24*AK69^10+$AM$25*AK69^11)</f>
        <v/>
      </c>
      <c r="AQ69" s="725"/>
      <c r="AR69" s="737" t="str">
        <f>IF('DATOS GENERALES'!A119="","",'DATOS GENERALES'!A119)</f>
        <v/>
      </c>
      <c r="AU69" s="734" t="str">
        <f t="shared" ref="AU69:AU79" si="81">IF(AR69="","",$AS$14+$AS$15*AR69+$AS$16*AR69^2+$AS$17*AR69^3+$AS$18*AR69^4+$AS$19*AR69^5+$AS$20*AR69^6+$AS$21*AR69^7+$AS$22*AR69^8+$AS$23*AR69^9+$AS$24*AR69^10+$AS$25*AR69^11)</f>
        <v/>
      </c>
      <c r="AV69" s="734" t="str">
        <f t="shared" ref="AV69:AV82" si="82">IF(AR69="","",AU69-AR69)</f>
        <v/>
      </c>
      <c r="AW69" s="735" t="str">
        <f t="shared" ref="AW69:AW79" si="83">IF(AR69="","",$AT$14+$AT$15*AR69+$AT$16*AR69^2+$AT$17*AR69^3+$AT$18*AR69^4+$AT$19*AR69^5+$AT$20*AR69^6+$AT$21*AR69^7+$AT$22*AR69^8+$AT$23*AR69^9+$AT$24*AR69^10+$AT$25*AR69^11)</f>
        <v/>
      </c>
      <c r="AX69" s="725"/>
      <c r="AY69" s="737" t="str">
        <f>IF('DATOS GENERALES'!C119="","",'DATOS GENERALES'!C119)</f>
        <v/>
      </c>
      <c r="BB69" s="734" t="str">
        <f t="shared" ref="BB69:BB79" si="84">IF(AY69="","",$AZ$14+$AZ$15*AY69+$AZ$16*AY69^2+$AZ$17*AY69^3+$AZ$18*AY69^4+$AZ$19*AY69^5+$AZ$20*AY69^6+$AZ$21*AY69^7+$AZ$22*AY69^8+$AZ$23*AY69^9+$AZ$24*AY69^10+$AZ$25*AY69^11)</f>
        <v/>
      </c>
      <c r="BC69" s="734" t="str">
        <f t="shared" ref="BC69:BC79" si="85">IF(AY69="","",BB69-AY69)</f>
        <v/>
      </c>
      <c r="BD69" s="735" t="str">
        <f t="shared" ref="BD69:BD79" si="86">IF(AY69="","",$BA$14+$BA$15*AY69+$BA$16*AY69^2+$BA$17*AY69^3+$BA$18*AY69^4+$BA$19*AY69^5+$BA$20*AY69^6+$BA$21*AY69^7+$BA$22*AY69^8+$BA$23*AY69^9+$BA$24*AY69^10+$BA$25*AY69^11)</f>
        <v/>
      </c>
      <c r="BF69" s="1036"/>
      <c r="BG69" s="1039">
        <v>8.8473607181819598E-11</v>
      </c>
      <c r="BH69" s="1039">
        <v>-1.8589875261456643E-10</v>
      </c>
      <c r="BI69" s="752">
        <v>4</v>
      </c>
      <c r="BM69" s="863">
        <v>-7.7591937150567139E-31</v>
      </c>
      <c r="BN69" s="863">
        <v>1.4336774446518376E-32</v>
      </c>
      <c r="BP69">
        <v>-3.7326270324475361E-31</v>
      </c>
      <c r="BQ69">
        <v>1.4337162627424926E-32</v>
      </c>
      <c r="BS69">
        <v>1.2842735233478692E-31</v>
      </c>
      <c r="BT69">
        <v>-5.1497412570181607E-32</v>
      </c>
    </row>
    <row r="70" spans="1:72" x14ac:dyDescent="0.2">
      <c r="A70" s="105" t="e">
        <f>'DATOS GENERALES'!A120:B120+AV70</f>
        <v>#VALUE!</v>
      </c>
      <c r="B70" s="106"/>
      <c r="C70" s="105" t="e">
        <f>'DATOS GENERALES'!C120:D120+BC70</f>
        <v>#VALUE!</v>
      </c>
      <c r="D70" s="106"/>
      <c r="E70" s="107" t="e">
        <f>'DATOS GENERALES'!E120:F120+T70</f>
        <v>#VALUE!</v>
      </c>
      <c r="F70" s="108"/>
      <c r="G70" s="109" t="e">
        <f>'DATOS GENERALES'!G120:H120+AA70</f>
        <v>#VALUE!</v>
      </c>
      <c r="H70" s="110"/>
      <c r="I70" s="111" t="e">
        <f>'DATOS GENERALES'!I120:J120+AH70</f>
        <v>#VALUE!</v>
      </c>
      <c r="J70" s="112"/>
      <c r="K70" s="802" t="e">
        <f>'DATOS GENERALES'!K120:L120+AO70</f>
        <v>#VALUE!</v>
      </c>
      <c r="L70" s="112"/>
      <c r="N70" s="54"/>
      <c r="O70" s="731" t="s">
        <v>614</v>
      </c>
      <c r="P70" s="732" t="str">
        <f>IF('DATOS GENERALES'!E120="","",'DATOS GENERALES'!E120)</f>
        <v/>
      </c>
      <c r="S70" s="734" t="str">
        <f t="shared" si="72"/>
        <v/>
      </c>
      <c r="T70" s="734" t="str">
        <f t="shared" si="73"/>
        <v/>
      </c>
      <c r="U70" s="735" t="str">
        <f t="shared" si="74"/>
        <v/>
      </c>
      <c r="V70" s="725"/>
      <c r="W70" s="737" t="str">
        <f>IF('DATOS GENERALES'!G120="","",'DATOS GENERALES'!G120)</f>
        <v/>
      </c>
      <c r="Z70" s="734" t="str">
        <f t="shared" si="75"/>
        <v/>
      </c>
      <c r="AA70" s="734" t="str">
        <f t="shared" si="76"/>
        <v/>
      </c>
      <c r="AB70" s="735" t="str">
        <f t="shared" si="77"/>
        <v/>
      </c>
      <c r="AC70" s="727"/>
      <c r="AD70" s="737" t="str">
        <f>IF('DATOS GENERALES'!I120="","",'DATOS GENERALES'!I120)</f>
        <v/>
      </c>
      <c r="AG70" s="734" t="str">
        <f t="shared" ref="AG70:AG83" si="87">IF(AD70="","",$AE$14+$AE$15*AD70+$AE$16*AD70^2+$AE$17*AD70^3+$AE$18*AD70^4+$AE$19*AD70^5+$AE$20*AD70^6+$AE$21*AD70^7+$AE$22*AD70^8+$AE$23*AD70^9+$AE$24*AD70^10+$AE$25*AD70^11)</f>
        <v/>
      </c>
      <c r="AH70" s="734" t="str">
        <f t="shared" ref="AH70:AH83" si="88">IF(AD70="","",AG70-AD70)</f>
        <v/>
      </c>
      <c r="AI70" s="735" t="str">
        <f t="shared" ref="AI70:AI83" si="89">IF(AD70="","",$AF$14+$AF$15*AD70+$AF$16*AD70^2+$AF$17*AD70^3+$AF$18*AD70^4+$AF$19*AD70^5+$AF$20*AD70^6+$AF$21*AD70^7+$AF$22*AD70^8+$AF$23*AD70^9+$AF$24*AD70^10+$AF$25*AD70^11)</f>
        <v/>
      </c>
      <c r="AJ70" s="725"/>
      <c r="AK70" s="737" t="str">
        <f>IF('DATOS GENERALES'!K120="","",'DATOS GENERALES'!K120)</f>
        <v/>
      </c>
      <c r="AN70" s="734" t="str">
        <f t="shared" si="78"/>
        <v/>
      </c>
      <c r="AO70" s="734" t="str">
        <f t="shared" si="79"/>
        <v/>
      </c>
      <c r="AP70" s="735" t="str">
        <f t="shared" si="80"/>
        <v/>
      </c>
      <c r="AQ70" s="725"/>
      <c r="AR70" s="737" t="str">
        <f>IF('DATOS GENERALES'!A120="","",'DATOS GENERALES'!A120)</f>
        <v/>
      </c>
      <c r="AU70" s="734" t="str">
        <f t="shared" si="81"/>
        <v/>
      </c>
      <c r="AV70" s="734" t="str">
        <f t="shared" si="82"/>
        <v/>
      </c>
      <c r="AW70" s="735" t="str">
        <f t="shared" si="83"/>
        <v/>
      </c>
      <c r="AX70" s="725"/>
      <c r="AY70" s="737" t="str">
        <f>IF('DATOS GENERALES'!C120="","",'DATOS GENERALES'!C120)</f>
        <v/>
      </c>
      <c r="BB70" s="734" t="str">
        <f t="shared" si="84"/>
        <v/>
      </c>
      <c r="BC70" s="734" t="str">
        <f t="shared" si="85"/>
        <v/>
      </c>
      <c r="BD70" s="735" t="str">
        <f t="shared" si="86"/>
        <v/>
      </c>
      <c r="BF70" s="1036"/>
      <c r="BG70" s="1039">
        <v>-4.2324205252982779E-14</v>
      </c>
      <c r="BH70" s="1039">
        <v>1.318999103189578E-13</v>
      </c>
      <c r="BI70" s="752">
        <v>5</v>
      </c>
      <c r="BM70" s="863">
        <v>1.1622660956169718E-35</v>
      </c>
      <c r="BN70" s="863">
        <v>-2.1207075536589061E-37</v>
      </c>
      <c r="BP70">
        <v>5.8668262642573079E-36</v>
      </c>
      <c r="BQ70">
        <v>-2.120732969110016E-37</v>
      </c>
      <c r="BS70">
        <v>-1.9699434855960684E-36</v>
      </c>
      <c r="BT70">
        <v>7.7857380367959529E-37</v>
      </c>
    </row>
    <row r="71" spans="1:72" x14ac:dyDescent="0.2">
      <c r="A71" s="105" t="e">
        <f>'DATOS GENERALES'!A121:B121+AV71</f>
        <v>#VALUE!</v>
      </c>
      <c r="B71" s="106"/>
      <c r="C71" s="105" t="e">
        <f>'DATOS GENERALES'!C121:D121+BC71</f>
        <v>#VALUE!</v>
      </c>
      <c r="D71" s="106"/>
      <c r="E71" s="107" t="e">
        <f>'DATOS GENERALES'!E121:F121+T71</f>
        <v>#VALUE!</v>
      </c>
      <c r="F71" s="108"/>
      <c r="G71" s="109" t="e">
        <f>'DATOS GENERALES'!G121:H121+AA71</f>
        <v>#VALUE!</v>
      </c>
      <c r="H71" s="110"/>
      <c r="I71" s="111" t="e">
        <f>'DATOS GENERALES'!I121:J121+AH71</f>
        <v>#VALUE!</v>
      </c>
      <c r="J71" s="112"/>
      <c r="K71" s="802" t="e">
        <f>'DATOS GENERALES'!K121:L121+AO71</f>
        <v>#VALUE!</v>
      </c>
      <c r="L71" s="112"/>
      <c r="N71" s="54"/>
      <c r="O71" s="731" t="s">
        <v>615</v>
      </c>
      <c r="P71" s="732" t="str">
        <f>IF('DATOS GENERALES'!E121="","",'DATOS GENERALES'!E121)</f>
        <v/>
      </c>
      <c r="S71" s="734" t="str">
        <f t="shared" si="72"/>
        <v/>
      </c>
      <c r="T71" s="734" t="str">
        <f t="shared" si="73"/>
        <v/>
      </c>
      <c r="U71" s="735" t="str">
        <f t="shared" si="74"/>
        <v/>
      </c>
      <c r="V71" s="725"/>
      <c r="W71" s="737" t="str">
        <f>IF('DATOS GENERALES'!G121="","",'DATOS GENERALES'!G121)</f>
        <v/>
      </c>
      <c r="Z71" s="734" t="str">
        <f t="shared" si="75"/>
        <v/>
      </c>
      <c r="AA71" s="734" t="str">
        <f t="shared" si="76"/>
        <v/>
      </c>
      <c r="AB71" s="735" t="str">
        <f t="shared" si="77"/>
        <v/>
      </c>
      <c r="AC71" s="727"/>
      <c r="AD71" s="737" t="str">
        <f>IF('DATOS GENERALES'!I121="","",'DATOS GENERALES'!I121)</f>
        <v/>
      </c>
      <c r="AG71" s="734" t="str">
        <f t="shared" si="87"/>
        <v/>
      </c>
      <c r="AH71" s="734" t="str">
        <f t="shared" si="88"/>
        <v/>
      </c>
      <c r="AI71" s="735" t="str">
        <f t="shared" si="89"/>
        <v/>
      </c>
      <c r="AJ71" s="725"/>
      <c r="AK71" s="737" t="str">
        <f>IF('DATOS GENERALES'!K121="","",'DATOS GENERALES'!K121)</f>
        <v/>
      </c>
      <c r="AN71" s="734" t="str">
        <f t="shared" si="78"/>
        <v/>
      </c>
      <c r="AO71" s="734" t="str">
        <f t="shared" si="79"/>
        <v/>
      </c>
      <c r="AP71" s="735" t="str">
        <f t="shared" si="80"/>
        <v/>
      </c>
      <c r="AQ71" s="725"/>
      <c r="AR71" s="737" t="str">
        <f>IF('DATOS GENERALES'!A121="","",'DATOS GENERALES'!A121)</f>
        <v/>
      </c>
      <c r="AU71" s="734" t="str">
        <f t="shared" si="81"/>
        <v/>
      </c>
      <c r="AV71" s="734" t="str">
        <f t="shared" si="82"/>
        <v/>
      </c>
      <c r="AW71" s="735" t="str">
        <f t="shared" si="83"/>
        <v/>
      </c>
      <c r="AX71" s="725"/>
      <c r="AY71" s="737" t="str">
        <f>IF('DATOS GENERALES'!C121="","",'DATOS GENERALES'!C121)</f>
        <v/>
      </c>
      <c r="BB71" s="734" t="str">
        <f t="shared" si="84"/>
        <v/>
      </c>
      <c r="BC71" s="734" t="str">
        <f t="shared" si="85"/>
        <v/>
      </c>
      <c r="BD71" s="735" t="str">
        <f t="shared" si="86"/>
        <v/>
      </c>
      <c r="BF71" s="1036"/>
      <c r="BG71" s="1039">
        <v>9.1789251170512596E-18</v>
      </c>
      <c r="BH71" s="1039">
        <v>-5.592743043764165E-17</v>
      </c>
      <c r="BI71" s="752">
        <v>6</v>
      </c>
      <c r="BM71" s="863">
        <v>-7.4631999021236293E-41</v>
      </c>
      <c r="BN71" s="863">
        <v>1.3531548240550862E-42</v>
      </c>
      <c r="BP71">
        <v>-3.9341278142665802E-41</v>
      </c>
      <c r="BQ71">
        <v>1.3531478721703365E-42</v>
      </c>
      <c r="BS71">
        <v>1.2965405867403307E-41</v>
      </c>
      <c r="BT71">
        <v>-5.0401493499015662E-42</v>
      </c>
    </row>
    <row r="72" spans="1:72" x14ac:dyDescent="0.2">
      <c r="A72" s="105" t="e">
        <f>'DATOS GENERALES'!A122:B122+AV72</f>
        <v>#VALUE!</v>
      </c>
      <c r="B72" s="106"/>
      <c r="C72" s="105" t="e">
        <f>'DATOS GENERALES'!C122:D122+BC72</f>
        <v>#VALUE!</v>
      </c>
      <c r="D72" s="106"/>
      <c r="E72" s="107" t="e">
        <f>'DATOS GENERALES'!E122:F122+T72</f>
        <v>#VALUE!</v>
      </c>
      <c r="F72" s="108"/>
      <c r="G72" s="109" t="e">
        <f>'DATOS GENERALES'!G122:H122+AA72</f>
        <v>#VALUE!</v>
      </c>
      <c r="H72" s="110"/>
      <c r="I72" s="111" t="e">
        <f>'DATOS GENERALES'!I122:J122+AH72</f>
        <v>#VALUE!</v>
      </c>
      <c r="J72" s="112"/>
      <c r="K72" s="802" t="e">
        <f>'DATOS GENERALES'!K122:L122+AO72</f>
        <v>#VALUE!</v>
      </c>
      <c r="L72" s="112"/>
      <c r="N72" s="54"/>
      <c r="O72" s="731" t="s">
        <v>616</v>
      </c>
      <c r="P72" s="732" t="str">
        <f>IF('DATOS GENERALES'!E122="","",'DATOS GENERALES'!E122)</f>
        <v/>
      </c>
      <c r="S72" s="734" t="str">
        <f t="shared" si="72"/>
        <v/>
      </c>
      <c r="T72" s="734" t="str">
        <f t="shared" si="73"/>
        <v/>
      </c>
      <c r="U72" s="735" t="str">
        <f t="shared" si="74"/>
        <v/>
      </c>
      <c r="V72" s="725"/>
      <c r="W72" s="737" t="str">
        <f>IF('DATOS GENERALES'!G122="","",'DATOS GENERALES'!G122)</f>
        <v/>
      </c>
      <c r="Z72" s="734" t="str">
        <f t="shared" si="75"/>
        <v/>
      </c>
      <c r="AA72" s="734" t="str">
        <f t="shared" si="76"/>
        <v/>
      </c>
      <c r="AB72" s="735" t="str">
        <f t="shared" si="77"/>
        <v/>
      </c>
      <c r="AC72" s="727"/>
      <c r="AD72" s="737" t="str">
        <f>IF('DATOS GENERALES'!I122="","",'DATOS GENERALES'!I122)</f>
        <v/>
      </c>
      <c r="AG72" s="734" t="str">
        <f t="shared" si="87"/>
        <v/>
      </c>
      <c r="AH72" s="734" t="str">
        <f t="shared" si="88"/>
        <v/>
      </c>
      <c r="AI72" s="735" t="str">
        <f t="shared" si="89"/>
        <v/>
      </c>
      <c r="AJ72" s="725"/>
      <c r="AK72" s="737" t="str">
        <f>IF('DATOS GENERALES'!K122="","",'DATOS GENERALES'!K122)</f>
        <v/>
      </c>
      <c r="AN72" s="734" t="str">
        <f t="shared" si="78"/>
        <v/>
      </c>
      <c r="AO72" s="734" t="str">
        <f t="shared" si="79"/>
        <v/>
      </c>
      <c r="AP72" s="735" t="str">
        <f t="shared" si="80"/>
        <v/>
      </c>
      <c r="AQ72" s="725"/>
      <c r="AR72" s="737" t="str">
        <f>IF('DATOS GENERALES'!A122="","",'DATOS GENERALES'!A122)</f>
        <v/>
      </c>
      <c r="AU72" s="734" t="str">
        <f t="shared" si="81"/>
        <v/>
      </c>
      <c r="AV72" s="734" t="str">
        <f t="shared" si="82"/>
        <v/>
      </c>
      <c r="AW72" s="735" t="str">
        <f t="shared" si="83"/>
        <v/>
      </c>
      <c r="AX72" s="725"/>
      <c r="AY72" s="737" t="str">
        <f>IF('DATOS GENERALES'!C122="","",'DATOS GENERALES'!C122)</f>
        <v/>
      </c>
      <c r="BB72" s="734" t="str">
        <f t="shared" si="84"/>
        <v/>
      </c>
      <c r="BC72" s="734" t="str">
        <f t="shared" si="85"/>
        <v/>
      </c>
      <c r="BD72" s="735" t="str">
        <f t="shared" si="86"/>
        <v/>
      </c>
      <c r="BF72" s="1036"/>
      <c r="BG72" s="1039">
        <v>-1.3156049641752548E-22</v>
      </c>
      <c r="BH72" s="1039">
        <v>1.4848255402557456E-20</v>
      </c>
      <c r="BI72" s="752">
        <v>7</v>
      </c>
    </row>
    <row r="73" spans="1:72" x14ac:dyDescent="0.2">
      <c r="A73" s="105" t="e">
        <f>'DATOS GENERALES'!A123:B123+AV73</f>
        <v>#VALUE!</v>
      </c>
      <c r="B73" s="106"/>
      <c r="C73" s="105" t="e">
        <f>'DATOS GENERALES'!C123:D123+BC73</f>
        <v>#VALUE!</v>
      </c>
      <c r="D73" s="106"/>
      <c r="E73" s="107" t="e">
        <f>'DATOS GENERALES'!E123:F123+T73</f>
        <v>#VALUE!</v>
      </c>
      <c r="F73" s="108"/>
      <c r="G73" s="109" t="e">
        <f>'DATOS GENERALES'!G123:H123+AA73</f>
        <v>#VALUE!</v>
      </c>
      <c r="H73" s="110"/>
      <c r="I73" s="111" t="e">
        <f>'DATOS GENERALES'!I123:J123+AH73</f>
        <v>#VALUE!</v>
      </c>
      <c r="J73" s="112"/>
      <c r="K73" s="802" t="e">
        <f>'DATOS GENERALES'!K123:L123+AO73</f>
        <v>#VALUE!</v>
      </c>
      <c r="L73" s="112"/>
      <c r="N73" s="54"/>
      <c r="O73" s="731" t="s">
        <v>617</v>
      </c>
      <c r="P73" s="732" t="str">
        <f>IF('DATOS GENERALES'!E123="","",'DATOS GENERALES'!E123)</f>
        <v/>
      </c>
      <c r="S73" s="734" t="str">
        <f t="shared" si="72"/>
        <v/>
      </c>
      <c r="T73" s="734" t="str">
        <f t="shared" si="73"/>
        <v/>
      </c>
      <c r="U73" s="735" t="str">
        <f t="shared" si="74"/>
        <v/>
      </c>
      <c r="V73" s="725"/>
      <c r="W73" s="737" t="str">
        <f>IF('DATOS GENERALES'!G123="","",'DATOS GENERALES'!G123)</f>
        <v/>
      </c>
      <c r="Z73" s="734" t="str">
        <f t="shared" si="75"/>
        <v/>
      </c>
      <c r="AA73" s="734" t="str">
        <f t="shared" si="76"/>
        <v/>
      </c>
      <c r="AB73" s="735" t="str">
        <f t="shared" si="77"/>
        <v/>
      </c>
      <c r="AC73" s="727"/>
      <c r="AD73" s="737" t="str">
        <f>IF('DATOS GENERALES'!I123="","",'DATOS GENERALES'!I123)</f>
        <v/>
      </c>
      <c r="AG73" s="734" t="str">
        <f t="shared" si="87"/>
        <v/>
      </c>
      <c r="AH73" s="734" t="str">
        <f t="shared" si="88"/>
        <v/>
      </c>
      <c r="AI73" s="735" t="str">
        <f t="shared" si="89"/>
        <v/>
      </c>
      <c r="AJ73" s="725"/>
      <c r="AK73" s="737" t="str">
        <f>IF('DATOS GENERALES'!K123="","",'DATOS GENERALES'!K123)</f>
        <v/>
      </c>
      <c r="AN73" s="734" t="str">
        <f t="shared" si="78"/>
        <v/>
      </c>
      <c r="AO73" s="734" t="str">
        <f t="shared" si="79"/>
        <v/>
      </c>
      <c r="AP73" s="735" t="str">
        <f t="shared" si="80"/>
        <v/>
      </c>
      <c r="AQ73" s="725"/>
      <c r="AR73" s="737" t="str">
        <f>IF('DATOS GENERALES'!A123="","",'DATOS GENERALES'!A123)</f>
        <v/>
      </c>
      <c r="AU73" s="734" t="str">
        <f t="shared" si="81"/>
        <v/>
      </c>
      <c r="AV73" s="734" t="str">
        <f t="shared" si="82"/>
        <v/>
      </c>
      <c r="AW73" s="735" t="str">
        <f t="shared" si="83"/>
        <v/>
      </c>
      <c r="AX73" s="725"/>
      <c r="AY73" s="737" t="str">
        <f>IF('DATOS GENERALES'!C123="","",'DATOS GENERALES'!C123)</f>
        <v/>
      </c>
      <c r="BB73" s="734" t="str">
        <f t="shared" si="84"/>
        <v/>
      </c>
      <c r="BC73" s="734" t="str">
        <f t="shared" si="85"/>
        <v/>
      </c>
      <c r="BD73" s="735" t="str">
        <f t="shared" si="86"/>
        <v/>
      </c>
      <c r="BF73" s="1036"/>
      <c r="BG73" s="1039">
        <v>-3.5771817212683768E-25</v>
      </c>
      <c r="BH73" s="1039">
        <v>-2.4893478730444878E-24</v>
      </c>
      <c r="BI73" s="752">
        <v>8</v>
      </c>
    </row>
    <row r="74" spans="1:72" x14ac:dyDescent="0.2">
      <c r="A74" s="105" t="e">
        <f>'DATOS GENERALES'!A124:B124+AV74</f>
        <v>#VALUE!</v>
      </c>
      <c r="B74" s="106"/>
      <c r="C74" s="105" t="e">
        <f>'DATOS GENERALES'!C124:D124+BC74</f>
        <v>#VALUE!</v>
      </c>
      <c r="D74" s="106"/>
      <c r="E74" s="107" t="e">
        <f>'DATOS GENERALES'!E124:F124+T74</f>
        <v>#VALUE!</v>
      </c>
      <c r="F74" s="108"/>
      <c r="G74" s="109" t="e">
        <f>'DATOS GENERALES'!G124:H124+AA74</f>
        <v>#VALUE!</v>
      </c>
      <c r="H74" s="110"/>
      <c r="I74" s="111" t="e">
        <f>'DATOS GENERALES'!I124:J124+AH74</f>
        <v>#VALUE!</v>
      </c>
      <c r="J74" s="112"/>
      <c r="K74" s="802" t="e">
        <f>'DATOS GENERALES'!K124:L124+AO74</f>
        <v>#VALUE!</v>
      </c>
      <c r="L74" s="112"/>
      <c r="N74" s="54"/>
      <c r="O74" s="731" t="s">
        <v>618</v>
      </c>
      <c r="P74" s="732" t="str">
        <f>IF('DATOS GENERALES'!E124="","",'DATOS GENERALES'!E124)</f>
        <v/>
      </c>
      <c r="S74" s="734" t="str">
        <f t="shared" si="72"/>
        <v/>
      </c>
      <c r="T74" s="734" t="str">
        <f t="shared" si="73"/>
        <v/>
      </c>
      <c r="U74" s="735" t="str">
        <f t="shared" si="74"/>
        <v/>
      </c>
      <c r="V74" s="725"/>
      <c r="W74" s="737" t="str">
        <f>IF('DATOS GENERALES'!G124="","",'DATOS GENERALES'!G124)</f>
        <v/>
      </c>
      <c r="Z74" s="734" t="str">
        <f t="shared" si="75"/>
        <v/>
      </c>
      <c r="AA74" s="734" t="str">
        <f t="shared" si="76"/>
        <v/>
      </c>
      <c r="AB74" s="735" t="str">
        <f t="shared" si="77"/>
        <v/>
      </c>
      <c r="AC74" s="727"/>
      <c r="AD74" s="737" t="str">
        <f>IF('DATOS GENERALES'!I124="","",'DATOS GENERALES'!I124)</f>
        <v/>
      </c>
      <c r="AG74" s="734" t="str">
        <f t="shared" si="87"/>
        <v/>
      </c>
      <c r="AH74" s="734" t="str">
        <f t="shared" si="88"/>
        <v/>
      </c>
      <c r="AI74" s="735" t="str">
        <f t="shared" si="89"/>
        <v/>
      </c>
      <c r="AJ74" s="725"/>
      <c r="AK74" s="737" t="str">
        <f>IF('DATOS GENERALES'!K124="","",'DATOS GENERALES'!K124)</f>
        <v/>
      </c>
      <c r="AN74" s="734" t="str">
        <f t="shared" si="78"/>
        <v/>
      </c>
      <c r="AO74" s="734" t="str">
        <f t="shared" si="79"/>
        <v/>
      </c>
      <c r="AP74" s="735" t="str">
        <f t="shared" si="80"/>
        <v/>
      </c>
      <c r="AQ74" s="725"/>
      <c r="AR74" s="737" t="str">
        <f>IF('DATOS GENERALES'!A124="","",'DATOS GENERALES'!A124)</f>
        <v/>
      </c>
      <c r="AU74" s="734" t="str">
        <f t="shared" si="81"/>
        <v/>
      </c>
      <c r="AV74" s="734" t="str">
        <f t="shared" si="82"/>
        <v/>
      </c>
      <c r="AW74" s="735" t="str">
        <f t="shared" si="83"/>
        <v/>
      </c>
      <c r="AX74" s="725"/>
      <c r="AY74" s="737" t="str">
        <f>IF('DATOS GENERALES'!C124="","",'DATOS GENERALES'!C124)</f>
        <v/>
      </c>
      <c r="BB74" s="734" t="str">
        <f t="shared" si="84"/>
        <v/>
      </c>
      <c r="BC74" s="734" t="str">
        <f t="shared" si="85"/>
        <v/>
      </c>
      <c r="BD74" s="735" t="str">
        <f t="shared" si="86"/>
        <v/>
      </c>
      <c r="BF74" s="1036"/>
      <c r="BG74" s="1039">
        <v>7.5101186641674017E-29</v>
      </c>
      <c r="BH74" s="1039">
        <v>2.5588077285824073E-28</v>
      </c>
      <c r="BI74" s="752">
        <v>9</v>
      </c>
    </row>
    <row r="75" spans="1:72" x14ac:dyDescent="0.2">
      <c r="A75" s="105" t="e">
        <f>'DATOS GENERALES'!A125:B125+AV75</f>
        <v>#VALUE!</v>
      </c>
      <c r="B75" s="106"/>
      <c r="C75" s="105" t="e">
        <f>'DATOS GENERALES'!C125:D125+BC75</f>
        <v>#VALUE!</v>
      </c>
      <c r="D75" s="106"/>
      <c r="E75" s="107" t="e">
        <f>'DATOS GENERALES'!E125:F125+T75</f>
        <v>#VALUE!</v>
      </c>
      <c r="F75" s="108"/>
      <c r="G75" s="109" t="e">
        <f>'DATOS GENERALES'!G125:H125+AA75</f>
        <v>#VALUE!</v>
      </c>
      <c r="H75" s="110"/>
      <c r="I75" s="111" t="e">
        <f>'DATOS GENERALES'!I125:J125+AH75</f>
        <v>#VALUE!</v>
      </c>
      <c r="J75" s="112"/>
      <c r="K75" s="802" t="e">
        <f>'DATOS GENERALES'!K125:L125+AO75</f>
        <v>#VALUE!</v>
      </c>
      <c r="L75" s="112"/>
      <c r="N75" s="54"/>
      <c r="O75" s="731" t="s">
        <v>619</v>
      </c>
      <c r="P75" s="732" t="str">
        <f>IF('DATOS GENERALES'!E125="","",'DATOS GENERALES'!E125)</f>
        <v/>
      </c>
      <c r="S75" s="734" t="str">
        <f t="shared" si="72"/>
        <v/>
      </c>
      <c r="T75" s="734" t="str">
        <f t="shared" si="73"/>
        <v/>
      </c>
      <c r="U75" s="735" t="str">
        <f t="shared" si="74"/>
        <v/>
      </c>
      <c r="V75" s="725"/>
      <c r="W75" s="737" t="str">
        <f>IF('DATOS GENERALES'!G125="","",'DATOS GENERALES'!G125)</f>
        <v/>
      </c>
      <c r="Z75" s="734" t="str">
        <f t="shared" si="75"/>
        <v/>
      </c>
      <c r="AA75" s="734" t="str">
        <f t="shared" si="76"/>
        <v/>
      </c>
      <c r="AB75" s="735" t="str">
        <f t="shared" si="77"/>
        <v/>
      </c>
      <c r="AC75" s="727"/>
      <c r="AD75" s="737" t="str">
        <f>IF('DATOS GENERALES'!I125="","",'DATOS GENERALES'!I125)</f>
        <v/>
      </c>
      <c r="AG75" s="734" t="str">
        <f t="shared" si="87"/>
        <v/>
      </c>
      <c r="AH75" s="734" t="str">
        <f t="shared" si="88"/>
        <v/>
      </c>
      <c r="AI75" s="735" t="str">
        <f t="shared" si="89"/>
        <v/>
      </c>
      <c r="AJ75" s="725"/>
      <c r="AK75" s="737" t="str">
        <f>IF('DATOS GENERALES'!K125="","",'DATOS GENERALES'!K125)</f>
        <v/>
      </c>
      <c r="AN75" s="734" t="str">
        <f t="shared" si="78"/>
        <v/>
      </c>
      <c r="AO75" s="734" t="str">
        <f t="shared" si="79"/>
        <v/>
      </c>
      <c r="AP75" s="735" t="str">
        <f t="shared" si="80"/>
        <v/>
      </c>
      <c r="AQ75" s="725"/>
      <c r="AR75" s="737" t="str">
        <f>IF('DATOS GENERALES'!A125="","",'DATOS GENERALES'!A125)</f>
        <v/>
      </c>
      <c r="AU75" s="734" t="str">
        <f t="shared" si="81"/>
        <v/>
      </c>
      <c r="AV75" s="734" t="str">
        <f t="shared" si="82"/>
        <v/>
      </c>
      <c r="AW75" s="735" t="str">
        <f t="shared" si="83"/>
        <v/>
      </c>
      <c r="AX75" s="725"/>
      <c r="AY75" s="737" t="str">
        <f>IF('DATOS GENERALES'!C125="","",'DATOS GENERALES'!C125)</f>
        <v/>
      </c>
      <c r="BB75" s="734" t="str">
        <f t="shared" si="84"/>
        <v/>
      </c>
      <c r="BC75" s="734" t="str">
        <f t="shared" si="85"/>
        <v/>
      </c>
      <c r="BD75" s="735" t="str">
        <f t="shared" si="86"/>
        <v/>
      </c>
      <c r="BF75" s="1036"/>
      <c r="BG75" s="1039">
        <v>-6.4896395164200937E-33</v>
      </c>
      <c r="BH75" s="1039">
        <v>-1.4715273563059412E-32</v>
      </c>
      <c r="BI75" s="752">
        <v>10</v>
      </c>
    </row>
    <row r="76" spans="1:72" x14ac:dyDescent="0.2">
      <c r="A76" s="105" t="e">
        <f>'DATOS GENERALES'!A126:B126+AV76</f>
        <v>#VALUE!</v>
      </c>
      <c r="B76" s="106"/>
      <c r="C76" s="105" t="e">
        <f>'DATOS GENERALES'!C126:D126+BC76</f>
        <v>#VALUE!</v>
      </c>
      <c r="D76" s="106"/>
      <c r="E76" s="107" t="e">
        <f>'DATOS GENERALES'!E126:F126+T76</f>
        <v>#VALUE!</v>
      </c>
      <c r="F76" s="108"/>
      <c r="G76" s="109" t="e">
        <f>'DATOS GENERALES'!G126:H126+AA76</f>
        <v>#VALUE!</v>
      </c>
      <c r="H76" s="110"/>
      <c r="I76" s="111" t="e">
        <f>'DATOS GENERALES'!I126:J126+AH76</f>
        <v>#VALUE!</v>
      </c>
      <c r="J76" s="112"/>
      <c r="K76" s="802" t="e">
        <f>'DATOS GENERALES'!K126:L126+AO76</f>
        <v>#VALUE!</v>
      </c>
      <c r="L76" s="112"/>
      <c r="N76" s="54"/>
      <c r="O76" s="731" t="s">
        <v>620</v>
      </c>
      <c r="P76" s="732" t="str">
        <f>IF('DATOS GENERALES'!E126="","",'DATOS GENERALES'!E126)</f>
        <v/>
      </c>
      <c r="S76" s="734" t="str">
        <f t="shared" si="72"/>
        <v/>
      </c>
      <c r="T76" s="734" t="str">
        <f t="shared" si="73"/>
        <v/>
      </c>
      <c r="U76" s="735" t="str">
        <f t="shared" si="74"/>
        <v/>
      </c>
      <c r="V76" s="725"/>
      <c r="W76" s="737" t="str">
        <f>IF('DATOS GENERALES'!G126="","",'DATOS GENERALES'!G126)</f>
        <v/>
      </c>
      <c r="Z76" s="734" t="str">
        <f t="shared" si="75"/>
        <v/>
      </c>
      <c r="AA76" s="734" t="str">
        <f t="shared" si="76"/>
        <v/>
      </c>
      <c r="AB76" s="735" t="str">
        <f t="shared" si="77"/>
        <v/>
      </c>
      <c r="AC76" s="727"/>
      <c r="AD76" s="737" t="str">
        <f>IF('DATOS GENERALES'!I126="","",'DATOS GENERALES'!I126)</f>
        <v/>
      </c>
      <c r="AG76" s="734" t="str">
        <f t="shared" si="87"/>
        <v/>
      </c>
      <c r="AH76" s="734" t="str">
        <f t="shared" si="88"/>
        <v/>
      </c>
      <c r="AI76" s="735" t="str">
        <f t="shared" si="89"/>
        <v/>
      </c>
      <c r="AJ76" s="725"/>
      <c r="AK76" s="737" t="str">
        <f>IF('DATOS GENERALES'!K126="","",'DATOS GENERALES'!K126)</f>
        <v/>
      </c>
      <c r="AN76" s="734" t="str">
        <f t="shared" si="78"/>
        <v/>
      </c>
      <c r="AO76" s="734" t="str">
        <f t="shared" si="79"/>
        <v/>
      </c>
      <c r="AP76" s="735" t="str">
        <f t="shared" si="80"/>
        <v/>
      </c>
      <c r="AQ76" s="725"/>
      <c r="AR76" s="737" t="str">
        <f>IF('DATOS GENERALES'!A126="","",'DATOS GENERALES'!A126)</f>
        <v/>
      </c>
      <c r="AU76" s="734" t="str">
        <f t="shared" si="81"/>
        <v/>
      </c>
      <c r="AV76" s="734" t="str">
        <f t="shared" si="82"/>
        <v/>
      </c>
      <c r="AW76" s="735" t="str">
        <f t="shared" si="83"/>
        <v/>
      </c>
      <c r="AX76" s="725"/>
      <c r="AY76" s="737" t="str">
        <f>IF('DATOS GENERALES'!C126="","",'DATOS GENERALES'!C126)</f>
        <v/>
      </c>
      <c r="BB76" s="734" t="str">
        <f t="shared" si="84"/>
        <v/>
      </c>
      <c r="BC76" s="734" t="str">
        <f t="shared" si="85"/>
        <v/>
      </c>
      <c r="BD76" s="735" t="str">
        <f t="shared" si="86"/>
        <v/>
      </c>
      <c r="BF76" s="1037"/>
      <c r="BG76" s="1039">
        <v>2.1262748969308267E-37</v>
      </c>
      <c r="BH76" s="1039">
        <v>3.6240858408417383E-37</v>
      </c>
      <c r="BI76" s="752">
        <v>11</v>
      </c>
    </row>
    <row r="77" spans="1:72" x14ac:dyDescent="0.2">
      <c r="A77" s="105" t="e">
        <f>'DATOS GENERALES'!A127:B127+AV77</f>
        <v>#VALUE!</v>
      </c>
      <c r="B77" s="106"/>
      <c r="C77" s="105" t="e">
        <f>'DATOS GENERALES'!C127:D127+BC77</f>
        <v>#VALUE!</v>
      </c>
      <c r="D77" s="106"/>
      <c r="E77" s="107" t="e">
        <f>'DATOS GENERALES'!E127:F127+T77</f>
        <v>#VALUE!</v>
      </c>
      <c r="F77" s="108"/>
      <c r="G77" s="109" t="e">
        <f>'DATOS GENERALES'!G127:H127+AA77</f>
        <v>#VALUE!</v>
      </c>
      <c r="H77" s="110"/>
      <c r="I77" s="111" t="e">
        <f>'DATOS GENERALES'!I127:J127+AH77</f>
        <v>#VALUE!</v>
      </c>
      <c r="J77" s="112"/>
      <c r="K77" s="802" t="e">
        <f>'DATOS GENERALES'!K127:L127+AO77</f>
        <v>#VALUE!</v>
      </c>
      <c r="L77" s="112"/>
      <c r="N77" s="54"/>
      <c r="O77" s="731" t="s">
        <v>621</v>
      </c>
      <c r="P77" s="732" t="str">
        <f>IF('DATOS GENERALES'!E127="","",'DATOS GENERALES'!E127)</f>
        <v/>
      </c>
      <c r="S77" s="734" t="str">
        <f t="shared" si="72"/>
        <v/>
      </c>
      <c r="T77" s="734" t="str">
        <f t="shared" si="73"/>
        <v/>
      </c>
      <c r="U77" s="735" t="str">
        <f t="shared" si="74"/>
        <v/>
      </c>
      <c r="V77" s="725"/>
      <c r="W77" s="737" t="str">
        <f>IF('DATOS GENERALES'!G127="","",'DATOS GENERALES'!G127)</f>
        <v/>
      </c>
      <c r="Z77" s="734" t="str">
        <f t="shared" si="75"/>
        <v/>
      </c>
      <c r="AA77" s="734" t="str">
        <f t="shared" si="76"/>
        <v/>
      </c>
      <c r="AB77" s="735" t="str">
        <f t="shared" si="77"/>
        <v/>
      </c>
      <c r="AC77" s="727"/>
      <c r="AD77" s="737" t="str">
        <f>IF('DATOS GENERALES'!I127="","",'DATOS GENERALES'!I127)</f>
        <v/>
      </c>
      <c r="AG77" s="734" t="str">
        <f t="shared" si="87"/>
        <v/>
      </c>
      <c r="AH77" s="734" t="str">
        <f t="shared" si="88"/>
        <v/>
      </c>
      <c r="AI77" s="735" t="str">
        <f t="shared" si="89"/>
        <v/>
      </c>
      <c r="AJ77" s="725"/>
      <c r="AK77" s="737" t="str">
        <f>IF('DATOS GENERALES'!K127="","",'DATOS GENERALES'!K127)</f>
        <v/>
      </c>
      <c r="AN77" s="734" t="str">
        <f t="shared" si="78"/>
        <v/>
      </c>
      <c r="AO77" s="734" t="str">
        <f t="shared" si="79"/>
        <v/>
      </c>
      <c r="AP77" s="735" t="str">
        <f t="shared" si="80"/>
        <v/>
      </c>
      <c r="AQ77" s="725"/>
      <c r="AR77" s="737" t="str">
        <f>IF('DATOS GENERALES'!A127="","",'DATOS GENERALES'!A127)</f>
        <v/>
      </c>
      <c r="AU77" s="734" t="str">
        <f t="shared" si="81"/>
        <v/>
      </c>
      <c r="AV77" s="734" t="str">
        <f t="shared" si="82"/>
        <v/>
      </c>
      <c r="AW77" s="735" t="str">
        <f t="shared" si="83"/>
        <v/>
      </c>
      <c r="AX77" s="725"/>
      <c r="AY77" s="737" t="str">
        <f>IF('DATOS GENERALES'!C127="","",'DATOS GENERALES'!C127)</f>
        <v/>
      </c>
      <c r="BB77" s="734" t="str">
        <f t="shared" si="84"/>
        <v/>
      </c>
      <c r="BC77" s="734" t="str">
        <f t="shared" si="85"/>
        <v/>
      </c>
      <c r="BD77" s="735" t="str">
        <f t="shared" si="86"/>
        <v/>
      </c>
      <c r="BF77" s="128"/>
      <c r="BG77" s="128"/>
      <c r="BH77" s="128"/>
      <c r="BI77" s="128"/>
    </row>
    <row r="78" spans="1:72" ht="15" x14ac:dyDescent="0.2">
      <c r="A78" s="397"/>
      <c r="B78" s="397"/>
      <c r="C78" s="397"/>
      <c r="D78" s="397"/>
      <c r="E78" s="398"/>
      <c r="F78" s="398"/>
      <c r="G78" s="399"/>
      <c r="H78" s="399"/>
      <c r="I78" s="400"/>
      <c r="J78" s="401"/>
      <c r="K78" s="401"/>
      <c r="L78" s="401"/>
      <c r="N78" s="54"/>
      <c r="O78" s="731" t="s">
        <v>622</v>
      </c>
      <c r="P78" s="732"/>
      <c r="S78" s="734" t="str">
        <f t="shared" si="72"/>
        <v/>
      </c>
      <c r="T78" s="734" t="str">
        <f t="shared" si="73"/>
        <v/>
      </c>
      <c r="U78" s="735" t="str">
        <f t="shared" si="74"/>
        <v/>
      </c>
      <c r="V78" s="725"/>
      <c r="W78" s="771"/>
      <c r="Z78" s="734" t="str">
        <f t="shared" si="75"/>
        <v/>
      </c>
      <c r="AA78" s="734" t="str">
        <f t="shared" si="76"/>
        <v/>
      </c>
      <c r="AB78" s="735" t="str">
        <f t="shared" si="77"/>
        <v/>
      </c>
      <c r="AC78" s="727"/>
      <c r="AD78" s="771"/>
      <c r="AG78" s="734" t="str">
        <f t="shared" si="87"/>
        <v/>
      </c>
      <c r="AH78" s="734" t="str">
        <f t="shared" si="88"/>
        <v/>
      </c>
      <c r="AI78" s="735" t="str">
        <f t="shared" si="89"/>
        <v/>
      </c>
      <c r="AJ78" s="725"/>
      <c r="AK78" s="771"/>
      <c r="AN78" s="734" t="str">
        <f t="shared" si="78"/>
        <v/>
      </c>
      <c r="AO78" s="734" t="str">
        <f t="shared" si="79"/>
        <v/>
      </c>
      <c r="AP78" s="735" t="str">
        <f t="shared" si="80"/>
        <v/>
      </c>
      <c r="AQ78" s="725"/>
      <c r="AR78" s="771"/>
      <c r="AU78" s="734" t="str">
        <f t="shared" si="81"/>
        <v/>
      </c>
      <c r="AV78" s="734" t="str">
        <f t="shared" si="82"/>
        <v/>
      </c>
      <c r="AW78" s="735" t="str">
        <f t="shared" si="83"/>
        <v/>
      </c>
      <c r="AX78" s="725"/>
      <c r="AY78" s="771"/>
      <c r="BB78" s="734" t="str">
        <f t="shared" si="84"/>
        <v/>
      </c>
      <c r="BC78" s="734" t="str">
        <f t="shared" si="85"/>
        <v/>
      </c>
      <c r="BD78" s="735" t="str">
        <f t="shared" si="86"/>
        <v/>
      </c>
      <c r="BF78" s="772"/>
      <c r="BG78" s="749" t="s">
        <v>605</v>
      </c>
      <c r="BH78" s="749" t="s">
        <v>606</v>
      </c>
      <c r="BI78" s="750"/>
    </row>
    <row r="79" spans="1:72" x14ac:dyDescent="0.2">
      <c r="A79" s="397"/>
      <c r="B79" s="397"/>
      <c r="C79" s="397"/>
      <c r="D79" s="397"/>
      <c r="E79" s="398"/>
      <c r="F79" s="398"/>
      <c r="G79" s="399"/>
      <c r="H79" s="399"/>
      <c r="I79" s="400"/>
      <c r="J79" s="401"/>
      <c r="K79" s="401"/>
      <c r="L79" s="401"/>
      <c r="N79" s="54"/>
      <c r="O79" s="743" t="s">
        <v>623</v>
      </c>
      <c r="P79" s="744"/>
      <c r="S79" s="734" t="str">
        <f t="shared" si="72"/>
        <v/>
      </c>
      <c r="T79" s="734" t="str">
        <f t="shared" si="73"/>
        <v/>
      </c>
      <c r="U79" s="735" t="str">
        <f t="shared" si="74"/>
        <v/>
      </c>
      <c r="V79" s="725"/>
      <c r="W79" s="771"/>
      <c r="Z79" s="734" t="str">
        <f t="shared" si="75"/>
        <v/>
      </c>
      <c r="AA79" s="734" t="str">
        <f t="shared" si="76"/>
        <v/>
      </c>
      <c r="AB79" s="735" t="str">
        <f t="shared" si="77"/>
        <v/>
      </c>
      <c r="AC79" s="727"/>
      <c r="AD79" s="771"/>
      <c r="AG79" s="734" t="str">
        <f t="shared" si="87"/>
        <v/>
      </c>
      <c r="AH79" s="734" t="str">
        <f t="shared" si="88"/>
        <v/>
      </c>
      <c r="AI79" s="735" t="str">
        <f t="shared" si="89"/>
        <v/>
      </c>
      <c r="AJ79" s="725"/>
      <c r="AK79" s="771"/>
      <c r="AN79" s="734" t="str">
        <f t="shared" si="78"/>
        <v/>
      </c>
      <c r="AO79" s="734" t="str">
        <f t="shared" si="79"/>
        <v/>
      </c>
      <c r="AP79" s="735" t="str">
        <f t="shared" si="80"/>
        <v/>
      </c>
      <c r="AQ79" s="725"/>
      <c r="AR79" s="771"/>
      <c r="AU79" s="734" t="str">
        <f t="shared" si="81"/>
        <v/>
      </c>
      <c r="AV79" s="734" t="str">
        <f t="shared" si="82"/>
        <v/>
      </c>
      <c r="AW79" s="735" t="str">
        <f t="shared" si="83"/>
        <v/>
      </c>
      <c r="AX79" s="725"/>
      <c r="AY79" s="771"/>
      <c r="BB79" s="734" t="str">
        <f t="shared" si="84"/>
        <v/>
      </c>
      <c r="BC79" s="734" t="str">
        <f t="shared" si="85"/>
        <v/>
      </c>
      <c r="BD79" s="735" t="str">
        <f t="shared" si="86"/>
        <v/>
      </c>
      <c r="BF79" s="751" t="s">
        <v>438</v>
      </c>
      <c r="BG79" s="1038">
        <v>1.1301932049889274E-2</v>
      </c>
      <c r="BH79" s="1038">
        <v>7.7469022992432968E-2</v>
      </c>
      <c r="BI79" s="752">
        <v>1</v>
      </c>
    </row>
    <row r="80" spans="1:72" x14ac:dyDescent="0.2">
      <c r="A80" s="397"/>
      <c r="B80" s="397"/>
      <c r="C80" s="397"/>
      <c r="D80" s="397"/>
      <c r="E80" s="398"/>
      <c r="F80" s="398"/>
      <c r="G80" s="399"/>
      <c r="H80" s="399"/>
      <c r="I80" s="400"/>
      <c r="J80" s="401"/>
      <c r="K80" s="401"/>
      <c r="L80" s="401"/>
      <c r="N80" s="54"/>
      <c r="O80" s="731" t="s">
        <v>625</v>
      </c>
      <c r="P80" s="745" t="e">
        <f>AVERAGE(P68:P79)</f>
        <v>#DIV/0!</v>
      </c>
      <c r="S80" s="734" t="e">
        <f t="shared" si="72"/>
        <v>#DIV/0!</v>
      </c>
      <c r="T80" s="734" t="e">
        <f t="shared" si="73"/>
        <v>#DIV/0!</v>
      </c>
      <c r="U80" s="735" t="e">
        <f t="shared" si="74"/>
        <v>#DIV/0!</v>
      </c>
      <c r="V80" s="725"/>
      <c r="W80" s="747" t="e">
        <f>AVERAGE(W68:W79)</f>
        <v>#DIV/0!</v>
      </c>
      <c r="Z80" s="734" t="e">
        <f t="shared" si="75"/>
        <v>#DIV/0!</v>
      </c>
      <c r="AA80" s="734" t="e">
        <f t="shared" si="76"/>
        <v>#DIV/0!</v>
      </c>
      <c r="AB80" s="735" t="e">
        <f t="shared" si="77"/>
        <v>#DIV/0!</v>
      </c>
      <c r="AC80" s="727"/>
      <c r="AD80" s="747" t="e">
        <f>AVERAGE(AD68:AD79)</f>
        <v>#DIV/0!</v>
      </c>
      <c r="AG80" s="734" t="e">
        <f t="shared" si="87"/>
        <v>#DIV/0!</v>
      </c>
      <c r="AH80" s="734" t="e">
        <f t="shared" si="88"/>
        <v>#DIV/0!</v>
      </c>
      <c r="AI80" s="735" t="e">
        <f t="shared" si="89"/>
        <v>#DIV/0!</v>
      </c>
      <c r="AJ80" s="725"/>
      <c r="AK80" s="747" t="e">
        <f>AVERAGE(AK68:AK79)</f>
        <v>#DIV/0!</v>
      </c>
      <c r="AN80" s="734" t="e">
        <f t="shared" si="78"/>
        <v>#DIV/0!</v>
      </c>
      <c r="AO80" s="734" t="e">
        <f t="shared" si="79"/>
        <v>#DIV/0!</v>
      </c>
      <c r="AP80" s="735" t="e">
        <f t="shared" si="80"/>
        <v>#DIV/0!</v>
      </c>
      <c r="AQ80" s="725"/>
      <c r="AR80" s="860" t="e">
        <f>AVERAGE(AY68-AR68,AY69-AR69,AY70-AR70,AY71-AR71,AY72-AR72,AY73-AR73,AY74-AR74,AY75-AR75,AY76-AR76,AY77-AR77)</f>
        <v>#VALUE!</v>
      </c>
      <c r="AU80" s="734" t="e">
        <f>IF(AR80="","",IF(AR80&lt;50,$BG$27+$BG$28*AR80+$BG$29*AR80^2+$BG$30*AR80^3+$BG$31*AR80^4+$BG$32*AR80^5+$BG$33*AR80^6+$BG$34*AR80^7+$BG$35*AR80^8+$BG$36*AR80^9+$BG$37*AR80^10+$BG$38*AR80^11,$BG$40+$BG$41*AR80+$BG$42*AR80^2+$BG$43*AR80^3+$BG$44*AR80^4+$BG$45*AR80^5+$BG$46*AR80^6+$BG$47*AR80^7+$BG$48*AR80^8+$BG$49*AR80^9+$BG$50*AR80^10+$BG$51*AR80^11))</f>
        <v>#VALUE!</v>
      </c>
      <c r="AV80" s="734" t="e">
        <f t="shared" si="82"/>
        <v>#VALUE!</v>
      </c>
      <c r="AW80" s="735" t="e">
        <f>IF(AR80="","",IF(AR80&lt;50,$BH$27+$BH$28*AR80+$BH$29*AR80^2+$BH$30*AR80^3+$BH$31*AR80^4+$BH$32*AR80^5+$BH$33*AR80^6+$BH$34*AR80^7+$BH$35*AR80^8+$BH$36*AR80^9+$BH$37*AR80^10+$BH$38*AR80^11,$BH$40+$BH$41*AR80+$BH$42*AR80^2+$BH$43*AR80^3+$BH$44*AR80^4+$BH$45*AR80^5+$BH$46*AR80^6+$BH$47*AR80^7+$BH$48*AR80^8+$BH$49*AR80^9+$BH$50*AR80^10+$BH$51*AR80^11))</f>
        <v>#VALUE!</v>
      </c>
      <c r="AX80" s="725"/>
      <c r="AY80" s="860" t="e">
        <f>AVERAGE(BB68-AU68,BB69-AU69,BB70-AU70,BB71-AU71,BB72-AU72,BB73-AU73,BB74-AU74,BB75-AU75,BB76-AU76,BB77-AU77)</f>
        <v>#VALUE!</v>
      </c>
      <c r="BB80" s="734" t="e">
        <f>AVERAGE(BB68-AU68,BB69-AU69,BB70-AU70,BB71-AU71,BB72-AU72,BB73-AU73,BB74-AU74,BB75-AU75,BB76-AU76,BB77-AU77)</f>
        <v>#VALUE!</v>
      </c>
      <c r="BC80" s="734" t="e">
        <f>IF(AY80="","",BB80-AY80)</f>
        <v>#VALUE!</v>
      </c>
      <c r="BD80" s="735" t="e">
        <f>IF(AY80="","",IF(AR80&lt;50,$BH$27+$BH$28*AR80+$BH$29*AR80^2+$BH$30*AR80^3+$BH$31*AR80^4+$BH$32*AR80^5+$BH$33*AR80^6+$BH$34*AR80^7+$BH$35*AR80^8+$BH$36*AR80^9+$BH$37*AR80^10+$BH$38*AR80^11,$BH$40+$BH$41*AR80+$BH$42*AR80^2+$BH$43*AR80^3+$BH$44*AR80^4+$BH$45*AR80^5+$BH$46*AR80^6+$BH$47*AR80^7+$BH$48*AR80^8+$BH$49*AR80^9+$BH$50*AR80^10+$BH$51*AR80^11))</f>
        <v>#VALUE!</v>
      </c>
      <c r="BF80" s="1036"/>
      <c r="BG80" s="1038">
        <v>0.99976391981602375</v>
      </c>
      <c r="BH80" s="1038">
        <v>9.4668134493380987E-5</v>
      </c>
      <c r="BI80" s="752">
        <v>2</v>
      </c>
    </row>
    <row r="81" spans="1:63" x14ac:dyDescent="0.2">
      <c r="N81" s="54"/>
      <c r="O81" s="731" t="s">
        <v>626</v>
      </c>
      <c r="P81" s="745">
        <f>MIN(P68:P79)</f>
        <v>0</v>
      </c>
      <c r="S81" s="734">
        <f t="shared" si="72"/>
        <v>-0.25373610378812117</v>
      </c>
      <c r="T81" s="734">
        <f t="shared" si="73"/>
        <v>-0.25373610378812117</v>
      </c>
      <c r="U81" s="735">
        <f t="shared" si="74"/>
        <v>5.3999999999999979E-2</v>
      </c>
      <c r="V81" s="725"/>
      <c r="W81" s="747">
        <f>MIN(W68:W79)</f>
        <v>0</v>
      </c>
      <c r="Z81" s="734">
        <f t="shared" si="75"/>
        <v>-3.125856370358747</v>
      </c>
      <c r="AA81" s="734">
        <f t="shared" si="76"/>
        <v>-3.125856370358747</v>
      </c>
      <c r="AB81" s="735">
        <f t="shared" si="77"/>
        <v>-0.15749924585323016</v>
      </c>
      <c r="AC81" s="727"/>
      <c r="AD81" s="747">
        <f>MIN(AD68:AD79)</f>
        <v>0</v>
      </c>
      <c r="AG81" s="734">
        <f t="shared" si="87"/>
        <v>-7.9629937306273462</v>
      </c>
      <c r="AH81" s="734">
        <f t="shared" si="88"/>
        <v>-7.9629937306273462</v>
      </c>
      <c r="AI81" s="735">
        <f t="shared" si="89"/>
        <v>0.44434166912111861</v>
      </c>
      <c r="AJ81" s="725"/>
      <c r="AK81" s="747">
        <f>MIN(AK68:AK79)</f>
        <v>0</v>
      </c>
      <c r="AN81" s="734">
        <f t="shared" si="78"/>
        <v>24893.425340665504</v>
      </c>
      <c r="AO81" s="734">
        <f t="shared" si="79"/>
        <v>24893.425340665504</v>
      </c>
      <c r="AP81" s="735">
        <f t="shared" si="80"/>
        <v>0.4400001043732118</v>
      </c>
      <c r="AQ81" s="725"/>
      <c r="AR81" s="860" t="e">
        <f>MIN(AY68-AR68,AY69-AR69,AY70-AR70,AY71-AR71,AY72-AR72,AY73-AR73,AY74-AR74,AY75-AR75,AY76-AR76,AY77-AR77)</f>
        <v>#VALUE!</v>
      </c>
      <c r="AU81" s="734" t="e">
        <f t="shared" ref="AU81:AU82" si="90">IF(AR81="","",IF(AR81&lt;50,$BG$27+$BG$28*AR81+$BG$29*AR81^2+$BG$30*AR81^3+$BG$31*AR81^4+$BG$32*AR81^5+$BG$33*AR81^6+$BG$34*AR81^7+$BG$35*AR81^8+$BG$36*AR81^9+$BG$37*AR81^10+$BG$38*AR81^11,$BG$40+$BG$41*AR81+$BG$42*AR81^2+$BG$43*AR81^3+$BG$44*AR81^4+$BG$45*AR81^5+$BG$46*AR81^6+$BG$47*AR81^7+$BG$48*AR81^8+$BG$49*AR81^9+$BG$50*AR81^10+$BG$51*AR81^11))</f>
        <v>#VALUE!</v>
      </c>
      <c r="AV81" s="734" t="e">
        <f t="shared" si="82"/>
        <v>#VALUE!</v>
      </c>
      <c r="AW81" s="735" t="e">
        <f t="shared" ref="AW81:AW82" si="91">IF(AR81="","",IF(AR81&lt;50,$BH$27+$BH$28*AR81+$BH$29*AR81^2+$BH$30*AR81^3+$BH$31*AR81^4+$BH$32*AR81^5+$BH$33*AR81^6+$BH$34*AR81^7+$BH$35*AR81^8+$BH$36*AR81^9+$BH$37*AR81^10+$BH$38*AR81^11,$BH$40+$BH$41*AR81+$BH$42*AR81^2+$BH$43*AR81^3+$BH$44*AR81^4+$BH$45*AR81^5+$BH$46*AR81^6+$BH$47*AR81^7+$BH$48*AR81^8+$BH$49*AR81^9+$BH$50*AR81^10+$BH$51*AR81^11))</f>
        <v>#VALUE!</v>
      </c>
      <c r="AX81" s="725"/>
      <c r="AY81" s="860" t="e">
        <f>MIN(BB68-AU68,BB69-AU69,BB70-AU70,BB71-AU71,BB72-AU72,BB73-AU73,BB74-AU74,BB75-AU75,BB76-AU76,BB77-AU77)</f>
        <v>#VALUE!</v>
      </c>
      <c r="BB81" s="734" t="e">
        <f>MIN(BB68-AU68,BB69-AU69,BB70-AU70,BB71-AU71,BB72-AU72,BB73-AU73,BB74-AU74,BB75-AU75,BB76-AU76,BB77-AU77)</f>
        <v>#VALUE!</v>
      </c>
      <c r="BC81" s="734" t="e">
        <f t="shared" ref="BC81:BC82" si="92">IF(AY81="","",BB81-AY81)</f>
        <v>#VALUE!</v>
      </c>
      <c r="BD81" s="735" t="e">
        <f t="shared" ref="BD81:BD82" si="93">IF(AY81="","",IF(AR81&lt;50,$BH$27+$BH$28*AR81+$BH$29*AR81^2+$BH$30*AR81^3+$BH$31*AR81^4+$BH$32*AR81^5+$BH$33*AR81^6+$BH$34*AR81^7+$BH$35*AR81^8+$BH$36*AR81^9+$BH$37*AR81^10+$BH$38*AR81^11,$BH$40+$BH$41*AR81+$BH$42*AR81^2+$BH$43*AR81^3+$BH$44*AR81^4+$BH$45*AR81^5+$BH$46*AR81^6+$BH$47*AR81^7+$BH$48*AR81^8+$BH$49*AR81^9+$BH$50*AR81^10+$BH$51*AR81^11))</f>
        <v>#VALUE!</v>
      </c>
      <c r="BF81" s="1036"/>
      <c r="BG81" s="1038">
        <v>2.043748069161487E-7</v>
      </c>
      <c r="BH81" s="1038">
        <v>-8.2414958763076319E-8</v>
      </c>
      <c r="BI81" s="752">
        <v>3</v>
      </c>
    </row>
    <row r="82" spans="1:63" x14ac:dyDescent="0.2">
      <c r="N82" s="54"/>
      <c r="O82" s="731" t="s">
        <v>627</v>
      </c>
      <c r="P82" s="745">
        <f>MAX(P68:P79)</f>
        <v>0</v>
      </c>
      <c r="S82" s="734">
        <f t="shared" si="72"/>
        <v>-0.25373610378812117</v>
      </c>
      <c r="T82" s="734">
        <f t="shared" si="73"/>
        <v>-0.25373610378812117</v>
      </c>
      <c r="U82" s="735">
        <f t="shared" si="74"/>
        <v>5.3999999999999979E-2</v>
      </c>
      <c r="V82" s="725"/>
      <c r="W82" s="747">
        <f>MAX(W68:W79)</f>
        <v>0</v>
      </c>
      <c r="Z82" s="734">
        <f t="shared" si="75"/>
        <v>-3.125856370358747</v>
      </c>
      <c r="AA82" s="734">
        <f t="shared" si="76"/>
        <v>-3.125856370358747</v>
      </c>
      <c r="AB82" s="735">
        <f t="shared" si="77"/>
        <v>-0.15749924585323016</v>
      </c>
      <c r="AC82" s="727"/>
      <c r="AD82" s="747">
        <f>MAX(AD68:AD79)</f>
        <v>0</v>
      </c>
      <c r="AG82" s="734">
        <f t="shared" si="87"/>
        <v>-7.9629937306273462</v>
      </c>
      <c r="AH82" s="734">
        <f t="shared" si="88"/>
        <v>-7.9629937306273462</v>
      </c>
      <c r="AI82" s="735">
        <f t="shared" si="89"/>
        <v>0.44434166912111861</v>
      </c>
      <c r="AJ82" s="725"/>
      <c r="AK82" s="747">
        <f>MAX(AK68:AK79)</f>
        <v>0</v>
      </c>
      <c r="AN82" s="734">
        <f t="shared" si="78"/>
        <v>24893.425340665504</v>
      </c>
      <c r="AO82" s="734">
        <f t="shared" si="79"/>
        <v>24893.425340665504</v>
      </c>
      <c r="AP82" s="735">
        <f t="shared" si="80"/>
        <v>0.4400001043732118</v>
      </c>
      <c r="AQ82" s="725"/>
      <c r="AR82" s="860" t="e">
        <f>MAX(AY68-AR68,AY69-AR69,AY70-AR70,AY71-AR71,AY72-AR72,AY73-AR73,AY74-AR74,AY75-AR75,AY76-AR76,AY77-AR77)</f>
        <v>#VALUE!</v>
      </c>
      <c r="AU82" s="734" t="e">
        <f t="shared" si="90"/>
        <v>#VALUE!</v>
      </c>
      <c r="AV82" s="734" t="e">
        <f t="shared" si="82"/>
        <v>#VALUE!</v>
      </c>
      <c r="AW82" s="735" t="e">
        <f t="shared" si="91"/>
        <v>#VALUE!</v>
      </c>
      <c r="AX82" s="725"/>
      <c r="AY82" s="860" t="e">
        <f>MAX(BB68-AU68,BB69-AU69,BB70-AU70,BB71-AU71,BB72-AU72,BB73-AU73,BB74-AU74,BB75-AU75,BB76-AU76,BB77-AU77)</f>
        <v>#VALUE!</v>
      </c>
      <c r="BB82" s="734" t="e">
        <f>MAX(BB68-AU68,BB69-AU69,BB70-AU70,BB71-AU71,BB72-AU72,BB73-AU73,BB74-AU74,BB75-AU75,BB76-AU76,BB77-AU77)</f>
        <v>#VALUE!</v>
      </c>
      <c r="BC82" s="734" t="e">
        <f t="shared" si="92"/>
        <v>#VALUE!</v>
      </c>
      <c r="BD82" s="735" t="e">
        <f t="shared" si="93"/>
        <v>#VALUE!</v>
      </c>
      <c r="BF82" s="1036"/>
      <c r="BG82" s="1038">
        <v>-7.1545335244224898E-11</v>
      </c>
      <c r="BH82" s="1038">
        <v>2.9134161704966517E-11</v>
      </c>
      <c r="BI82" s="752">
        <v>4</v>
      </c>
    </row>
    <row r="83" spans="1:63" x14ac:dyDescent="0.2">
      <c r="N83" s="54"/>
      <c r="O83" s="720"/>
      <c r="P83" s="770"/>
      <c r="U83" s="123"/>
      <c r="V83" s="725"/>
      <c r="W83" s="771"/>
      <c r="AB83" s="123"/>
      <c r="AC83" s="727"/>
      <c r="AD83" s="771"/>
      <c r="AG83" s="734" t="str">
        <f t="shared" si="87"/>
        <v/>
      </c>
      <c r="AH83" s="734" t="str">
        <f t="shared" si="88"/>
        <v/>
      </c>
      <c r="AI83" s="735" t="str">
        <f t="shared" si="89"/>
        <v/>
      </c>
      <c r="AJ83" s="725"/>
      <c r="AK83" s="771"/>
      <c r="AP83" s="123"/>
      <c r="AQ83" s="725"/>
      <c r="AR83" s="771"/>
      <c r="AW83" s="123"/>
      <c r="AX83" s="725"/>
      <c r="AY83" s="771"/>
      <c r="BD83" s="123"/>
      <c r="BF83" s="1036"/>
      <c r="BG83" s="1038">
        <v>1.340297449692477E-14</v>
      </c>
      <c r="BH83" s="1038">
        <v>-5.4851242274781327E-15</v>
      </c>
      <c r="BI83" s="752">
        <v>5</v>
      </c>
    </row>
    <row r="84" spans="1:63" ht="36" x14ac:dyDescent="0.2">
      <c r="N84" s="54"/>
      <c r="O84" s="720"/>
      <c r="P84" s="757" t="s">
        <v>75</v>
      </c>
      <c r="Q84" s="758"/>
      <c r="R84" s="759"/>
      <c r="S84" s="759"/>
      <c r="T84" s="759"/>
      <c r="U84" s="760"/>
      <c r="V84" s="761"/>
      <c r="W84" s="762" t="s">
        <v>172</v>
      </c>
      <c r="X84" s="758"/>
      <c r="Y84" s="759"/>
      <c r="Z84" s="759"/>
      <c r="AA84" s="759"/>
      <c r="AB84" s="760"/>
      <c r="AC84" s="763"/>
      <c r="AD84" s="762" t="s">
        <v>174</v>
      </c>
      <c r="AE84" s="758"/>
      <c r="AF84" s="759"/>
      <c r="AG84" s="759"/>
      <c r="AH84" s="759"/>
      <c r="AI84" s="760"/>
      <c r="AJ84" s="761"/>
      <c r="AK84" s="762" t="s">
        <v>173</v>
      </c>
      <c r="AL84" s="758"/>
      <c r="AM84" s="759"/>
      <c r="AN84" s="759"/>
      <c r="AO84" s="759"/>
      <c r="AP84" s="760"/>
      <c r="AQ84" s="761"/>
      <c r="AR84" s="762" t="s">
        <v>603</v>
      </c>
      <c r="AS84" s="758"/>
      <c r="AT84" s="759"/>
      <c r="AU84" s="759"/>
      <c r="AV84" s="759"/>
      <c r="AW84" s="760"/>
      <c r="AX84" s="761"/>
      <c r="AY84" s="762" t="s">
        <v>604</v>
      </c>
      <c r="AZ84" s="758"/>
      <c r="BA84" s="759"/>
      <c r="BB84" s="759"/>
      <c r="BC84" s="759"/>
      <c r="BD84" s="760"/>
      <c r="BF84" s="1036"/>
      <c r="BG84" s="1038">
        <v>-1.5012568857549305E-18</v>
      </c>
      <c r="BH84" s="1038">
        <v>6.1533191039507106E-19</v>
      </c>
      <c r="BI84" s="752">
        <v>6</v>
      </c>
    </row>
    <row r="85" spans="1:63" ht="12.75" customHeight="1" x14ac:dyDescent="0.25">
      <c r="A85" s="1622" t="s">
        <v>73</v>
      </c>
      <c r="B85" s="1623"/>
      <c r="C85" s="1622" t="s">
        <v>74</v>
      </c>
      <c r="D85" s="1623"/>
      <c r="E85" s="1624" t="s">
        <v>75</v>
      </c>
      <c r="F85" s="1625"/>
      <c r="G85" s="1624" t="s">
        <v>172</v>
      </c>
      <c r="H85" s="1625"/>
      <c r="I85" s="1624" t="s">
        <v>174</v>
      </c>
      <c r="J85" s="1625"/>
      <c r="K85" s="1620" t="s">
        <v>173</v>
      </c>
      <c r="L85" s="1621"/>
      <c r="N85" s="54"/>
      <c r="O85" s="720"/>
      <c r="P85" s="765" t="s">
        <v>608</v>
      </c>
      <c r="Q85" s="766"/>
      <c r="R85" s="766"/>
      <c r="S85" s="775" t="s">
        <v>609</v>
      </c>
      <c r="T85" s="201" t="s">
        <v>610</v>
      </c>
      <c r="U85" s="768" t="s">
        <v>611</v>
      </c>
      <c r="V85" s="725"/>
      <c r="W85" s="90" t="s">
        <v>608</v>
      </c>
      <c r="X85" s="766"/>
      <c r="Y85" s="766"/>
      <c r="Z85" s="767" t="s">
        <v>609</v>
      </c>
      <c r="AA85" s="201" t="s">
        <v>610</v>
      </c>
      <c r="AB85" s="768" t="s">
        <v>611</v>
      </c>
      <c r="AC85" s="727"/>
      <c r="AD85" s="90" t="s">
        <v>608</v>
      </c>
      <c r="AE85" s="749" t="s">
        <v>607</v>
      </c>
      <c r="AF85" s="749" t="s">
        <v>606</v>
      </c>
      <c r="AG85" s="767" t="s">
        <v>609</v>
      </c>
      <c r="AH85" s="201" t="s">
        <v>610</v>
      </c>
      <c r="AI85" s="768" t="s">
        <v>611</v>
      </c>
      <c r="AJ85" s="725"/>
      <c r="AK85" s="90" t="s">
        <v>608</v>
      </c>
      <c r="AL85" s="749" t="s">
        <v>607</v>
      </c>
      <c r="AM85" s="749" t="s">
        <v>606</v>
      </c>
      <c r="AN85" s="767" t="s">
        <v>609</v>
      </c>
      <c r="AO85" s="201" t="s">
        <v>610</v>
      </c>
      <c r="AP85" s="768" t="s">
        <v>611</v>
      </c>
      <c r="AQ85" s="725"/>
      <c r="AR85" s="90" t="s">
        <v>608</v>
      </c>
      <c r="AS85" s="749" t="s">
        <v>607</v>
      </c>
      <c r="AT85" s="749" t="s">
        <v>606</v>
      </c>
      <c r="AU85" s="767" t="s">
        <v>609</v>
      </c>
      <c r="AV85" s="201" t="s">
        <v>610</v>
      </c>
      <c r="AW85" s="768" t="s">
        <v>611</v>
      </c>
      <c r="AX85" s="725"/>
      <c r="AY85" s="90" t="s">
        <v>608</v>
      </c>
      <c r="AZ85" s="749" t="s">
        <v>607</v>
      </c>
      <c r="BA85" s="749" t="s">
        <v>606</v>
      </c>
      <c r="BB85" s="767" t="s">
        <v>609</v>
      </c>
      <c r="BC85" s="201" t="s">
        <v>610</v>
      </c>
      <c r="BD85" s="768" t="s">
        <v>611</v>
      </c>
      <c r="BF85" s="1036"/>
      <c r="BG85" s="1038">
        <v>1.0550976040391304E-22</v>
      </c>
      <c r="BH85" s="1038">
        <v>-4.3118922503893046E-23</v>
      </c>
      <c r="BI85" s="752">
        <v>7</v>
      </c>
    </row>
    <row r="86" spans="1:63" ht="12.75" customHeight="1" x14ac:dyDescent="0.2">
      <c r="A86" s="105" t="e">
        <f>'DATOS GENERALES'!A134:B134+AV86</f>
        <v>#VALUE!</v>
      </c>
      <c r="B86" s="106"/>
      <c r="C86" s="105" t="e">
        <f>'DATOS GENERALES'!C134:D134+BC86</f>
        <v>#VALUE!</v>
      </c>
      <c r="D86" s="106"/>
      <c r="E86" s="107" t="e">
        <f>'DATOS GENERALES'!E134:F134+T86</f>
        <v>#VALUE!</v>
      </c>
      <c r="F86" s="108"/>
      <c r="G86" s="109" t="e">
        <f>'DATOS GENERALES'!G134:H134+AA86</f>
        <v>#VALUE!</v>
      </c>
      <c r="H86" s="110"/>
      <c r="I86" s="111" t="e">
        <f>'DATOS GENERALES'!I134:J134+AH86</f>
        <v>#VALUE!</v>
      </c>
      <c r="J86" s="112"/>
      <c r="K86" s="802" t="e">
        <f>'DATOS GENERALES'!K134:L134+AO86</f>
        <v>#VALUE!</v>
      </c>
      <c r="L86" s="112"/>
      <c r="N86" s="54"/>
      <c r="O86" s="731" t="s">
        <v>612</v>
      </c>
      <c r="P86" s="732" t="str">
        <f>IF('DATOS GENERALES'!E134="","",'DATOS GENERALES'!E134)</f>
        <v/>
      </c>
      <c r="S86" s="734" t="str">
        <f>IF(P86="","",$Q$14+$Q$15*P86+$Q$16*P86^2+$Q$17*P86^3+$Q$18*P86^4+$Q$19*P86^5+$Q$20*P86^6+$Q$21*P86^7+$Q$22*P86^8+$Q$23*P86^9+$Q$24*P86^10+$Q$25*P86^11)</f>
        <v/>
      </c>
      <c r="T86" s="734" t="str">
        <f>IF(P86="","",S86-P86)</f>
        <v/>
      </c>
      <c r="U86" s="735" t="str">
        <f>IF(P86="","",$R$14+$R$15*P86+$R$16*P86^2+$R$17*P86^3+$R$18*P86^4+$R$19*P86^5+$R$20*P86^6+$R$21*P86^7+$R$22*P86^8+$R$23*P86^9+$R$24*P86^10+$R$25*P86^11)</f>
        <v/>
      </c>
      <c r="V86" s="725"/>
      <c r="W86" s="737" t="str">
        <f>IF('DATOS GENERALES'!G134="","",'DATOS GENERALES'!G134)</f>
        <v/>
      </c>
      <c r="Z86" s="734" t="str">
        <f>IF(W86="","",$X$14+$X$15*W86+$X$16*W86^2+$X$17*W86^3+$X$18*W86^4+$X$19*W86^5+$X$20*W86^6+$X$21*W86^7+$X$22*W86^8+$X$23*W86^9+$X$24*W86^10+$X$25*W86^11)</f>
        <v/>
      </c>
      <c r="AA86" s="734" t="str">
        <f>IF(W86="","",Z86-W86)</f>
        <v/>
      </c>
      <c r="AB86" s="735" t="str">
        <f>IF(W86="","",$Y$14+$Y$15*W86+$Y$16*W86^2+$Y$17*W86^3+$Y$18*W86^4+$Y$19*W86^5+$Y$20*W86^6+$Y$21*W86^7+$Y$22*W86^8+$Y$23*W86^9+$Y$24*W86^10+$Y$25*W86^11)</f>
        <v/>
      </c>
      <c r="AC86" s="727"/>
      <c r="AD86" s="737" t="str">
        <f>IF('DATOS GENERALES'!I134="","",'DATOS GENERALES'!I134)</f>
        <v/>
      </c>
      <c r="AG86" s="734" t="str">
        <f>IF(AD86="","",$AE$14+$AE$15*AD86+$AE$16*AD86^2+$AE$17*AD86^3+$AE$18*AD86^4+$AE$19*AD86^5+$AE$20*AD86^6+$AE$21*AD86^7+$AE$22*AD86^8+$AE$23*AD86^9+$AE$24*AD86^10+$AE$25*AD86^11)</f>
        <v/>
      </c>
      <c r="AH86" s="734" t="str">
        <f>IF(AD86="","",AG86-AD86)</f>
        <v/>
      </c>
      <c r="AI86" s="735" t="str">
        <f>IF(AD86="","",$AF$14+$AF$15*AD86+$AF$16*AD86^2+$AF$17*AD86^3+$AF$18*AD86^4+$AF$19*AD86^5+$AF$20*AD86^6+$AF$21*AD86^7+$AF$22*AD86^8+$AF$23*AD86^9+$AF$24*AD86^10+$AF$25*AD86^11)</f>
        <v/>
      </c>
      <c r="AJ86" s="725"/>
      <c r="AK86" s="737" t="str">
        <f>IF('DATOS GENERALES'!K134="","",'DATOS GENERALES'!K134)</f>
        <v/>
      </c>
      <c r="AN86" s="734" t="str">
        <f>IF(AK86="","",$AL$14+$AL$15*AK86+$AL$16*AK86^2+$AL$17*AK86^3+$AL$18*AK86^4+$AL$19*AK86^5+$AL$20*AK86^6+$AL$21*AK86^7+$AL$22*AK86^8+$AL$23*AK86^9+$AL$24*AK86^10+$AL$25*AK86^11)</f>
        <v/>
      </c>
      <c r="AO86" s="734" t="str">
        <f>IF(AK86="","",AN86-AK86)</f>
        <v/>
      </c>
      <c r="AP86" s="735" t="str">
        <f>IF(AK86="","",$AM$14+$AM$15*AK86+$AM$16*AK86^2+$AM$17*AK86^3+$AM$18*AK86^4+$AM$19*AK86^5+$AM$20*AK86^6+$AM$21*AK86^7+$AM$22*AK86^8+$AM$23*AK86^9+$AM$24*AK86^10+$AM$25*AK86^11)</f>
        <v/>
      </c>
      <c r="AQ86" s="725"/>
      <c r="AR86" s="737" t="str">
        <f>IF('DATOS GENERALES'!A134="","",'DATOS GENERALES'!A134)</f>
        <v/>
      </c>
      <c r="AU86" s="734" t="str">
        <f>IF(AR86="","",$AS$14+$AS$15*AR86+$AS$16*AR86^2+$AS$17*AR86^3+$AS$18*AR86^4+$AS$19*AR86^5+$AS$20*AR86^6+$AS$21*AR86^7+$AS$22*AR86^8+$AS$23*AR86^9+$AS$24*AR86^10+$AS$25*AR86^11)</f>
        <v/>
      </c>
      <c r="AV86" s="734" t="str">
        <f>IF(AR86="","",AU86-AR86)</f>
        <v/>
      </c>
      <c r="AW86" s="735" t="str">
        <f>IF(AR86="","",$AT$14+$AT$15*AR86+$AT$16*AR86^2+$AT$17*AR86^3+$AT$18*AR86^4+$AT$19*AR86^5+$AT$20*AR86^6+$AT$21*AR86^7+$AT$22*AR86^8+$AT$23*AR86^9+$AT$24*AR86^10+$AT$25*AR86^11)</f>
        <v/>
      </c>
      <c r="AX86" s="725"/>
      <c r="AY86" s="737" t="str">
        <f>IF('DATOS GENERALES'!C134="","",'DATOS GENERALES'!C134)</f>
        <v/>
      </c>
      <c r="BB86" s="734" t="str">
        <f>IF(AY86="","",$AZ$14+$AZ$15*AY86+$AZ$16*AY86^2+$AZ$17*AY86^3+$AZ$18*AY86^4+$AZ$19*AY86^5+$AZ$20*AY86^6+$AZ$21*AY86^7+$AZ$22*AY86^8+$AZ$23*AY86^9+$AZ$24*AY86^10+$AZ$25*AY86^11)</f>
        <v/>
      </c>
      <c r="BC86" s="734" t="str">
        <f>IF(AY86="","",BB86-AY86)</f>
        <v/>
      </c>
      <c r="BD86" s="735" t="str">
        <f>IF(AY86="","",$BA$14+$BA$15*AY86+$BA$16*AY86^2+$BA$17*AY86^3+$BA$18*AY86^4+$BA$19*AY86^5+$BA$20*AY86^6+$BA$21*AY86^7+$BA$22*AY86^8+$BA$23*AY86^9+$BA$24*AY86^10+$BA$25*AY86^11)</f>
        <v/>
      </c>
      <c r="BF86" s="1036"/>
      <c r="BG86" s="1038">
        <v>-4.6950317914392444E-27</v>
      </c>
      <c r="BH86" s="1038">
        <v>1.9043376904382201E-27</v>
      </c>
      <c r="BI86" s="752">
        <v>8</v>
      </c>
    </row>
    <row r="87" spans="1:63" x14ac:dyDescent="0.2">
      <c r="A87" s="105" t="e">
        <f>'DATOS GENERALES'!A135:B135+AV87</f>
        <v>#VALUE!</v>
      </c>
      <c r="B87" s="106"/>
      <c r="C87" s="105" t="e">
        <f>'DATOS GENERALES'!C135:D135+BC87</f>
        <v>#VALUE!</v>
      </c>
      <c r="D87" s="106"/>
      <c r="E87" s="107" t="e">
        <f>'DATOS GENERALES'!E135:F135+T87</f>
        <v>#VALUE!</v>
      </c>
      <c r="F87" s="108"/>
      <c r="G87" s="109" t="e">
        <f>'DATOS GENERALES'!G135:H135+AA87</f>
        <v>#VALUE!</v>
      </c>
      <c r="H87" s="110"/>
      <c r="I87" s="111" t="e">
        <f>'DATOS GENERALES'!I135:J135+AH87</f>
        <v>#VALUE!</v>
      </c>
      <c r="J87" s="112"/>
      <c r="K87" s="802" t="e">
        <f>'DATOS GENERALES'!K135:L135+AO87</f>
        <v>#VALUE!</v>
      </c>
      <c r="L87" s="112"/>
      <c r="N87" s="54">
        <v>5</v>
      </c>
      <c r="O87" s="731" t="s">
        <v>613</v>
      </c>
      <c r="P87" s="732" t="str">
        <f>IF('DATOS GENERALES'!E135="","",'DATOS GENERALES'!E135)</f>
        <v/>
      </c>
      <c r="S87" s="734" t="str">
        <f t="shared" ref="S87:S100" si="94">IF(P87="","",$Q$14+$Q$15*P87+$Q$16*P87^2+$Q$17*P87^3+$Q$18*P87^4+$Q$19*P87^5+$Q$20*P87^6+$Q$21*P87^7+$Q$22*P87^8+$Q$23*P87^9+$Q$24*P87^10+$Q$25*P87^11)</f>
        <v/>
      </c>
      <c r="T87" s="734" t="str">
        <f t="shared" ref="T87:T100" si="95">IF(P87="","",S87-P87)</f>
        <v/>
      </c>
      <c r="U87" s="735" t="str">
        <f t="shared" ref="U87:U100" si="96">IF(P87="","",$R$14+$R$15*P87+$R$16*P87^2+$R$17*P87^3+$R$18*P87^4+$R$19*P87^5+$R$20*P87^6+$R$21*P87^7+$R$22*P87^8+$R$23*P87^9+$R$24*P87^10+$R$25*P87^11)</f>
        <v/>
      </c>
      <c r="V87" s="725"/>
      <c r="W87" s="737" t="str">
        <f>IF('DATOS GENERALES'!G135="","",'DATOS GENERALES'!G135)</f>
        <v/>
      </c>
      <c r="Z87" s="734" t="str">
        <f t="shared" ref="Z87:Z100" si="97">IF(W87="","",$X$14+$X$15*W87+$X$16*W87^2+$X$17*W87^3+$X$18*W87^4+$X$19*W87^5+$X$20*W87^6+$X$21*W87^7+$X$22*W87^8+$X$23*W87^9+$X$24*W87^10+$X$25*W87^11)</f>
        <v/>
      </c>
      <c r="AA87" s="734" t="str">
        <f t="shared" ref="AA87:AA100" si="98">IF(W87="","",Z87-W87)</f>
        <v/>
      </c>
      <c r="AB87" s="735" t="str">
        <f t="shared" ref="AB87:AB100" si="99">IF(W87="","",$Y$14+$Y$15*W87+$Y$16*W87^2+$Y$17*W87^3+$Y$18*W87^4+$Y$19*W87^5+$Y$20*W87^6+$Y$21*W87^7+$Y$22*W87^8+$Y$23*W87^9+$Y$24*W87^10+$Y$25*W87^11)</f>
        <v/>
      </c>
      <c r="AC87" s="727"/>
      <c r="AD87" s="737" t="str">
        <f>IF('DATOS GENERALES'!I135="","",'DATOS GENERALES'!I135)</f>
        <v/>
      </c>
      <c r="AG87" s="734" t="str">
        <f t="shared" ref="AG87:AG100" si="100">IF(AD87="","",$AE$14+$AE$15*AD87+$AE$16*AD87^2+$AE$17*AD87^3+$AE$18*AD87^4+$AE$19*AD87^5+$AE$20*AD87^6+$AE$21*AD87^7+$AE$22*AD87^8+$AE$23*AD87^9+$AE$24*AD87^10+$AE$25*AD87^11)</f>
        <v/>
      </c>
      <c r="AH87" s="734" t="str">
        <f t="shared" ref="AH87:AH100" si="101">IF(AD87="","",AG87-AD87)</f>
        <v/>
      </c>
      <c r="AI87" s="735" t="str">
        <f t="shared" ref="AI87:AI100" si="102">IF(AD87="","",$AF$14+$AF$15*AD87+$AF$16*AD87^2+$AF$17*AD87^3+$AF$18*AD87^4+$AF$19*AD87^5+$AF$20*AD87^6+$AF$21*AD87^7+$AF$22*AD87^8+$AF$23*AD87^9+$AF$24*AD87^10+$AF$25*AD87^11)</f>
        <v/>
      </c>
      <c r="AJ87" s="725"/>
      <c r="AK87" s="737" t="str">
        <f>IF('DATOS GENERALES'!K135="","",'DATOS GENERALES'!K135)</f>
        <v/>
      </c>
      <c r="AN87" s="734" t="str">
        <f t="shared" ref="AN87:AN100" si="103">IF(AK87="","",$AL$14+$AL$15*AK87+$AL$16*AK87^2+$AL$17*AK87^3+$AL$18*AK87^4+$AL$19*AK87^5+$AL$20*AK87^6+$AL$21*AK87^7+$AL$22*AK87^8+$AL$23*AK87^9+$AL$24*AK87^10+$AL$25*AK87^11)</f>
        <v/>
      </c>
      <c r="AO87" s="734" t="str">
        <f t="shared" ref="AO87:AO100" si="104">IF(AK87="","",AN87-AK87)</f>
        <v/>
      </c>
      <c r="AP87" s="735" t="str">
        <f t="shared" ref="AP87:AP100" si="105">IF(AK87="","",$AM$14+$AM$15*AK87+$AM$16*AK87^2+$AM$17*AK87^3+$AM$18*AK87^4+$AM$19*AK87^5+$AM$20*AK87^6+$AM$21*AK87^7+$AM$22*AK87^8+$AM$23*AK87^9+$AM$24*AK87^10+$AM$25*AK87^11)</f>
        <v/>
      </c>
      <c r="AQ87" s="725"/>
      <c r="AR87" s="737" t="str">
        <f>IF('DATOS GENERALES'!A135="","",'DATOS GENERALES'!A135)</f>
        <v/>
      </c>
      <c r="AU87" s="734" t="str">
        <f t="shared" ref="AU87:AU97" si="106">IF(AR87="","",$AS$14+$AS$15*AR87+$AS$16*AR87^2+$AS$17*AR87^3+$AS$18*AR87^4+$AS$19*AR87^5+$AS$20*AR87^6+$AS$21*AR87^7+$AS$22*AR87^8+$AS$23*AR87^9+$AS$24*AR87^10+$AS$25*AR87^11)</f>
        <v/>
      </c>
      <c r="AV87" s="734" t="str">
        <f t="shared" ref="AV87:AV100" si="107">IF(AR87="","",AU87-AR87)</f>
        <v/>
      </c>
      <c r="AW87" s="735" t="str">
        <f t="shared" ref="AW87:AW97" si="108">IF(AR87="","",$AT$14+$AT$15*AR87+$AT$16*AR87^2+$AT$17*AR87^3+$AT$18*AR87^4+$AT$19*AR87^5+$AT$20*AR87^6+$AT$21*AR87^7+$AT$22*AR87^8+$AT$23*AR87^9+$AT$24*AR87^10+$AT$25*AR87^11)</f>
        <v/>
      </c>
      <c r="AX87" s="725"/>
      <c r="AY87" s="737" t="str">
        <f>IF('DATOS GENERALES'!C135="","",'DATOS GENERALES'!C135)</f>
        <v/>
      </c>
      <c r="BB87" s="734" t="str">
        <f t="shared" ref="BB87:BB97" si="109">IF(AY87="","",$AZ$14+$AZ$15*AY87+$AZ$16*AY87^2+$AZ$17*AY87^3+$AZ$18*AY87^4+$AZ$19*AY87^5+$AZ$20*AY87^6+$AZ$21*AY87^7+$AZ$22*AY87^8+$AZ$23*AY87^9+$AZ$24*AY87^10+$AZ$25*AY87^11)</f>
        <v/>
      </c>
      <c r="BC87" s="734" t="str">
        <f t="shared" ref="BC87:BC97" si="110">IF(AY87="","",BB87-AY87)</f>
        <v/>
      </c>
      <c r="BD87" s="735" t="str">
        <f t="shared" ref="BD87:BD97" si="111">IF(AY87="","",$BA$14+$BA$15*AY87+$BA$16*AY87^2+$BA$17*AY87^3+$BA$18*AY87^4+$BA$19*AY87^5+$BA$20*AY87^6+$BA$21*AY87^7+$BA$22*AY87^8+$BA$23*AY87^9+$BA$24*AY87^10+$BA$25*AY87^11)</f>
        <v/>
      </c>
      <c r="BF87" s="1036"/>
      <c r="BG87" s="1038">
        <v>1.2842735233478692E-31</v>
      </c>
      <c r="BH87" s="1038">
        <v>-5.1497412570181607E-32</v>
      </c>
      <c r="BI87" s="752">
        <v>9</v>
      </c>
    </row>
    <row r="88" spans="1:63" x14ac:dyDescent="0.2">
      <c r="A88" s="105" t="e">
        <f>'DATOS GENERALES'!A136:B136+AV88</f>
        <v>#VALUE!</v>
      </c>
      <c r="B88" s="106"/>
      <c r="C88" s="105" t="e">
        <f>'DATOS GENERALES'!C136:D136+BC88</f>
        <v>#VALUE!</v>
      </c>
      <c r="D88" s="106"/>
      <c r="E88" s="107" t="e">
        <f>'DATOS GENERALES'!E136:F136+T88</f>
        <v>#VALUE!</v>
      </c>
      <c r="F88" s="108"/>
      <c r="G88" s="109" t="e">
        <f>'DATOS GENERALES'!G136:H136+AA88</f>
        <v>#VALUE!</v>
      </c>
      <c r="H88" s="110"/>
      <c r="I88" s="111" t="e">
        <f>'DATOS GENERALES'!I136:J136+AH88</f>
        <v>#VALUE!</v>
      </c>
      <c r="J88" s="112"/>
      <c r="K88" s="802" t="e">
        <f>'DATOS GENERALES'!K136:L136+AO88</f>
        <v>#VALUE!</v>
      </c>
      <c r="L88" s="112"/>
      <c r="N88" s="54"/>
      <c r="O88" s="731" t="s">
        <v>614</v>
      </c>
      <c r="P88" s="732" t="str">
        <f>IF('DATOS GENERALES'!E136="","",'DATOS GENERALES'!E136)</f>
        <v/>
      </c>
      <c r="S88" s="734" t="str">
        <f t="shared" si="94"/>
        <v/>
      </c>
      <c r="T88" s="734" t="str">
        <f t="shared" si="95"/>
        <v/>
      </c>
      <c r="U88" s="735" t="str">
        <f t="shared" si="96"/>
        <v/>
      </c>
      <c r="V88" s="725"/>
      <c r="W88" s="737" t="str">
        <f>IF('DATOS GENERALES'!G136="","",'DATOS GENERALES'!G136)</f>
        <v/>
      </c>
      <c r="Z88" s="734" t="str">
        <f t="shared" si="97"/>
        <v/>
      </c>
      <c r="AA88" s="734" t="str">
        <f t="shared" si="98"/>
        <v/>
      </c>
      <c r="AB88" s="735" t="str">
        <f t="shared" si="99"/>
        <v/>
      </c>
      <c r="AC88" s="727"/>
      <c r="AD88" s="737" t="str">
        <f>IF('DATOS GENERALES'!I136="","",'DATOS GENERALES'!I136)</f>
        <v/>
      </c>
      <c r="AG88" s="734" t="str">
        <f t="shared" si="100"/>
        <v/>
      </c>
      <c r="AH88" s="734" t="str">
        <f t="shared" si="101"/>
        <v/>
      </c>
      <c r="AI88" s="735" t="str">
        <f t="shared" si="102"/>
        <v/>
      </c>
      <c r="AJ88" s="725"/>
      <c r="AK88" s="737" t="str">
        <f>IF('DATOS GENERALES'!K136="","",'DATOS GENERALES'!K136)</f>
        <v/>
      </c>
      <c r="AN88" s="734" t="str">
        <f t="shared" si="103"/>
        <v/>
      </c>
      <c r="AO88" s="734" t="str">
        <f t="shared" si="104"/>
        <v/>
      </c>
      <c r="AP88" s="735" t="str">
        <f t="shared" si="105"/>
        <v/>
      </c>
      <c r="AQ88" s="725"/>
      <c r="AR88" s="737" t="str">
        <f>IF('DATOS GENERALES'!A136="","",'DATOS GENERALES'!A136)</f>
        <v/>
      </c>
      <c r="AU88" s="734" t="str">
        <f t="shared" si="106"/>
        <v/>
      </c>
      <c r="AV88" s="734" t="str">
        <f t="shared" si="107"/>
        <v/>
      </c>
      <c r="AW88" s="735" t="str">
        <f t="shared" si="108"/>
        <v/>
      </c>
      <c r="AX88" s="725"/>
      <c r="AY88" s="737" t="str">
        <f>IF('DATOS GENERALES'!C136="","",'DATOS GENERALES'!C136)</f>
        <v/>
      </c>
      <c r="BB88" s="734" t="str">
        <f t="shared" si="109"/>
        <v/>
      </c>
      <c r="BC88" s="734" t="str">
        <f t="shared" si="110"/>
        <v/>
      </c>
      <c r="BD88" s="735" t="str">
        <f t="shared" si="111"/>
        <v/>
      </c>
      <c r="BF88" s="1036"/>
      <c r="BG88" s="1038">
        <v>-1.9699434855960684E-36</v>
      </c>
      <c r="BH88" s="1038">
        <v>7.7857380367959529E-37</v>
      </c>
      <c r="BI88" s="752">
        <v>10</v>
      </c>
    </row>
    <row r="89" spans="1:63" x14ac:dyDescent="0.2">
      <c r="A89" s="105" t="e">
        <f>'DATOS GENERALES'!A137:B137+AV89</f>
        <v>#VALUE!</v>
      </c>
      <c r="B89" s="106"/>
      <c r="C89" s="105" t="e">
        <f>'DATOS GENERALES'!C137:D137+BC89</f>
        <v>#VALUE!</v>
      </c>
      <c r="D89" s="106"/>
      <c r="E89" s="107" t="e">
        <f>'DATOS GENERALES'!E137:F137+T89</f>
        <v>#VALUE!</v>
      </c>
      <c r="F89" s="108"/>
      <c r="G89" s="109" t="e">
        <f>'DATOS GENERALES'!G137:H137+AA89</f>
        <v>#VALUE!</v>
      </c>
      <c r="H89" s="110"/>
      <c r="I89" s="111" t="e">
        <f>'DATOS GENERALES'!I137:J137+AH89</f>
        <v>#VALUE!</v>
      </c>
      <c r="J89" s="112"/>
      <c r="K89" s="802" t="e">
        <f>'DATOS GENERALES'!K137:L137+AO89</f>
        <v>#VALUE!</v>
      </c>
      <c r="L89" s="112"/>
      <c r="N89" s="54" t="e">
        <f>AVERAGE(E82:E91)</f>
        <v>#VALUE!</v>
      </c>
      <c r="O89" s="731" t="s">
        <v>615</v>
      </c>
      <c r="P89" s="732" t="str">
        <f>IF('DATOS GENERALES'!E137="","",'DATOS GENERALES'!E137)</f>
        <v/>
      </c>
      <c r="S89" s="734" t="str">
        <f t="shared" si="94"/>
        <v/>
      </c>
      <c r="T89" s="734" t="str">
        <f t="shared" si="95"/>
        <v/>
      </c>
      <c r="U89" s="735" t="str">
        <f t="shared" si="96"/>
        <v/>
      </c>
      <c r="V89" s="725"/>
      <c r="W89" s="737" t="str">
        <f>IF('DATOS GENERALES'!G137="","",'DATOS GENERALES'!G137)</f>
        <v/>
      </c>
      <c r="Z89" s="734" t="str">
        <f t="shared" si="97"/>
        <v/>
      </c>
      <c r="AA89" s="734" t="str">
        <f t="shared" si="98"/>
        <v/>
      </c>
      <c r="AB89" s="735" t="str">
        <f t="shared" si="99"/>
        <v/>
      </c>
      <c r="AC89" s="727"/>
      <c r="AD89" s="737" t="str">
        <f>IF('DATOS GENERALES'!I137="","",'DATOS GENERALES'!I137)</f>
        <v/>
      </c>
      <c r="AG89" s="734" t="str">
        <f t="shared" si="100"/>
        <v/>
      </c>
      <c r="AH89" s="734" t="str">
        <f t="shared" si="101"/>
        <v/>
      </c>
      <c r="AI89" s="735" t="str">
        <f t="shared" si="102"/>
        <v/>
      </c>
      <c r="AJ89" s="725"/>
      <c r="AK89" s="737" t="str">
        <f>IF('DATOS GENERALES'!K137="","",'DATOS GENERALES'!K137)</f>
        <v/>
      </c>
      <c r="AN89" s="734" t="str">
        <f t="shared" si="103"/>
        <v/>
      </c>
      <c r="AO89" s="734" t="str">
        <f t="shared" si="104"/>
        <v/>
      </c>
      <c r="AP89" s="735" t="str">
        <f t="shared" si="105"/>
        <v/>
      </c>
      <c r="AQ89" s="725"/>
      <c r="AR89" s="737" t="str">
        <f>IF('DATOS GENERALES'!A137="","",'DATOS GENERALES'!A137)</f>
        <v/>
      </c>
      <c r="AU89" s="734" t="str">
        <f t="shared" si="106"/>
        <v/>
      </c>
      <c r="AV89" s="734" t="str">
        <f t="shared" si="107"/>
        <v/>
      </c>
      <c r="AW89" s="735" t="str">
        <f t="shared" si="108"/>
        <v/>
      </c>
      <c r="AX89" s="725"/>
      <c r="AY89" s="737" t="str">
        <f>IF('DATOS GENERALES'!C137="","",'DATOS GENERALES'!C137)</f>
        <v/>
      </c>
      <c r="BB89" s="734" t="str">
        <f t="shared" si="109"/>
        <v/>
      </c>
      <c r="BC89" s="734" t="str">
        <f t="shared" si="110"/>
        <v/>
      </c>
      <c r="BD89" s="735" t="str">
        <f t="shared" si="111"/>
        <v/>
      </c>
      <c r="BF89" s="1037"/>
      <c r="BG89" s="1038">
        <v>1.2965405867403307E-41</v>
      </c>
      <c r="BH89" s="1038">
        <v>-5.0401493499015662E-42</v>
      </c>
      <c r="BI89" s="752">
        <v>11</v>
      </c>
    </row>
    <row r="90" spans="1:63" x14ac:dyDescent="0.2">
      <c r="A90" s="105" t="e">
        <f>'DATOS GENERALES'!A138:B138+AV90</f>
        <v>#VALUE!</v>
      </c>
      <c r="B90" s="106"/>
      <c r="C90" s="105" t="e">
        <f>'DATOS GENERALES'!C138:D138+BC90</f>
        <v>#VALUE!</v>
      </c>
      <c r="D90" s="106"/>
      <c r="E90" s="107" t="e">
        <f>'DATOS GENERALES'!E138:F138+T90</f>
        <v>#VALUE!</v>
      </c>
      <c r="F90" s="108"/>
      <c r="G90" s="109" t="e">
        <f>'DATOS GENERALES'!G138:H138+AA90</f>
        <v>#VALUE!</v>
      </c>
      <c r="H90" s="110"/>
      <c r="I90" s="111" t="e">
        <f>'DATOS GENERALES'!I138:J138+AH90</f>
        <v>#VALUE!</v>
      </c>
      <c r="J90" s="112"/>
      <c r="K90" s="802" t="e">
        <f>'DATOS GENERALES'!K138:L138+AO90</f>
        <v>#VALUE!</v>
      </c>
      <c r="L90" s="112"/>
      <c r="N90" s="54"/>
      <c r="O90" s="731" t="s">
        <v>616</v>
      </c>
      <c r="P90" s="732" t="str">
        <f>IF('DATOS GENERALES'!E138="","",'DATOS GENERALES'!E138)</f>
        <v/>
      </c>
      <c r="S90" s="734" t="str">
        <f t="shared" si="94"/>
        <v/>
      </c>
      <c r="T90" s="734" t="str">
        <f t="shared" si="95"/>
        <v/>
      </c>
      <c r="U90" s="735" t="str">
        <f t="shared" si="96"/>
        <v/>
      </c>
      <c r="V90" s="725"/>
      <c r="W90" s="737" t="str">
        <f>IF('DATOS GENERALES'!G138="","",'DATOS GENERALES'!G138)</f>
        <v/>
      </c>
      <c r="Z90" s="734" t="str">
        <f t="shared" si="97"/>
        <v/>
      </c>
      <c r="AA90" s="734" t="str">
        <f t="shared" si="98"/>
        <v/>
      </c>
      <c r="AB90" s="735" t="str">
        <f t="shared" si="99"/>
        <v/>
      </c>
      <c r="AC90" s="727"/>
      <c r="AD90" s="737" t="str">
        <f>IF('DATOS GENERALES'!I138="","",'DATOS GENERALES'!I138)</f>
        <v/>
      </c>
      <c r="AG90" s="734" t="str">
        <f t="shared" si="100"/>
        <v/>
      </c>
      <c r="AH90" s="734" t="str">
        <f t="shared" si="101"/>
        <v/>
      </c>
      <c r="AI90" s="735" t="str">
        <f t="shared" si="102"/>
        <v/>
      </c>
      <c r="AJ90" s="725"/>
      <c r="AK90" s="737" t="str">
        <f>IF('DATOS GENERALES'!K138="","",'DATOS GENERALES'!K138)</f>
        <v/>
      </c>
      <c r="AN90" s="734" t="str">
        <f t="shared" si="103"/>
        <v/>
      </c>
      <c r="AO90" s="734" t="str">
        <f t="shared" si="104"/>
        <v/>
      </c>
      <c r="AP90" s="735" t="str">
        <f t="shared" si="105"/>
        <v/>
      </c>
      <c r="AQ90" s="725"/>
      <c r="AR90" s="737" t="str">
        <f>IF('DATOS GENERALES'!A138="","",'DATOS GENERALES'!A138)</f>
        <v/>
      </c>
      <c r="AU90" s="734" t="str">
        <f t="shared" si="106"/>
        <v/>
      </c>
      <c r="AV90" s="734" t="str">
        <f t="shared" si="107"/>
        <v/>
      </c>
      <c r="AW90" s="735" t="str">
        <f t="shared" si="108"/>
        <v/>
      </c>
      <c r="AX90" s="725"/>
      <c r="AY90" s="737" t="str">
        <f>IF('DATOS GENERALES'!C138="","",'DATOS GENERALES'!C138)</f>
        <v/>
      </c>
      <c r="BB90" s="734" t="str">
        <f t="shared" si="109"/>
        <v/>
      </c>
      <c r="BC90" s="734" t="str">
        <f t="shared" si="110"/>
        <v/>
      </c>
      <c r="BD90" s="735" t="str">
        <f t="shared" si="111"/>
        <v/>
      </c>
      <c r="BF90" s="128"/>
      <c r="BG90" s="128"/>
      <c r="BH90" s="128"/>
      <c r="BI90" s="128"/>
    </row>
    <row r="91" spans="1:63" ht="15" x14ac:dyDescent="0.2">
      <c r="A91" s="105" t="e">
        <f>'DATOS GENERALES'!A139:B139+AV91</f>
        <v>#VALUE!</v>
      </c>
      <c r="B91" s="106"/>
      <c r="C91" s="105" t="e">
        <f>'DATOS GENERALES'!C139:D139+BC91</f>
        <v>#VALUE!</v>
      </c>
      <c r="D91" s="106"/>
      <c r="E91" s="107" t="e">
        <f>'DATOS GENERALES'!E139:F139+T91</f>
        <v>#VALUE!</v>
      </c>
      <c r="F91" s="108"/>
      <c r="G91" s="109" t="e">
        <f>'DATOS GENERALES'!G139:H139+AA91</f>
        <v>#VALUE!</v>
      </c>
      <c r="H91" s="110"/>
      <c r="I91" s="111" t="e">
        <f>'DATOS GENERALES'!I139:J139+AH91</f>
        <v>#VALUE!</v>
      </c>
      <c r="J91" s="112"/>
      <c r="K91" s="802" t="e">
        <f>'DATOS GENERALES'!K139:L139+AO91</f>
        <v>#VALUE!</v>
      </c>
      <c r="L91" s="112"/>
      <c r="N91" s="54"/>
      <c r="O91" s="731" t="s">
        <v>617</v>
      </c>
      <c r="P91" s="732" t="str">
        <f>IF('DATOS GENERALES'!E139="","",'DATOS GENERALES'!E139)</f>
        <v/>
      </c>
      <c r="S91" s="734" t="str">
        <f t="shared" si="94"/>
        <v/>
      </c>
      <c r="T91" s="734" t="str">
        <f t="shared" si="95"/>
        <v/>
      </c>
      <c r="U91" s="735" t="str">
        <f t="shared" si="96"/>
        <v/>
      </c>
      <c r="V91" s="725"/>
      <c r="W91" s="737" t="str">
        <f>IF('DATOS GENERALES'!G139="","",'DATOS GENERALES'!G139)</f>
        <v/>
      </c>
      <c r="Z91" s="734" t="str">
        <f t="shared" si="97"/>
        <v/>
      </c>
      <c r="AA91" s="734" t="str">
        <f t="shared" si="98"/>
        <v/>
      </c>
      <c r="AB91" s="735" t="str">
        <f t="shared" si="99"/>
        <v/>
      </c>
      <c r="AC91" s="727"/>
      <c r="AD91" s="737" t="str">
        <f>IF('DATOS GENERALES'!I139="","",'DATOS GENERALES'!I139)</f>
        <v/>
      </c>
      <c r="AG91" s="734" t="str">
        <f t="shared" si="100"/>
        <v/>
      </c>
      <c r="AH91" s="734" t="str">
        <f t="shared" si="101"/>
        <v/>
      </c>
      <c r="AI91" s="735" t="str">
        <f t="shared" si="102"/>
        <v/>
      </c>
      <c r="AJ91" s="725"/>
      <c r="AK91" s="737" t="str">
        <f>IF('DATOS GENERALES'!K139="","",'DATOS GENERALES'!K139)</f>
        <v/>
      </c>
      <c r="AN91" s="734" t="str">
        <f t="shared" si="103"/>
        <v/>
      </c>
      <c r="AO91" s="734" t="str">
        <f t="shared" si="104"/>
        <v/>
      </c>
      <c r="AP91" s="735" t="str">
        <f t="shared" si="105"/>
        <v/>
      </c>
      <c r="AQ91" s="725"/>
      <c r="AR91" s="737" t="str">
        <f>IF('DATOS GENERALES'!A139="","",'DATOS GENERALES'!A139)</f>
        <v/>
      </c>
      <c r="AU91" s="734" t="str">
        <f t="shared" si="106"/>
        <v/>
      </c>
      <c r="AV91" s="734" t="str">
        <f t="shared" si="107"/>
        <v/>
      </c>
      <c r="AW91" s="735" t="str">
        <f t="shared" si="108"/>
        <v/>
      </c>
      <c r="AX91" s="725"/>
      <c r="AY91" s="737" t="str">
        <f>IF('DATOS GENERALES'!C139="","",'DATOS GENERALES'!C139)</f>
        <v/>
      </c>
      <c r="BB91" s="734" t="str">
        <f t="shared" si="109"/>
        <v/>
      </c>
      <c r="BC91" s="734" t="str">
        <f t="shared" si="110"/>
        <v/>
      </c>
      <c r="BD91" s="735" t="str">
        <f t="shared" si="111"/>
        <v/>
      </c>
      <c r="BF91" s="772"/>
      <c r="BG91" s="749" t="s">
        <v>605</v>
      </c>
      <c r="BH91" s="749" t="s">
        <v>606</v>
      </c>
      <c r="BI91" s="750"/>
    </row>
    <row r="92" spans="1:63" x14ac:dyDescent="0.2">
      <c r="A92" s="105" t="e">
        <f>'DATOS GENERALES'!A140:B140+AV92</f>
        <v>#VALUE!</v>
      </c>
      <c r="B92" s="106"/>
      <c r="C92" s="105" t="e">
        <f>'DATOS GENERALES'!C140:D140+BC92</f>
        <v>#VALUE!</v>
      </c>
      <c r="D92" s="106"/>
      <c r="E92" s="107" t="e">
        <f>'DATOS GENERALES'!E140:F140+T92</f>
        <v>#VALUE!</v>
      </c>
      <c r="F92" s="108"/>
      <c r="G92" s="109" t="e">
        <f>'DATOS GENERALES'!G140:H140+AA92</f>
        <v>#VALUE!</v>
      </c>
      <c r="H92" s="110"/>
      <c r="I92" s="111" t="e">
        <f>'DATOS GENERALES'!I140:J140+AH92</f>
        <v>#VALUE!</v>
      </c>
      <c r="J92" s="112"/>
      <c r="K92" s="802" t="e">
        <f>'DATOS GENERALES'!K140:L140+AO92</f>
        <v>#VALUE!</v>
      </c>
      <c r="L92" s="112"/>
      <c r="N92" s="54"/>
      <c r="O92" s="731" t="s">
        <v>618</v>
      </c>
      <c r="P92" s="732" t="str">
        <f>IF('DATOS GENERALES'!E140="","",'DATOS GENERALES'!E140)</f>
        <v/>
      </c>
      <c r="S92" s="734" t="str">
        <f t="shared" si="94"/>
        <v/>
      </c>
      <c r="T92" s="734" t="str">
        <f t="shared" si="95"/>
        <v/>
      </c>
      <c r="U92" s="735" t="str">
        <f t="shared" si="96"/>
        <v/>
      </c>
      <c r="V92" s="725"/>
      <c r="W92" s="737" t="str">
        <f>IF('DATOS GENERALES'!G140="","",'DATOS GENERALES'!G140)</f>
        <v/>
      </c>
      <c r="Z92" s="734" t="str">
        <f t="shared" si="97"/>
        <v/>
      </c>
      <c r="AA92" s="734" t="str">
        <f t="shared" si="98"/>
        <v/>
      </c>
      <c r="AB92" s="735" t="str">
        <f t="shared" si="99"/>
        <v/>
      </c>
      <c r="AC92" s="727"/>
      <c r="AD92" s="737" t="str">
        <f>IF('DATOS GENERALES'!I140="","",'DATOS GENERALES'!I140)</f>
        <v/>
      </c>
      <c r="AG92" s="734" t="str">
        <f t="shared" si="100"/>
        <v/>
      </c>
      <c r="AH92" s="734" t="str">
        <f t="shared" si="101"/>
        <v/>
      </c>
      <c r="AI92" s="735" t="str">
        <f t="shared" si="102"/>
        <v/>
      </c>
      <c r="AJ92" s="725"/>
      <c r="AK92" s="737" t="str">
        <f>IF('DATOS GENERALES'!K140="","",'DATOS GENERALES'!K140)</f>
        <v/>
      </c>
      <c r="AN92" s="734" t="str">
        <f t="shared" si="103"/>
        <v/>
      </c>
      <c r="AO92" s="734" t="str">
        <f t="shared" si="104"/>
        <v/>
      </c>
      <c r="AP92" s="735" t="str">
        <f t="shared" si="105"/>
        <v/>
      </c>
      <c r="AQ92" s="725"/>
      <c r="AR92" s="737" t="str">
        <f>IF('DATOS GENERALES'!A140="","",'DATOS GENERALES'!A140)</f>
        <v/>
      </c>
      <c r="AU92" s="734" t="str">
        <f t="shared" si="106"/>
        <v/>
      </c>
      <c r="AV92" s="734" t="str">
        <f t="shared" si="107"/>
        <v/>
      </c>
      <c r="AW92" s="735" t="str">
        <f t="shared" si="108"/>
        <v/>
      </c>
      <c r="AX92" s="725"/>
      <c r="AY92" s="737" t="str">
        <f>IF('DATOS GENERALES'!C140="","",'DATOS GENERALES'!C140)</f>
        <v/>
      </c>
      <c r="BB92" s="734" t="str">
        <f t="shared" si="109"/>
        <v/>
      </c>
      <c r="BC92" s="734" t="str">
        <f t="shared" si="110"/>
        <v/>
      </c>
      <c r="BD92" s="735" t="str">
        <f t="shared" si="111"/>
        <v/>
      </c>
      <c r="BF92" s="776"/>
      <c r="BG92" s="777"/>
      <c r="BH92" s="778"/>
      <c r="BI92" s="752">
        <v>1</v>
      </c>
    </row>
    <row r="93" spans="1:63" x14ac:dyDescent="0.2">
      <c r="A93" s="105" t="e">
        <f>'DATOS GENERALES'!A141:B141+AV93</f>
        <v>#VALUE!</v>
      </c>
      <c r="B93" s="106"/>
      <c r="C93" s="105" t="e">
        <f>'DATOS GENERALES'!C141:D141+BC93</f>
        <v>#VALUE!</v>
      </c>
      <c r="D93" s="106"/>
      <c r="E93" s="107" t="e">
        <f>'DATOS GENERALES'!E141:F141+T93</f>
        <v>#VALUE!</v>
      </c>
      <c r="F93" s="108"/>
      <c r="G93" s="109" t="e">
        <f>'DATOS GENERALES'!G141:H141+AA93</f>
        <v>#VALUE!</v>
      </c>
      <c r="H93" s="110"/>
      <c r="I93" s="111" t="e">
        <f>'DATOS GENERALES'!I141:J141+AH93</f>
        <v>#VALUE!</v>
      </c>
      <c r="J93" s="112"/>
      <c r="K93" s="802" t="e">
        <f>'DATOS GENERALES'!K141:L141+AO93</f>
        <v>#VALUE!</v>
      </c>
      <c r="L93" s="112"/>
      <c r="N93" s="54"/>
      <c r="O93" s="731" t="s">
        <v>619</v>
      </c>
      <c r="P93" s="732" t="str">
        <f>IF('DATOS GENERALES'!E141="","",'DATOS GENERALES'!E141)</f>
        <v/>
      </c>
      <c r="S93" s="734" t="str">
        <f t="shared" si="94"/>
        <v/>
      </c>
      <c r="T93" s="734" t="str">
        <f t="shared" si="95"/>
        <v/>
      </c>
      <c r="U93" s="735" t="str">
        <f t="shared" si="96"/>
        <v/>
      </c>
      <c r="V93" s="725"/>
      <c r="W93" s="737" t="str">
        <f>IF('DATOS GENERALES'!G141="","",'DATOS GENERALES'!G141)</f>
        <v/>
      </c>
      <c r="Z93" s="734" t="str">
        <f t="shared" si="97"/>
        <v/>
      </c>
      <c r="AA93" s="734" t="str">
        <f t="shared" si="98"/>
        <v/>
      </c>
      <c r="AB93" s="735" t="str">
        <f t="shared" si="99"/>
        <v/>
      </c>
      <c r="AC93" s="727"/>
      <c r="AD93" s="737" t="str">
        <f>IF('DATOS GENERALES'!I141="","",'DATOS GENERALES'!I141)</f>
        <v/>
      </c>
      <c r="AG93" s="734" t="str">
        <f t="shared" si="100"/>
        <v/>
      </c>
      <c r="AH93" s="734" t="str">
        <f t="shared" si="101"/>
        <v/>
      </c>
      <c r="AI93" s="735" t="str">
        <f t="shared" si="102"/>
        <v/>
      </c>
      <c r="AJ93" s="725"/>
      <c r="AK93" s="737" t="str">
        <f>IF('DATOS GENERALES'!K141="","",'DATOS GENERALES'!K141)</f>
        <v/>
      </c>
      <c r="AN93" s="734" t="str">
        <f t="shared" si="103"/>
        <v/>
      </c>
      <c r="AO93" s="734" t="str">
        <f t="shared" si="104"/>
        <v/>
      </c>
      <c r="AP93" s="735" t="str">
        <f t="shared" si="105"/>
        <v/>
      </c>
      <c r="AQ93" s="725"/>
      <c r="AR93" s="737" t="str">
        <f>IF('DATOS GENERALES'!A141="","",'DATOS GENERALES'!A141)</f>
        <v/>
      </c>
      <c r="AU93" s="734" t="str">
        <f t="shared" si="106"/>
        <v/>
      </c>
      <c r="AV93" s="734" t="str">
        <f t="shared" si="107"/>
        <v/>
      </c>
      <c r="AW93" s="735" t="str">
        <f t="shared" si="108"/>
        <v/>
      </c>
      <c r="AX93" s="725"/>
      <c r="AY93" s="737" t="str">
        <f>IF('DATOS GENERALES'!C141="","",'DATOS GENERALES'!C141)</f>
        <v/>
      </c>
      <c r="BB93" s="734" t="str">
        <f t="shared" si="109"/>
        <v/>
      </c>
      <c r="BC93" s="734" t="str">
        <f t="shared" si="110"/>
        <v/>
      </c>
      <c r="BD93" s="735" t="str">
        <f t="shared" si="111"/>
        <v/>
      </c>
      <c r="BF93" s="779"/>
      <c r="BG93" s="777"/>
      <c r="BH93" s="778"/>
      <c r="BI93" s="752">
        <v>2</v>
      </c>
    </row>
    <row r="94" spans="1:63" x14ac:dyDescent="0.2">
      <c r="A94" s="105" t="e">
        <f>'DATOS GENERALES'!A142:B142+AV94</f>
        <v>#VALUE!</v>
      </c>
      <c r="B94" s="106"/>
      <c r="C94" s="105" t="e">
        <f>'DATOS GENERALES'!C142:D142+BC94</f>
        <v>#VALUE!</v>
      </c>
      <c r="D94" s="106"/>
      <c r="E94" s="107" t="e">
        <f>'DATOS GENERALES'!E142:F142+T94</f>
        <v>#VALUE!</v>
      </c>
      <c r="F94" s="108"/>
      <c r="G94" s="109" t="e">
        <f>'DATOS GENERALES'!G142:H142+AA94</f>
        <v>#VALUE!</v>
      </c>
      <c r="H94" s="110"/>
      <c r="I94" s="111" t="e">
        <f>'DATOS GENERALES'!I142:J142+AH94</f>
        <v>#VALUE!</v>
      </c>
      <c r="J94" s="112"/>
      <c r="K94" s="802" t="e">
        <f>'DATOS GENERALES'!K142:L142+AO94</f>
        <v>#VALUE!</v>
      </c>
      <c r="L94" s="112"/>
      <c r="N94" s="54"/>
      <c r="O94" s="731" t="s">
        <v>620</v>
      </c>
      <c r="P94" s="732" t="str">
        <f>IF('DATOS GENERALES'!E142="","",'DATOS GENERALES'!E142)</f>
        <v/>
      </c>
      <c r="S94" s="734" t="str">
        <f t="shared" si="94"/>
        <v/>
      </c>
      <c r="T94" s="734" t="str">
        <f t="shared" si="95"/>
        <v/>
      </c>
      <c r="U94" s="735" t="str">
        <f t="shared" si="96"/>
        <v/>
      </c>
      <c r="V94" s="725"/>
      <c r="W94" s="737" t="str">
        <f>IF('DATOS GENERALES'!G142="","",'DATOS GENERALES'!G142)</f>
        <v/>
      </c>
      <c r="Z94" s="734" t="str">
        <f t="shared" si="97"/>
        <v/>
      </c>
      <c r="AA94" s="734" t="str">
        <f t="shared" si="98"/>
        <v/>
      </c>
      <c r="AB94" s="735" t="str">
        <f t="shared" si="99"/>
        <v/>
      </c>
      <c r="AC94" s="727"/>
      <c r="AD94" s="737" t="str">
        <f>IF('DATOS GENERALES'!I142="","",'DATOS GENERALES'!I142)</f>
        <v/>
      </c>
      <c r="AG94" s="734" t="str">
        <f t="shared" si="100"/>
        <v/>
      </c>
      <c r="AH94" s="734" t="str">
        <f t="shared" si="101"/>
        <v/>
      </c>
      <c r="AI94" s="735" t="str">
        <f t="shared" si="102"/>
        <v/>
      </c>
      <c r="AJ94" s="725"/>
      <c r="AK94" s="737" t="str">
        <f>IF('DATOS GENERALES'!K142="","",'DATOS GENERALES'!K142)</f>
        <v/>
      </c>
      <c r="AN94" s="734" t="str">
        <f t="shared" si="103"/>
        <v/>
      </c>
      <c r="AO94" s="734" t="str">
        <f t="shared" si="104"/>
        <v/>
      </c>
      <c r="AP94" s="735" t="str">
        <f t="shared" si="105"/>
        <v/>
      </c>
      <c r="AQ94" s="725"/>
      <c r="AR94" s="737" t="str">
        <f>IF('DATOS GENERALES'!A142="","",'DATOS GENERALES'!A142)</f>
        <v/>
      </c>
      <c r="AU94" s="734" t="str">
        <f t="shared" si="106"/>
        <v/>
      </c>
      <c r="AV94" s="734" t="str">
        <f t="shared" si="107"/>
        <v/>
      </c>
      <c r="AW94" s="735" t="str">
        <f t="shared" si="108"/>
        <v/>
      </c>
      <c r="AX94" s="725"/>
      <c r="AY94" s="737" t="str">
        <f>IF('DATOS GENERALES'!C142="","",'DATOS GENERALES'!C142)</f>
        <v/>
      </c>
      <c r="BB94" s="734" t="str">
        <f t="shared" si="109"/>
        <v/>
      </c>
      <c r="BC94" s="734" t="str">
        <f t="shared" si="110"/>
        <v/>
      </c>
      <c r="BD94" s="735" t="str">
        <f t="shared" si="111"/>
        <v/>
      </c>
      <c r="BF94" s="779"/>
      <c r="BG94" s="777"/>
      <c r="BH94" s="778"/>
      <c r="BI94" s="752">
        <v>3</v>
      </c>
    </row>
    <row r="95" spans="1:63" x14ac:dyDescent="0.2">
      <c r="A95" s="105" t="e">
        <f>'DATOS GENERALES'!A143:B143+AV95</f>
        <v>#VALUE!</v>
      </c>
      <c r="B95" s="106"/>
      <c r="C95" s="105" t="e">
        <f>'DATOS GENERALES'!C143:D143+BC95</f>
        <v>#VALUE!</v>
      </c>
      <c r="D95" s="106"/>
      <c r="E95" s="107" t="e">
        <f>'DATOS GENERALES'!E143:F143+T95</f>
        <v>#VALUE!</v>
      </c>
      <c r="F95" s="108"/>
      <c r="G95" s="109" t="e">
        <f>'DATOS GENERALES'!G143:H143+AA95</f>
        <v>#VALUE!</v>
      </c>
      <c r="H95" s="110"/>
      <c r="I95" s="111" t="e">
        <f>'DATOS GENERALES'!I143:J143+AH95</f>
        <v>#VALUE!</v>
      </c>
      <c r="J95" s="112"/>
      <c r="K95" s="802" t="e">
        <f>'DATOS GENERALES'!K143:L143+AO95</f>
        <v>#VALUE!</v>
      </c>
      <c r="L95" s="112"/>
      <c r="N95" s="54"/>
      <c r="O95" s="731" t="s">
        <v>621</v>
      </c>
      <c r="P95" s="732" t="str">
        <f>IF('DATOS GENERALES'!E143="","",'DATOS GENERALES'!E143)</f>
        <v/>
      </c>
      <c r="S95" s="734" t="str">
        <f t="shared" si="94"/>
        <v/>
      </c>
      <c r="T95" s="734" t="str">
        <f t="shared" si="95"/>
        <v/>
      </c>
      <c r="U95" s="735" t="str">
        <f t="shared" si="96"/>
        <v/>
      </c>
      <c r="V95" s="725"/>
      <c r="W95" s="737" t="str">
        <f>IF('DATOS GENERALES'!G143="","",'DATOS GENERALES'!G143)</f>
        <v/>
      </c>
      <c r="Z95" s="734" t="str">
        <f t="shared" si="97"/>
        <v/>
      </c>
      <c r="AA95" s="734" t="str">
        <f t="shared" si="98"/>
        <v/>
      </c>
      <c r="AB95" s="735" t="str">
        <f t="shared" si="99"/>
        <v/>
      </c>
      <c r="AC95" s="727"/>
      <c r="AD95" s="737" t="str">
        <f>IF('DATOS GENERALES'!I143="","",'DATOS GENERALES'!I143)</f>
        <v/>
      </c>
      <c r="AG95" s="734" t="str">
        <f t="shared" si="100"/>
        <v/>
      </c>
      <c r="AH95" s="734" t="str">
        <f t="shared" si="101"/>
        <v/>
      </c>
      <c r="AI95" s="735" t="str">
        <f t="shared" si="102"/>
        <v/>
      </c>
      <c r="AJ95" s="725"/>
      <c r="AK95" s="737" t="str">
        <f>IF('DATOS GENERALES'!K143="","",'DATOS GENERALES'!K143)</f>
        <v/>
      </c>
      <c r="AN95" s="734" t="str">
        <f t="shared" si="103"/>
        <v/>
      </c>
      <c r="AO95" s="734" t="str">
        <f t="shared" si="104"/>
        <v/>
      </c>
      <c r="AP95" s="735" t="str">
        <f t="shared" si="105"/>
        <v/>
      </c>
      <c r="AQ95" s="725"/>
      <c r="AR95" s="737" t="str">
        <f>IF('DATOS GENERALES'!A143="","",'DATOS GENERALES'!A143)</f>
        <v/>
      </c>
      <c r="AU95" s="734" t="str">
        <f t="shared" si="106"/>
        <v/>
      </c>
      <c r="AV95" s="734" t="str">
        <f t="shared" si="107"/>
        <v/>
      </c>
      <c r="AW95" s="735" t="str">
        <f t="shared" si="108"/>
        <v/>
      </c>
      <c r="AX95" s="725"/>
      <c r="AY95" s="737" t="str">
        <f>IF('DATOS GENERALES'!C143="","",'DATOS GENERALES'!C143)</f>
        <v/>
      </c>
      <c r="BB95" s="734" t="str">
        <f t="shared" si="109"/>
        <v/>
      </c>
      <c r="BC95" s="734" t="str">
        <f t="shared" si="110"/>
        <v/>
      </c>
      <c r="BD95" s="735" t="str">
        <f t="shared" si="111"/>
        <v/>
      </c>
      <c r="BF95" s="779"/>
      <c r="BG95" s="777"/>
      <c r="BH95" s="778"/>
      <c r="BI95" s="752">
        <v>4</v>
      </c>
      <c r="BK95" s="1"/>
    </row>
    <row r="96" spans="1:63" x14ac:dyDescent="0.2">
      <c r="A96" s="397"/>
      <c r="B96" s="397"/>
      <c r="C96" s="397"/>
      <c r="D96" s="397"/>
      <c r="E96" s="398"/>
      <c r="F96" s="398"/>
      <c r="G96" s="399"/>
      <c r="H96" s="399"/>
      <c r="I96" s="400"/>
      <c r="J96" s="401"/>
      <c r="K96" s="401"/>
      <c r="L96" s="401"/>
      <c r="O96" s="731" t="s">
        <v>622</v>
      </c>
      <c r="P96" s="732"/>
      <c r="S96" s="734" t="str">
        <f t="shared" si="94"/>
        <v/>
      </c>
      <c r="T96" s="734" t="str">
        <f t="shared" si="95"/>
        <v/>
      </c>
      <c r="U96" s="735" t="str">
        <f t="shared" si="96"/>
        <v/>
      </c>
      <c r="V96" s="725"/>
      <c r="W96" s="771"/>
      <c r="Z96" s="734" t="str">
        <f t="shared" si="97"/>
        <v/>
      </c>
      <c r="AA96" s="734" t="str">
        <f t="shared" si="98"/>
        <v/>
      </c>
      <c r="AB96" s="735" t="str">
        <f t="shared" si="99"/>
        <v/>
      </c>
      <c r="AC96" s="727"/>
      <c r="AD96" s="771"/>
      <c r="AG96" s="734" t="str">
        <f t="shared" si="100"/>
        <v/>
      </c>
      <c r="AH96" s="734" t="str">
        <f t="shared" si="101"/>
        <v/>
      </c>
      <c r="AI96" s="735" t="str">
        <f t="shared" si="102"/>
        <v/>
      </c>
      <c r="AJ96" s="725"/>
      <c r="AK96" s="771"/>
      <c r="AN96" s="734" t="str">
        <f t="shared" si="103"/>
        <v/>
      </c>
      <c r="AO96" s="734" t="str">
        <f t="shared" si="104"/>
        <v/>
      </c>
      <c r="AP96" s="735" t="str">
        <f t="shared" si="105"/>
        <v/>
      </c>
      <c r="AQ96" s="725"/>
      <c r="AR96" s="771"/>
      <c r="AU96" s="734" t="str">
        <f t="shared" si="106"/>
        <v/>
      </c>
      <c r="AV96" s="734" t="str">
        <f t="shared" si="107"/>
        <v/>
      </c>
      <c r="AW96" s="735" t="str">
        <f t="shared" si="108"/>
        <v/>
      </c>
      <c r="AX96" s="725"/>
      <c r="AY96" s="771"/>
      <c r="BB96" s="734" t="str">
        <f t="shared" si="109"/>
        <v/>
      </c>
      <c r="BC96" s="734" t="str">
        <f t="shared" si="110"/>
        <v/>
      </c>
      <c r="BD96" s="735" t="str">
        <f t="shared" si="111"/>
        <v/>
      </c>
      <c r="BF96" s="779"/>
      <c r="BG96" s="777"/>
      <c r="BH96" s="778"/>
      <c r="BI96" s="752">
        <v>5</v>
      </c>
      <c r="BK96" s="1"/>
    </row>
    <row r="97" spans="1:65" x14ac:dyDescent="0.2">
      <c r="A97" s="397"/>
      <c r="B97" s="397"/>
      <c r="C97" s="397"/>
      <c r="D97" s="397"/>
      <c r="E97" s="398"/>
      <c r="F97" s="398"/>
      <c r="G97" s="399"/>
      <c r="H97" s="399"/>
      <c r="I97" s="400"/>
      <c r="J97" s="401"/>
      <c r="K97" s="401"/>
      <c r="L97" s="401"/>
      <c r="O97" s="743" t="s">
        <v>623</v>
      </c>
      <c r="P97" s="744"/>
      <c r="S97" s="734" t="str">
        <f t="shared" si="94"/>
        <v/>
      </c>
      <c r="T97" s="734" t="str">
        <f t="shared" si="95"/>
        <v/>
      </c>
      <c r="U97" s="735" t="str">
        <f t="shared" si="96"/>
        <v/>
      </c>
      <c r="V97" s="725"/>
      <c r="W97" s="771"/>
      <c r="Z97" s="734" t="str">
        <f t="shared" si="97"/>
        <v/>
      </c>
      <c r="AA97" s="734" t="str">
        <f t="shared" si="98"/>
        <v/>
      </c>
      <c r="AB97" s="735" t="str">
        <f t="shared" si="99"/>
        <v/>
      </c>
      <c r="AC97" s="727"/>
      <c r="AD97" s="771"/>
      <c r="AG97" s="734" t="str">
        <f t="shared" si="100"/>
        <v/>
      </c>
      <c r="AH97" s="734" t="str">
        <f t="shared" si="101"/>
        <v/>
      </c>
      <c r="AI97" s="735" t="str">
        <f t="shared" si="102"/>
        <v/>
      </c>
      <c r="AJ97" s="725"/>
      <c r="AK97" s="771"/>
      <c r="AN97" s="734" t="str">
        <f t="shared" si="103"/>
        <v/>
      </c>
      <c r="AO97" s="734" t="str">
        <f t="shared" si="104"/>
        <v/>
      </c>
      <c r="AP97" s="735" t="str">
        <f t="shared" si="105"/>
        <v/>
      </c>
      <c r="AQ97" s="725"/>
      <c r="AR97" s="771"/>
      <c r="AU97" s="734" t="str">
        <f t="shared" si="106"/>
        <v/>
      </c>
      <c r="AV97" s="734" t="str">
        <f t="shared" si="107"/>
        <v/>
      </c>
      <c r="AW97" s="735" t="str">
        <f t="shared" si="108"/>
        <v/>
      </c>
      <c r="AX97" s="725"/>
      <c r="AY97" s="771"/>
      <c r="BB97" s="734" t="str">
        <f t="shared" si="109"/>
        <v/>
      </c>
      <c r="BC97" s="734" t="str">
        <f t="shared" si="110"/>
        <v/>
      </c>
      <c r="BD97" s="735" t="str">
        <f t="shared" si="111"/>
        <v/>
      </c>
      <c r="BF97" s="779"/>
      <c r="BG97" s="777"/>
      <c r="BH97" s="780"/>
      <c r="BI97" s="752">
        <v>6</v>
      </c>
      <c r="BK97" s="1"/>
    </row>
    <row r="98" spans="1:65" x14ac:dyDescent="0.2">
      <c r="A98" s="397"/>
      <c r="B98" s="397"/>
      <c r="C98" s="397"/>
      <c r="D98" s="397"/>
      <c r="E98" s="398"/>
      <c r="F98" s="398"/>
      <c r="G98" s="399"/>
      <c r="H98" s="399"/>
      <c r="I98" s="400"/>
      <c r="J98" s="401"/>
      <c r="K98" s="401"/>
      <c r="L98" s="401"/>
      <c r="O98" s="731" t="s">
        <v>625</v>
      </c>
      <c r="P98" s="745" t="e">
        <f>AVERAGE(P86:P97)</f>
        <v>#DIV/0!</v>
      </c>
      <c r="S98" s="734" t="e">
        <f t="shared" si="94"/>
        <v>#DIV/0!</v>
      </c>
      <c r="T98" s="734" t="e">
        <f t="shared" si="95"/>
        <v>#DIV/0!</v>
      </c>
      <c r="U98" s="735" t="e">
        <f t="shared" si="96"/>
        <v>#DIV/0!</v>
      </c>
      <c r="V98" s="725"/>
      <c r="W98" s="747" t="e">
        <f>AVERAGE(W86:W97)</f>
        <v>#DIV/0!</v>
      </c>
      <c r="Z98" s="734" t="e">
        <f t="shared" si="97"/>
        <v>#DIV/0!</v>
      </c>
      <c r="AA98" s="734" t="e">
        <f t="shared" si="98"/>
        <v>#DIV/0!</v>
      </c>
      <c r="AB98" s="735" t="e">
        <f t="shared" si="99"/>
        <v>#DIV/0!</v>
      </c>
      <c r="AC98" s="727"/>
      <c r="AD98" s="747" t="e">
        <f>AVERAGE(AD86:AD97)</f>
        <v>#DIV/0!</v>
      </c>
      <c r="AG98" s="734" t="e">
        <f t="shared" si="100"/>
        <v>#DIV/0!</v>
      </c>
      <c r="AH98" s="734" t="e">
        <f t="shared" si="101"/>
        <v>#DIV/0!</v>
      </c>
      <c r="AI98" s="735" t="e">
        <f t="shared" si="102"/>
        <v>#DIV/0!</v>
      </c>
      <c r="AJ98" s="725"/>
      <c r="AK98" s="747" t="e">
        <f>AVERAGE(AK86:AK97)</f>
        <v>#DIV/0!</v>
      </c>
      <c r="AN98" s="734" t="e">
        <f t="shared" si="103"/>
        <v>#DIV/0!</v>
      </c>
      <c r="AO98" s="734" t="e">
        <f t="shared" si="104"/>
        <v>#DIV/0!</v>
      </c>
      <c r="AP98" s="735" t="e">
        <f t="shared" si="105"/>
        <v>#DIV/0!</v>
      </c>
      <c r="AQ98" s="725"/>
      <c r="AR98" s="860" t="e">
        <f>AVERAGE(AY86-AR86,AY87-AR87,AY88-AR88,AY89-AR89,AY90-AR90,AY91-AR91,AY92-AR92,AY93-AR93,AY94-AR94,AY95-AR95)</f>
        <v>#VALUE!</v>
      </c>
      <c r="AU98" s="734" t="e">
        <f>IF(AR98="","",IF(AR98&lt;50,$BG$27+$BG$28*AR98+$BG$29*AR98^2+$BG$30*AR98^3+$BG$31*AR98^4+$BG$32*AR98^5+$BG$33*AR98^6+$BG$34*AR98^7+$BG$35*AR98^8+$BG$36*AR98^9+$BG$37*AR98^10+$BG$38*AR98^11,$BG$40+$BG$41*AR98+$BG$42*AR98^2+$BG$43*AR98^3+$BG$44*AR98^4+$BG$45*AR98^5+$BG$46*AR98^6+$BG$47*AR98^7+$BG$48*AR98^8+$BG$49*AR98^9+$BG$50*AR98^10+$BG$51*AR98^11))</f>
        <v>#VALUE!</v>
      </c>
      <c r="AV98" s="734" t="e">
        <f t="shared" si="107"/>
        <v>#VALUE!</v>
      </c>
      <c r="AW98" s="735" t="e">
        <f>IF(AR98="","",IF(AR98&lt;50,$BH$27+$BH$28*AR98+$BH$29*AR98^2+$BH$30*AR98^3+$BH$31*AR98^4+$BH$32*AR98^5+$BH$33*AR98^6+$BH$34*AR98^7+$BH$35*AR98^8+$BH$36*AR98^9+$BH$37*AR98^10+$BH$38*AR98^11,$BH$40+$BH$41*AR98+$BH$42*AR98^2+$BH$43*AR98^3+$BH$44*AR98^4+$BH$45*AR98^5+$BH$46*AR98^6+$BH$47*AR98^7+$BH$48*AR98^8+$BH$49*AR98^9+$BH$50*AR98^10+$BH$51*AR98^11))</f>
        <v>#VALUE!</v>
      </c>
      <c r="AX98" s="725"/>
      <c r="AY98" s="860" t="e">
        <f>AVERAGE(BB86-AU86,BB87-AU87,BB88-AU88,BB89-AU89,BB90-AU90,BB91-AU91,BB92-AU92,BB93-AU93,BB94-AU94,BB95-AU95)</f>
        <v>#VALUE!</v>
      </c>
      <c r="BB98" s="734" t="e">
        <f>AVERAGE(BB86-AU86,BB87-AU87,BB88-AU88,BB89-AU89,BB90-AU90,BB91-AU91,BB92-AU92,BB93-AU93,BB94-AU94,BB95-AU95)</f>
        <v>#VALUE!</v>
      </c>
      <c r="BC98" s="734" t="e">
        <f>IF(AY98="","",BB98-AY98)</f>
        <v>#VALUE!</v>
      </c>
      <c r="BD98" s="735" t="e">
        <f>IF(AY98="","",IF(AR98&lt;50,$BH$27+$BH$28*AR98+$BH$29*AR98^2+$BH$30*AR98^3+$BH$31*AR98^4+$BH$32*AR98^5+$BH$33*AR98^6+$BH$34*AR98^7+$BH$35*AR98^8+$BH$36*AR98^9+$BH$37*AR98^10+$BH$38*AR98^11,$BH$40+$BH$41*AR98+$BH$42*AR98^2+$BH$43*AR98^3+$BH$44*AR98^4+$BH$45*AR98^5+$BH$46*AR98^6+$BH$47*AR98^7+$BH$48*AR98^8+$BH$49*AR98^9+$BH$50*AR98^10+$BH$51*AR98^11))</f>
        <v>#VALUE!</v>
      </c>
      <c r="BF98" s="779"/>
      <c r="BG98" s="777"/>
      <c r="BH98" s="780"/>
      <c r="BI98" s="752">
        <v>7</v>
      </c>
    </row>
    <row r="99" spans="1:65" x14ac:dyDescent="0.2">
      <c r="O99" s="731" t="s">
        <v>626</v>
      </c>
      <c r="P99" s="745">
        <f>MIN(P86:P97)</f>
        <v>0</v>
      </c>
      <c r="S99" s="734">
        <f t="shared" si="94"/>
        <v>-0.25373610378812117</v>
      </c>
      <c r="T99" s="734">
        <f t="shared" si="95"/>
        <v>-0.25373610378812117</v>
      </c>
      <c r="U99" s="735">
        <f t="shared" si="96"/>
        <v>5.3999999999999979E-2</v>
      </c>
      <c r="V99" s="725"/>
      <c r="W99" s="747">
        <f>MIN(W86:W97)</f>
        <v>0</v>
      </c>
      <c r="Z99" s="734">
        <f t="shared" si="97"/>
        <v>-3.125856370358747</v>
      </c>
      <c r="AA99" s="734">
        <f t="shared" si="98"/>
        <v>-3.125856370358747</v>
      </c>
      <c r="AB99" s="735">
        <f t="shared" si="99"/>
        <v>-0.15749924585323016</v>
      </c>
      <c r="AC99" s="727"/>
      <c r="AD99" s="747">
        <f>MIN(AD86:AD97)</f>
        <v>0</v>
      </c>
      <c r="AG99" s="734">
        <f t="shared" si="100"/>
        <v>-7.9629937306273462</v>
      </c>
      <c r="AH99" s="734">
        <f t="shared" si="101"/>
        <v>-7.9629937306273462</v>
      </c>
      <c r="AI99" s="735">
        <f t="shared" si="102"/>
        <v>0.44434166912111861</v>
      </c>
      <c r="AJ99" s="725"/>
      <c r="AK99" s="747">
        <f>MIN(AK86:AK97)</f>
        <v>0</v>
      </c>
      <c r="AN99" s="734">
        <f t="shared" si="103"/>
        <v>24893.425340665504</v>
      </c>
      <c r="AO99" s="734">
        <f t="shared" si="104"/>
        <v>24893.425340665504</v>
      </c>
      <c r="AP99" s="735">
        <f t="shared" si="105"/>
        <v>0.4400001043732118</v>
      </c>
      <c r="AQ99" s="725"/>
      <c r="AR99" s="860" t="e">
        <f>MIN(AY86-AR86,AY87-AR87,AY88-AR88,AY89-AR89,AY90-AR90,AY91-AR91,AY92-AR92,AY93-AR93,AY94-AR94,AY95-AR95)</f>
        <v>#VALUE!</v>
      </c>
      <c r="AU99" s="734" t="e">
        <f t="shared" ref="AU99:AU100" si="112">IF(AR99="","",IF(AR99&lt;50,$BG$27+$BG$28*AR99+$BG$29*AR99^2+$BG$30*AR99^3+$BG$31*AR99^4+$BG$32*AR99^5+$BG$33*AR99^6+$BG$34*AR99^7+$BG$35*AR99^8+$BG$36*AR99^9+$BG$37*AR99^10+$BG$38*AR99^11,$BG$40+$BG$41*AR99+$BG$42*AR99^2+$BG$43*AR99^3+$BG$44*AR99^4+$BG$45*AR99^5+$BG$46*AR99^6+$BG$47*AR99^7+$BG$48*AR99^8+$BG$49*AR99^9+$BG$50*AR99^10+$BG$51*AR99^11))</f>
        <v>#VALUE!</v>
      </c>
      <c r="AV99" s="734" t="e">
        <f t="shared" si="107"/>
        <v>#VALUE!</v>
      </c>
      <c r="AW99" s="735" t="e">
        <f t="shared" ref="AW99:AW100" si="113">IF(AR99="","",IF(AR99&lt;50,$BH$27+$BH$28*AR99+$BH$29*AR99^2+$BH$30*AR99^3+$BH$31*AR99^4+$BH$32*AR99^5+$BH$33*AR99^6+$BH$34*AR99^7+$BH$35*AR99^8+$BH$36*AR99^9+$BH$37*AR99^10+$BH$38*AR99^11,$BH$40+$BH$41*AR99+$BH$42*AR99^2+$BH$43*AR99^3+$BH$44*AR99^4+$BH$45*AR99^5+$BH$46*AR99^6+$BH$47*AR99^7+$BH$48*AR99^8+$BH$49*AR99^9+$BH$50*AR99^10+$BH$51*AR99^11))</f>
        <v>#VALUE!</v>
      </c>
      <c r="AX99" s="725"/>
      <c r="AY99" s="860" t="e">
        <f>MIN(BB86-AU86,BB87-AU87,BB88-AU88,BB89-AU89,BB90-AU90,BB91-AU91,BB92-AU92,BB93-AU93,BB94-AU94,BB95-AU95)</f>
        <v>#VALUE!</v>
      </c>
      <c r="BB99" s="734" t="e">
        <f>MIN(BB86-AU86,BB87-AU87,BB88-AU88,BB89-AU89,BB90-AU90,BB91-AU91,BB92-AU92,BB93-AU93,BB94-AU94,BB95-AU95)</f>
        <v>#VALUE!</v>
      </c>
      <c r="BC99" s="734" t="e">
        <f t="shared" ref="BC99:BC100" si="114">IF(AY99="","",BB99-AY99)</f>
        <v>#VALUE!</v>
      </c>
      <c r="BD99" s="735" t="e">
        <f t="shared" ref="BD99:BD100" si="115">IF(AY99="","",IF(AR99&lt;50,$BH$27+$BH$28*AR99+$BH$29*AR99^2+$BH$30*AR99^3+$BH$31*AR99^4+$BH$32*AR99^5+$BH$33*AR99^6+$BH$34*AR99^7+$BH$35*AR99^8+$BH$36*AR99^9+$BH$37*AR99^10+$BH$38*AR99^11,$BH$40+$BH$41*AR99+$BH$42*AR99^2+$BH$43*AR99^3+$BH$44*AR99^4+$BH$45*AR99^5+$BH$46*AR99^6+$BH$47*AR99^7+$BH$48*AR99^8+$BH$49*AR99^9+$BH$50*AR99^10+$BH$51*AR99^11))</f>
        <v>#VALUE!</v>
      </c>
      <c r="BF99" s="779"/>
      <c r="BG99" s="777"/>
      <c r="BH99" s="780"/>
      <c r="BI99" s="752">
        <v>8</v>
      </c>
      <c r="BM99" s="1"/>
    </row>
    <row r="100" spans="1:65" x14ac:dyDescent="0.2">
      <c r="O100" s="731" t="s">
        <v>627</v>
      </c>
      <c r="P100" s="745">
        <f>MAX(P86:P97)</f>
        <v>0</v>
      </c>
      <c r="S100" s="734">
        <f t="shared" si="94"/>
        <v>-0.25373610378812117</v>
      </c>
      <c r="T100" s="734">
        <f t="shared" si="95"/>
        <v>-0.25373610378812117</v>
      </c>
      <c r="U100" s="735">
        <f t="shared" si="96"/>
        <v>5.3999999999999979E-2</v>
      </c>
      <c r="V100" s="725"/>
      <c r="W100" s="747">
        <f>MAX(W86:W97)</f>
        <v>0</v>
      </c>
      <c r="Z100" s="734">
        <f t="shared" si="97"/>
        <v>-3.125856370358747</v>
      </c>
      <c r="AA100" s="734">
        <f t="shared" si="98"/>
        <v>-3.125856370358747</v>
      </c>
      <c r="AB100" s="735">
        <f t="shared" si="99"/>
        <v>-0.15749924585323016</v>
      </c>
      <c r="AC100" s="727"/>
      <c r="AD100" s="747">
        <f>MAX(AD86:AD97)</f>
        <v>0</v>
      </c>
      <c r="AG100" s="734">
        <f t="shared" si="100"/>
        <v>-7.9629937306273462</v>
      </c>
      <c r="AH100" s="734">
        <f t="shared" si="101"/>
        <v>-7.9629937306273462</v>
      </c>
      <c r="AI100" s="735">
        <f t="shared" si="102"/>
        <v>0.44434166912111861</v>
      </c>
      <c r="AJ100" s="725"/>
      <c r="AK100" s="747">
        <f>MAX(AK86:AK97)</f>
        <v>0</v>
      </c>
      <c r="AN100" s="734">
        <f t="shared" si="103"/>
        <v>24893.425340665504</v>
      </c>
      <c r="AO100" s="734">
        <f t="shared" si="104"/>
        <v>24893.425340665504</v>
      </c>
      <c r="AP100" s="735">
        <f t="shared" si="105"/>
        <v>0.4400001043732118</v>
      </c>
      <c r="AQ100" s="725"/>
      <c r="AR100" s="860" t="e">
        <f>MAX(AY86-AR86,AY87-AR87,AY88-AR88,AY89-AR89,AY90-AR90,AY91-AR91,AY92-AR92,AY93-AR93,AY94-AR94,AY95-AR95)</f>
        <v>#VALUE!</v>
      </c>
      <c r="AU100" s="734" t="e">
        <f t="shared" si="112"/>
        <v>#VALUE!</v>
      </c>
      <c r="AV100" s="734" t="e">
        <f t="shared" si="107"/>
        <v>#VALUE!</v>
      </c>
      <c r="AW100" s="735" t="e">
        <f t="shared" si="113"/>
        <v>#VALUE!</v>
      </c>
      <c r="AX100" s="725"/>
      <c r="AY100" s="860" t="e">
        <f>MAX(BB86-AU86,BB87-AU87,BB88-AU88,BB89-AU89,BB90-AU90,BB91-AU91,BB92-AU92,BB93-AU93,BB94-AU94,BB95-AU95)</f>
        <v>#VALUE!</v>
      </c>
      <c r="BB100" s="734" t="e">
        <f>MAX(BB86-AU86,BB87-AU87,BB88-AU88,BB89-AU89,BB90-AU90,BB91-AU91,BB92-AU92,BB93-AU93,BB94-AU94,BB95-AU95)</f>
        <v>#VALUE!</v>
      </c>
      <c r="BC100" s="734" t="e">
        <f t="shared" si="114"/>
        <v>#VALUE!</v>
      </c>
      <c r="BD100" s="735" t="e">
        <f t="shared" si="115"/>
        <v>#VALUE!</v>
      </c>
      <c r="BF100" s="779"/>
      <c r="BG100" s="781"/>
      <c r="BH100" s="781"/>
      <c r="BI100" s="752">
        <v>9</v>
      </c>
    </row>
    <row r="101" spans="1:65" x14ac:dyDescent="0.2">
      <c r="O101" s="720"/>
      <c r="P101" s="770"/>
      <c r="U101" s="123"/>
      <c r="V101" s="725"/>
      <c r="W101" s="771"/>
      <c r="AB101" s="123"/>
      <c r="AC101" s="727"/>
      <c r="AD101" s="771"/>
      <c r="AI101" s="123"/>
      <c r="AJ101" s="725"/>
      <c r="AK101" s="771"/>
      <c r="AP101" s="123"/>
      <c r="AQ101" s="725"/>
      <c r="AR101" s="771"/>
      <c r="AW101" s="123"/>
      <c r="AX101" s="725"/>
      <c r="AY101" s="771"/>
      <c r="BD101" s="123"/>
      <c r="BF101" s="779"/>
      <c r="BG101" s="781"/>
      <c r="BH101" s="781"/>
      <c r="BI101" s="752">
        <v>10</v>
      </c>
    </row>
    <row r="102" spans="1:65" ht="13.5" thickBot="1" x14ac:dyDescent="0.25">
      <c r="O102" s="782"/>
      <c r="P102" s="783"/>
      <c r="Q102" s="784"/>
      <c r="R102" s="784"/>
      <c r="S102" s="784"/>
      <c r="T102" s="784"/>
      <c r="U102" s="785"/>
      <c r="V102" s="725"/>
      <c r="W102" s="786"/>
      <c r="X102" s="784"/>
      <c r="Y102" s="784"/>
      <c r="Z102" s="784"/>
      <c r="AA102" s="784"/>
      <c r="AB102" s="785"/>
      <c r="AC102" s="727"/>
      <c r="AD102" s="786"/>
      <c r="AE102" s="784"/>
      <c r="AF102" s="784"/>
      <c r="AG102" s="784"/>
      <c r="AH102" s="784"/>
      <c r="AI102" s="785"/>
      <c r="AJ102" s="725"/>
      <c r="AK102" s="786"/>
      <c r="AL102" s="784"/>
      <c r="AM102" s="784"/>
      <c r="AN102" s="784"/>
      <c r="AO102" s="784"/>
      <c r="AP102" s="785"/>
      <c r="AQ102" s="725"/>
      <c r="AR102" s="786"/>
      <c r="AS102" s="784"/>
      <c r="AT102" s="784"/>
      <c r="AU102" s="784"/>
      <c r="AV102" s="784"/>
      <c r="AW102" s="785"/>
      <c r="AX102" s="725"/>
      <c r="AY102" s="786"/>
      <c r="AZ102" s="784"/>
      <c r="BA102" s="784"/>
      <c r="BB102" s="784"/>
      <c r="BC102" s="784"/>
      <c r="BD102" s="785"/>
      <c r="BF102" s="787"/>
      <c r="BG102" s="781"/>
      <c r="BH102" s="781"/>
      <c r="BI102" s="752">
        <v>11</v>
      </c>
    </row>
    <row r="103" spans="1:65" ht="48" x14ac:dyDescent="0.2">
      <c r="A103" s="196" t="s">
        <v>73</v>
      </c>
      <c r="B103" s="197"/>
      <c r="C103" s="196" t="s">
        <v>74</v>
      </c>
      <c r="D103" s="197"/>
      <c r="E103" s="198" t="s">
        <v>75</v>
      </c>
      <c r="F103" s="199"/>
      <c r="G103" s="198" t="s">
        <v>172</v>
      </c>
      <c r="H103" s="199"/>
      <c r="I103" s="198" t="s">
        <v>174</v>
      </c>
      <c r="J103" s="199"/>
      <c r="K103" s="194" t="s">
        <v>173</v>
      </c>
      <c r="L103" s="195"/>
      <c r="O103" s="788"/>
      <c r="P103" s="789" t="str">
        <f>P12</f>
        <v>Temperatura del agua [°C]</v>
      </c>
      <c r="S103" s="775" t="s">
        <v>609</v>
      </c>
      <c r="T103" s="201" t="s">
        <v>610</v>
      </c>
      <c r="U103" s="768" t="s">
        <v>611</v>
      </c>
      <c r="V103" s="720"/>
      <c r="W103" s="790" t="str">
        <f>W12</f>
        <v>Temperatura del aire [°C]</v>
      </c>
      <c r="Z103" s="775" t="s">
        <v>609</v>
      </c>
      <c r="AA103" s="201" t="s">
        <v>610</v>
      </c>
      <c r="AB103" s="768" t="s">
        <v>611</v>
      </c>
      <c r="AC103" s="791"/>
      <c r="AD103" s="790" t="str">
        <f>AD12</f>
        <v>Humedad del aire [%]</v>
      </c>
      <c r="AG103" s="775" t="s">
        <v>609</v>
      </c>
      <c r="AH103" s="201" t="s">
        <v>610</v>
      </c>
      <c r="AI103" s="768" t="s">
        <v>611</v>
      </c>
      <c r="AJ103" s="720"/>
      <c r="AK103" s="790" t="str">
        <f>AK12</f>
        <v>presion Atmosferica hPa</v>
      </c>
      <c r="AN103" s="775" t="s">
        <v>609</v>
      </c>
      <c r="AO103" s="201" t="s">
        <v>610</v>
      </c>
      <c r="AP103" s="768" t="s">
        <v>611</v>
      </c>
      <c r="AQ103" s="720"/>
      <c r="AR103" s="790" t="str">
        <f>AR12</f>
        <v>W0 [ g ]</v>
      </c>
      <c r="AU103" s="775" t="s">
        <v>609</v>
      </c>
      <c r="AV103" s="201" t="s">
        <v>610</v>
      </c>
      <c r="AW103" s="768" t="s">
        <v>611</v>
      </c>
      <c r="AX103" s="720"/>
      <c r="AY103" s="790" t="str">
        <f>AY12</f>
        <v>W1 [ g ]</v>
      </c>
      <c r="BB103" s="775" t="s">
        <v>609</v>
      </c>
      <c r="BC103" s="201" t="s">
        <v>610</v>
      </c>
      <c r="BD103" s="768" t="s">
        <v>611</v>
      </c>
    </row>
    <row r="104" spans="1:65" ht="12.75" customHeight="1" x14ac:dyDescent="0.2">
      <c r="A104" s="105" t="e">
        <f>'DATOS GENERALES'!#REF!+$G$3</f>
        <v>#REF!</v>
      </c>
      <c r="B104" s="106"/>
      <c r="C104" s="105" t="e">
        <f>'DATOS GENERALES'!#REF!+$G$3</f>
        <v>#REF!</v>
      </c>
      <c r="D104" s="106"/>
      <c r="E104" s="107" t="e">
        <f>'DATOS GENERALES'!#REF!+$G$5</f>
        <v>#REF!</v>
      </c>
      <c r="F104" s="108"/>
      <c r="G104" s="109" t="e">
        <f>'DATOS GENERALES'!#REF!+($G$8)</f>
        <v>#REF!</v>
      </c>
      <c r="H104" s="110"/>
      <c r="I104" s="111" t="e">
        <f>'DATOS GENERALES'!#REF!+($G$6)</f>
        <v>#REF!</v>
      </c>
      <c r="J104" s="112"/>
      <c r="K104" s="113" t="e">
        <f>'DATOS GENERALES'!#REF!+$G$7</f>
        <v>#REF!</v>
      </c>
      <c r="L104" s="112"/>
      <c r="O104" s="731" t="s">
        <v>625</v>
      </c>
      <c r="P104" s="745">
        <f>AVERAGE(P14:P25,P32:P43,P50:P61,P68:P79,P86:P97)</f>
        <v>20.722666666666665</v>
      </c>
      <c r="S104" s="734">
        <f t="shared" ref="S104:S106" si="116">IF(P104="","",$Q$14+$Q$15*P104+$Q$16*P104^2+$Q$17*P104^3+$Q$18*P104^4+$Q$19*P104^5+$Q$20*P104^6+$Q$21*P104^7+$Q$22*P104^8+$Q$23*P104^9+$Q$24*P104^10+$Q$25*P104^11)</f>
        <v>20.566932686495726</v>
      </c>
      <c r="T104" s="734">
        <f t="shared" ref="T104:T106" si="117">IF(P104="","",S104-P104)</f>
        <v>-0.15573398017093965</v>
      </c>
      <c r="U104" s="735">
        <f t="shared" ref="U104:U106" si="118">IF(P104="","",$R$14+$R$15*P104+$R$16*P104^2+$R$17*P104^3+$R$18*P104^4+$R$19*P104^5+$R$20*P104^6+$R$21*P104^7+$R$22*P104^8+$R$23*P104^9+$R$24*P104^10+$R$25*P104^11)</f>
        <v>5.3999999999999999E-2</v>
      </c>
      <c r="V104" s="731" t="s">
        <v>625</v>
      </c>
      <c r="W104" s="747">
        <f>AVERAGE(W14:W25,W32:W43,W50:W61,W68:W79,W86:W97)</f>
        <v>20.700000000000003</v>
      </c>
      <c r="Z104" s="734">
        <f t="shared" ref="Z104:Z106" si="119">IF(W104="","",$X$14+$X$15*W104+$X$16*W104^2+$X$17*W104^3+$X$18*W104^4+$X$19*W104^5+$X$20*W104^6+$X$21*W104^7+$X$22*W104^8+$X$23*W104^9+$X$24*W104^10+$X$25*W104^11)</f>
        <v>20.884773133008597</v>
      </c>
      <c r="AA104" s="734">
        <f t="shared" ref="AA104:AA106" si="120">IF(W104="","",Z104-W104)</f>
        <v>0.18477313300859421</v>
      </c>
      <c r="AB104" s="735">
        <f>IF(W104="","",$Y$14+$Y$15*W104+$Y$16*W104^2+$Y$17*W104^3+$Y$18*W104^4+$Y$19*W104^5+$Y$20*W104^6+$Y$21*W104^7+$Y$22*W104^8+$Y$23*W104^9+$Y$24*W104^10+$Y$25*W104^11)</f>
        <v>0.27977878625233493</v>
      </c>
      <c r="AC104" s="792" t="s">
        <v>625</v>
      </c>
      <c r="AD104" s="747">
        <f>AVERAGE(AD14:AD25,AD32:AD43,AD50:AD61,AD68:AD79,AD86:AD97)</f>
        <v>55.230000000000004</v>
      </c>
      <c r="AG104" s="734">
        <f t="shared" ref="AG104:AG106" si="121">IF(AD104="","",$AE$14+$AE$15*AD104+$AE$16*AD104^2+$AE$17*AD104^3+$AE$18*AD104^4+$AE$19*AD104^5+$AE$20*AD104^6+$AE$21*AD104^7+$AE$22*AD104^8+$AE$23*AD104^9+$AE$24*AD104^10+$AE$25*AD104^11)</f>
        <v>55.075343998578035</v>
      </c>
      <c r="AH104" s="734">
        <f t="shared" ref="AH104:AH106" si="122">IF(AD104="","",AG104-AD104)</f>
        <v>-0.15465600142196934</v>
      </c>
      <c r="AI104" s="735">
        <f t="shared" ref="AI104:AI106" si="123">IF(AD104="","",$AF$14+$AF$15*AD104+$AF$16*AD104^2+$AF$17*AD104^3+$AF$18*AD104^4+$AF$19*AD104^5+$AF$20*AD104^6+$AF$21*AD104^7+$AF$22*AD104^8+$AF$23*AD104^9+$AF$24*AD104^10+$AF$25*AD104^11)</f>
        <v>0.76235718023520405</v>
      </c>
      <c r="AJ104" s="731" t="s">
        <v>625</v>
      </c>
      <c r="AK104" s="747">
        <f>AVERAGE(AK14:AK25,AK32:AK43,AK50:AK61,AK68:AK79,AK86:AK97)</f>
        <v>910.13333333333333</v>
      </c>
      <c r="AN104" s="734">
        <f t="shared" ref="AN104:AN106" si="124">IF(AK104="","",$AL$14+$AL$15*AK104+$AL$16*AK104^2+$AL$17*AK104^3+$AL$18*AK104^4+$AL$19*AK104^5+$AL$20*AK104^6+$AL$21*AK104^7+$AL$22*AK104^8+$AL$23*AK104^9+$AL$24*AK104^10+$AL$25*AK104^11)</f>
        <v>910.47696355033986</v>
      </c>
      <c r="AO104" s="734">
        <f t="shared" ref="AO104:AO106" si="125">IF(AK104="","",AN104-AK104)</f>
        <v>0.34363021700653462</v>
      </c>
      <c r="AP104" s="735">
        <f t="shared" ref="AP104:AP106" si="126">IF(AK104="","",$AM$14+$AM$15*AK104+$AM$16*AK104^2+$AM$17*AK104^3+$AM$18*AK104^4+$AM$19*AK104^5+$AM$20*AK104^6+$AM$21*AK104^7+$AM$22*AK104^8+$AM$23*AK104^9+$AM$24*AK104^10+$AM$25*AK104^11)</f>
        <v>0.44000000660376454</v>
      </c>
      <c r="AQ104" s="731" t="s">
        <v>625</v>
      </c>
      <c r="AR104" s="747"/>
      <c r="AU104" s="734" t="str">
        <f t="shared" ref="AU104:AU106" si="127">IF(AR104="","",$AS$14+$AS$15*AR104+$AS$16*AR104^2+$AS$17*AR104^3+$AS$18*AR104^4+$AS$19*AR104^5+$AS$20*AR104^6+$AS$21*AR104^7+$AS$22*AR104^8+$AS$23*AR104^9+$AS$24*AR104^10+$AS$25*AR104^11)</f>
        <v/>
      </c>
      <c r="AV104" s="734" t="str">
        <f t="shared" ref="AV104:AV106" si="128">IF(AR104="","",AU104-AR104)</f>
        <v/>
      </c>
      <c r="AW104" s="735" t="str">
        <f t="shared" ref="AW104:AW106" si="129">IF(AR104="","",$AT$14+$AT$15*AR104+$AT$16*AR104^2+$AT$17*AR104^3+$AT$18*AR104^4+$AT$19*AR104^5+$AT$20*AR104^6+$AT$21*AR104^7+$AT$22*AR104^8+$AT$23*AR104^9+$AT$24*AR104^10+$AT$25*AR104^11)</f>
        <v/>
      </c>
      <c r="AX104" s="731" t="s">
        <v>625</v>
      </c>
      <c r="AY104" s="747"/>
      <c r="BB104" s="734"/>
      <c r="BC104" s="734"/>
      <c r="BD104" s="735"/>
      <c r="BF104" s="1076" t="s">
        <v>400</v>
      </c>
      <c r="BG104" s="749" t="s">
        <v>605</v>
      </c>
      <c r="BH104" s="749" t="s">
        <v>606</v>
      </c>
      <c r="BI104" s="750"/>
    </row>
    <row r="105" spans="1:65" x14ac:dyDescent="0.2">
      <c r="A105" s="105" t="e">
        <f>'DATOS GENERALES'!#REF!+$G$3</f>
        <v>#REF!</v>
      </c>
      <c r="B105" s="106"/>
      <c r="C105" s="105" t="e">
        <f>'DATOS GENERALES'!#REF!+$G$3</f>
        <v>#REF!</v>
      </c>
      <c r="D105" s="106"/>
      <c r="E105" s="107" t="e">
        <f>'DATOS GENERALES'!#REF!+$G$5</f>
        <v>#REF!</v>
      </c>
      <c r="F105" s="108"/>
      <c r="G105" s="109" t="e">
        <f>'DATOS GENERALES'!#REF!+($G$8)</f>
        <v>#REF!</v>
      </c>
      <c r="H105" s="110"/>
      <c r="I105" s="111" t="e">
        <f>'DATOS GENERALES'!#REF!+($G$6)</f>
        <v>#REF!</v>
      </c>
      <c r="J105" s="112"/>
      <c r="K105" s="113" t="e">
        <f>'DATOS GENERALES'!#REF!+$G$7</f>
        <v>#REF!</v>
      </c>
      <c r="L105" s="112"/>
      <c r="N105">
        <v>6</v>
      </c>
      <c r="O105" s="731" t="s">
        <v>626</v>
      </c>
      <c r="P105" s="793">
        <f>MIN(P14:P25,P32:P43,P50:P61,P68:P79,P86:P97)</f>
        <v>20.61</v>
      </c>
      <c r="S105" s="734">
        <f t="shared" si="116"/>
        <v>20.45422096638497</v>
      </c>
      <c r="T105" s="734">
        <f t="shared" si="117"/>
        <v>-0.15577903361502976</v>
      </c>
      <c r="U105" s="735">
        <f t="shared" si="118"/>
        <v>5.3999999999999999E-2</v>
      </c>
      <c r="V105" s="731" t="s">
        <v>626</v>
      </c>
      <c r="W105" s="794">
        <f>MIN(W14:W25,W32:W43,W50:W61,W68:W79,W86:W97)</f>
        <v>20.6</v>
      </c>
      <c r="Z105" s="734">
        <f t="shared" si="119"/>
        <v>20.786416832831947</v>
      </c>
      <c r="AA105" s="734">
        <f t="shared" si="120"/>
        <v>0.1864168328319451</v>
      </c>
      <c r="AB105" s="735">
        <f t="shared" ref="AB105:AB106" si="130">IF(W105="","",$Y$14+$Y$15*W105+$Y$16*W105^2+$Y$17*W105^3+$Y$18*W105^4+$Y$19*W105^5+$Y$20*W105^6+$Y$21*W105^7+$Y$22*W105^8+$Y$23*W105^9+$Y$24*W105^10+$Y$25*W105^11)</f>
        <v>0.27981562539672183</v>
      </c>
      <c r="AC105" s="792" t="s">
        <v>626</v>
      </c>
      <c r="AD105" s="794">
        <f>MIN(AD14:AD25,AD32:AD43,AD50:AD61,AD68:AD79,AD86:AD97)</f>
        <v>54.5</v>
      </c>
      <c r="AG105" s="734">
        <f t="shared" si="121"/>
        <v>54.29141783194715</v>
      </c>
      <c r="AH105" s="734">
        <f t="shared" si="122"/>
        <v>-0.20858216805284968</v>
      </c>
      <c r="AI105" s="735">
        <f t="shared" si="123"/>
        <v>0.75931990631004731</v>
      </c>
      <c r="AJ105" s="731" t="s">
        <v>626</v>
      </c>
      <c r="AK105" s="794">
        <f>MIN(AK14:AK25,AK32:AK43,AK50:AK61,AK68:AK79,AK86:AK97)</f>
        <v>910</v>
      </c>
      <c r="AN105" s="734">
        <f t="shared" si="124"/>
        <v>910.34412607728154</v>
      </c>
      <c r="AO105" s="734">
        <f t="shared" si="125"/>
        <v>0.34412607728154399</v>
      </c>
      <c r="AP105" s="735">
        <f t="shared" si="126"/>
        <v>0.44000000659045196</v>
      </c>
      <c r="AQ105" s="731" t="s">
        <v>626</v>
      </c>
      <c r="AR105" s="794"/>
      <c r="AU105" s="734" t="str">
        <f t="shared" si="127"/>
        <v/>
      </c>
      <c r="AV105" s="734" t="str">
        <f t="shared" si="128"/>
        <v/>
      </c>
      <c r="AW105" s="735" t="str">
        <f t="shared" si="129"/>
        <v/>
      </c>
      <c r="AX105" s="731" t="s">
        <v>626</v>
      </c>
      <c r="AY105" s="794"/>
      <c r="BB105" s="734"/>
      <c r="BC105" s="734"/>
      <c r="BD105" s="735"/>
      <c r="BF105" s="776"/>
      <c r="BG105" s="1034">
        <v>17402.665572616272</v>
      </c>
      <c r="BH105" s="1034">
        <v>1.5999999988580385</v>
      </c>
      <c r="BI105" s="752">
        <v>1</v>
      </c>
    </row>
    <row r="106" spans="1:65" ht="13.5" thickBot="1" x14ac:dyDescent="0.25">
      <c r="A106" s="105" t="e">
        <f>'DATOS GENERALES'!#REF!+$G$3</f>
        <v>#REF!</v>
      </c>
      <c r="B106" s="106"/>
      <c r="C106" s="105" t="e">
        <f>'DATOS GENERALES'!#REF!+$G$3</f>
        <v>#REF!</v>
      </c>
      <c r="D106" s="106"/>
      <c r="E106" s="107" t="e">
        <f>'DATOS GENERALES'!#REF!+$G$5</f>
        <v>#REF!</v>
      </c>
      <c r="F106" s="108"/>
      <c r="G106" s="109" t="e">
        <f>'DATOS GENERALES'!#REF!+($G$8)</f>
        <v>#REF!</v>
      </c>
      <c r="H106" s="110"/>
      <c r="I106" s="111" t="e">
        <f>'DATOS GENERALES'!#REF!+($G$6)</f>
        <v>#REF!</v>
      </c>
      <c r="J106" s="112"/>
      <c r="K106" s="113" t="e">
        <f>'DATOS GENERALES'!#REF!+$G$7</f>
        <v>#REF!</v>
      </c>
      <c r="L106" s="112"/>
      <c r="O106" s="731" t="s">
        <v>627</v>
      </c>
      <c r="P106" s="795">
        <f>MAX(P14:P25,P32:P43,P50:P61,P68:P79,P86:P97)</f>
        <v>20.85</v>
      </c>
      <c r="Q106" s="784"/>
      <c r="R106" s="784"/>
      <c r="S106" s="796">
        <f t="shared" si="116"/>
        <v>20.694310518778522</v>
      </c>
      <c r="T106" s="796">
        <f t="shared" si="117"/>
        <v>-0.1556894812214793</v>
      </c>
      <c r="U106" s="797">
        <f t="shared" si="118"/>
        <v>5.3999999999999999E-2</v>
      </c>
      <c r="V106" s="798" t="s">
        <v>627</v>
      </c>
      <c r="W106" s="799">
        <f>MAX(W14:W25,W32:W43,W50:W61,W68:W79,W86:W97)</f>
        <v>20.8</v>
      </c>
      <c r="X106" s="784"/>
      <c r="Y106" s="784"/>
      <c r="Z106" s="796">
        <f t="shared" si="119"/>
        <v>20.983065402808375</v>
      </c>
      <c r="AA106" s="796">
        <f t="shared" si="120"/>
        <v>0.18306540280837424</v>
      </c>
      <c r="AB106" s="797">
        <f t="shared" si="130"/>
        <v>0.27974014714180934</v>
      </c>
      <c r="AC106" s="800" t="s">
        <v>627</v>
      </c>
      <c r="AD106" s="799">
        <f>MAX(AD14:AD25,AD32:AD43,AD50:AD61,AD68:AD79,AD86:AD97)</f>
        <v>56</v>
      </c>
      <c r="AE106" s="784"/>
      <c r="AF106" s="784"/>
      <c r="AG106" s="796">
        <f t="shared" si="121"/>
        <v>55.90079436867709</v>
      </c>
      <c r="AH106" s="796">
        <f t="shared" si="122"/>
        <v>-9.9205631322909937E-2</v>
      </c>
      <c r="AI106" s="797">
        <f t="shared" si="123"/>
        <v>0.76552702756646807</v>
      </c>
      <c r="AJ106" s="798" t="s">
        <v>627</v>
      </c>
      <c r="AK106" s="799">
        <f>MAX(AK14:AK25,AK32:AK43,AK50:AK61,AK68:AK79,AK86:AK97)</f>
        <v>911</v>
      </c>
      <c r="AL106" s="784"/>
      <c r="AM106" s="784"/>
      <c r="AN106" s="796">
        <f t="shared" si="124"/>
        <v>911.34039976853819</v>
      </c>
      <c r="AO106" s="796">
        <f t="shared" si="125"/>
        <v>0.34039976853819098</v>
      </c>
      <c r="AP106" s="797">
        <f t="shared" si="126"/>
        <v>0.44000000669050343</v>
      </c>
      <c r="AQ106" s="798" t="s">
        <v>627</v>
      </c>
      <c r="AR106" s="799"/>
      <c r="AS106" s="784"/>
      <c r="AT106" s="784"/>
      <c r="AU106" s="796" t="str">
        <f t="shared" si="127"/>
        <v/>
      </c>
      <c r="AV106" s="796" t="str">
        <f t="shared" si="128"/>
        <v/>
      </c>
      <c r="AW106" s="797" t="str">
        <f t="shared" si="129"/>
        <v/>
      </c>
      <c r="AX106" s="798" t="s">
        <v>627</v>
      </c>
      <c r="AY106" s="799"/>
      <c r="AZ106" s="784"/>
      <c r="BA106" s="784"/>
      <c r="BB106" s="796"/>
      <c r="BC106" s="796"/>
      <c r="BD106" s="797"/>
      <c r="BF106" s="779"/>
      <c r="BG106" s="1034">
        <v>-100.58276254044904</v>
      </c>
      <c r="BH106" s="1034">
        <v>2.3874235921539366E-12</v>
      </c>
      <c r="BI106" s="752">
        <v>2</v>
      </c>
    </row>
    <row r="107" spans="1:65" x14ac:dyDescent="0.2">
      <c r="A107" s="105" t="e">
        <f>'DATOS GENERALES'!#REF!+$G$3</f>
        <v>#REF!</v>
      </c>
      <c r="B107" s="106"/>
      <c r="C107" s="105" t="e">
        <f>'DATOS GENERALES'!#REF!+$G$3</f>
        <v>#REF!</v>
      </c>
      <c r="D107" s="106"/>
      <c r="E107" s="107" t="e">
        <f>'DATOS GENERALES'!#REF!+$G$5</f>
        <v>#REF!</v>
      </c>
      <c r="F107" s="108"/>
      <c r="G107" s="109" t="e">
        <f>'DATOS GENERALES'!#REF!+($G$8)</f>
        <v>#REF!</v>
      </c>
      <c r="H107" s="110"/>
      <c r="I107" s="111" t="e">
        <f>'DATOS GENERALES'!#REF!+($G$6)</f>
        <v>#REF!</v>
      </c>
      <c r="J107" s="112"/>
      <c r="K107" s="113" t="e">
        <f>'DATOS GENERALES'!#REF!+$G$7</f>
        <v>#REF!</v>
      </c>
      <c r="L107" s="112"/>
      <c r="S107" s="754"/>
      <c r="T107" s="754"/>
      <c r="U107" s="746"/>
      <c r="BF107" s="779"/>
      <c r="BG107" s="1034">
        <v>0.23644404546821818</v>
      </c>
      <c r="BH107" s="1034">
        <v>-2.0816681711721685E-15</v>
      </c>
      <c r="BI107" s="752">
        <v>3</v>
      </c>
    </row>
    <row r="108" spans="1:65" x14ac:dyDescent="0.2">
      <c r="A108" s="105" t="e">
        <f>'DATOS GENERALES'!#REF!+$G$3</f>
        <v>#REF!</v>
      </c>
      <c r="B108" s="106"/>
      <c r="C108" s="105" t="e">
        <f>'DATOS GENERALES'!#REF!+$G$3</f>
        <v>#REF!</v>
      </c>
      <c r="D108" s="106"/>
      <c r="E108" s="107" t="e">
        <f>'DATOS GENERALES'!#REF!+$G$5</f>
        <v>#REF!</v>
      </c>
      <c r="F108" s="108"/>
      <c r="G108" s="109" t="e">
        <f>'DATOS GENERALES'!#REF!+($G$8)</f>
        <v>#REF!</v>
      </c>
      <c r="H108" s="110"/>
      <c r="I108" s="111" t="e">
        <f>'DATOS GENERALES'!#REF!+($G$6)</f>
        <v>#REF!</v>
      </c>
      <c r="J108" s="112"/>
      <c r="K108" s="113" t="e">
        <f>'DATOS GENERALES'!#REF!+$G$7</f>
        <v>#REF!</v>
      </c>
      <c r="L108" s="112"/>
      <c r="S108" s="754"/>
      <c r="T108" s="754"/>
      <c r="U108" s="746"/>
      <c r="BF108" s="779"/>
      <c r="BG108" s="1034">
        <v>-2.7430536734882049E-4</v>
      </c>
      <c r="BH108" s="1034">
        <v>1.1384122811097797E-18</v>
      </c>
      <c r="BI108" s="752">
        <v>4</v>
      </c>
    </row>
    <row r="109" spans="1:65" ht="15" x14ac:dyDescent="0.2">
      <c r="A109" s="105" t="e">
        <f>'DATOS GENERALES'!#REF!+$G$3</f>
        <v>#REF!</v>
      </c>
      <c r="B109" s="106"/>
      <c r="C109" s="105" t="e">
        <f>'DATOS GENERALES'!#REF!+$G$3</f>
        <v>#REF!</v>
      </c>
      <c r="D109" s="106"/>
      <c r="E109" s="107" t="e">
        <f>'DATOS GENERALES'!#REF!+$G$5</f>
        <v>#REF!</v>
      </c>
      <c r="F109" s="108"/>
      <c r="G109" s="109" t="e">
        <f>'DATOS GENERALES'!#REF!+($G$8)</f>
        <v>#REF!</v>
      </c>
      <c r="H109" s="110"/>
      <c r="I109" s="111" t="e">
        <f>'DATOS GENERALES'!#REF!+($G$6)</f>
        <v>#REF!</v>
      </c>
      <c r="J109" s="112"/>
      <c r="K109" s="113" t="e">
        <f>'DATOS GENERALES'!#REF!+$G$7</f>
        <v>#REF!</v>
      </c>
      <c r="L109" s="112"/>
      <c r="S109" s="754"/>
      <c r="T109" s="754"/>
      <c r="U109" s="746"/>
      <c r="AQ109" s="1"/>
      <c r="AR109" s="1"/>
      <c r="AS109" s="801"/>
      <c r="AT109" s="801"/>
      <c r="BF109" s="779"/>
      <c r="BG109" s="1034">
        <v>1.5859555228234278E-7</v>
      </c>
      <c r="BH109" s="1034">
        <v>-1.5881867761018131E-22</v>
      </c>
      <c r="BI109" s="752">
        <v>5</v>
      </c>
    </row>
    <row r="110" spans="1:65" x14ac:dyDescent="0.2">
      <c r="A110" s="105" t="e">
        <f>'DATOS GENERALES'!#REF!+$G$3</f>
        <v>#REF!</v>
      </c>
      <c r="B110" s="106"/>
      <c r="C110" s="105" t="e">
        <f>'DATOS GENERALES'!#REF!+$G$3</f>
        <v>#REF!</v>
      </c>
      <c r="D110" s="106"/>
      <c r="E110" s="107" t="e">
        <f>'DATOS GENERALES'!#REF!+$G$5</f>
        <v>#REF!</v>
      </c>
      <c r="F110" s="108"/>
      <c r="G110" s="109" t="e">
        <f>'DATOS GENERALES'!#REF!+($G$8)</f>
        <v>#REF!</v>
      </c>
      <c r="H110" s="110"/>
      <c r="I110" s="111" t="e">
        <f>'DATOS GENERALES'!#REF!+($G$6)</f>
        <v>#REF!</v>
      </c>
      <c r="J110" s="112"/>
      <c r="K110" s="113" t="e">
        <f>'DATOS GENERALES'!#REF!+$G$7</f>
        <v>#REF!</v>
      </c>
      <c r="L110" s="112"/>
      <c r="S110" s="754"/>
      <c r="T110" s="754"/>
      <c r="U110" s="746"/>
      <c r="AS110" s="746"/>
      <c r="AT110" s="746"/>
      <c r="BF110" s="779"/>
      <c r="BG110" s="1034">
        <v>-3.6554022797195988E-11</v>
      </c>
      <c r="BH110" s="1034">
        <v>4.2005265481208437E-26</v>
      </c>
      <c r="BI110" s="752">
        <v>6</v>
      </c>
    </row>
    <row r="111" spans="1:65" x14ac:dyDescent="0.2">
      <c r="A111" s="105" t="e">
        <f>'DATOS GENERALES'!#REF!+$G$3</f>
        <v>#REF!</v>
      </c>
      <c r="B111" s="106"/>
      <c r="C111" s="105" t="e">
        <f>'DATOS GENERALES'!#REF!+$G$3</f>
        <v>#REF!</v>
      </c>
      <c r="D111" s="106"/>
      <c r="E111" s="107" t="e">
        <f>'DATOS GENERALES'!#REF!+$G$5</f>
        <v>#REF!</v>
      </c>
      <c r="F111" s="108"/>
      <c r="G111" s="109" t="e">
        <f>'DATOS GENERALES'!#REF!+($G$8)</f>
        <v>#REF!</v>
      </c>
      <c r="H111" s="110"/>
      <c r="I111" s="111" t="e">
        <f>'DATOS GENERALES'!#REF!+($G$6)</f>
        <v>#REF!</v>
      </c>
      <c r="J111" s="112"/>
      <c r="K111" s="113" t="e">
        <f>'DATOS GENERALES'!#REF!+$G$7</f>
        <v>#REF!</v>
      </c>
      <c r="L111" s="112"/>
      <c r="S111" s="754"/>
      <c r="T111" s="754"/>
      <c r="U111" s="746"/>
      <c r="AS111" s="746"/>
      <c r="AT111" s="746"/>
      <c r="BF111" s="779"/>
      <c r="BG111" s="777"/>
      <c r="BH111" s="780"/>
      <c r="BI111" s="752">
        <v>7</v>
      </c>
    </row>
    <row r="112" spans="1:65" x14ac:dyDescent="0.2">
      <c r="A112" s="105" t="e">
        <f>'DATOS GENERALES'!#REF!+$G$3</f>
        <v>#REF!</v>
      </c>
      <c r="B112" s="106"/>
      <c r="C112" s="105" t="e">
        <f>'DATOS GENERALES'!#REF!+$G$3</f>
        <v>#REF!</v>
      </c>
      <c r="D112" s="106"/>
      <c r="E112" s="107" t="e">
        <f>'DATOS GENERALES'!#REF!+$G$5</f>
        <v>#REF!</v>
      </c>
      <c r="F112" s="108"/>
      <c r="G112" s="109" t="e">
        <f>'DATOS GENERALES'!#REF!+($G$8)</f>
        <v>#REF!</v>
      </c>
      <c r="H112" s="110"/>
      <c r="I112" s="111" t="e">
        <f>'DATOS GENERALES'!#REF!+($G$6)</f>
        <v>#REF!</v>
      </c>
      <c r="J112" s="112"/>
      <c r="K112" s="113" t="e">
        <f>'DATOS GENERALES'!#REF!+$G$7</f>
        <v>#REF!</v>
      </c>
      <c r="L112" s="112"/>
      <c r="S112" s="754"/>
      <c r="T112" s="754"/>
      <c r="U112" s="746"/>
      <c r="AS112" s="746"/>
      <c r="AT112" s="746"/>
      <c r="BF112" s="779"/>
      <c r="BG112" s="777"/>
      <c r="BH112" s="780"/>
      <c r="BI112" s="752">
        <v>8</v>
      </c>
    </row>
    <row r="113" spans="1:61" x14ac:dyDescent="0.2">
      <c r="A113" s="105" t="e">
        <f>'DATOS GENERALES'!#REF!+$G$3</f>
        <v>#REF!</v>
      </c>
      <c r="B113" s="106"/>
      <c r="C113" s="105" t="e">
        <f>'DATOS GENERALES'!#REF!+$G$3</f>
        <v>#REF!</v>
      </c>
      <c r="D113" s="106"/>
      <c r="E113" s="107" t="e">
        <f>'DATOS GENERALES'!#REF!+$G$5</f>
        <v>#REF!</v>
      </c>
      <c r="F113" s="108"/>
      <c r="G113" s="109" t="e">
        <f>'DATOS GENERALES'!#REF!+($G$8)</f>
        <v>#REF!</v>
      </c>
      <c r="H113" s="110"/>
      <c r="I113" s="111" t="e">
        <f>'DATOS GENERALES'!#REF!+($G$6)</f>
        <v>#REF!</v>
      </c>
      <c r="J113" s="112"/>
      <c r="K113" s="113" t="e">
        <f>'DATOS GENERALES'!#REF!+$G$7</f>
        <v>#REF!</v>
      </c>
      <c r="L113" s="112"/>
      <c r="S113" s="754"/>
      <c r="T113" s="754"/>
      <c r="U113" s="746"/>
      <c r="AS113" s="746"/>
      <c r="AT113" s="746"/>
      <c r="BF113" s="779"/>
      <c r="BG113" s="781"/>
      <c r="BH113" s="781"/>
      <c r="BI113" s="752">
        <v>9</v>
      </c>
    </row>
    <row r="114" spans="1:61" x14ac:dyDescent="0.2">
      <c r="AS114" s="746"/>
      <c r="AT114" s="746"/>
      <c r="BF114" s="779"/>
      <c r="BG114" s="781"/>
      <c r="BH114" s="781"/>
      <c r="BI114" s="752">
        <v>10</v>
      </c>
    </row>
    <row r="115" spans="1:61" x14ac:dyDescent="0.2">
      <c r="AS115" s="746"/>
      <c r="AT115" s="746"/>
      <c r="BF115" s="787"/>
      <c r="BG115" s="781"/>
      <c r="BH115" s="781"/>
      <c r="BI115" s="752">
        <v>11</v>
      </c>
    </row>
    <row r="116" spans="1:61" x14ac:dyDescent="0.2">
      <c r="AS116" s="746"/>
      <c r="AT116" s="746"/>
    </row>
    <row r="117" spans="1:61" ht="15" x14ac:dyDescent="0.2">
      <c r="AS117" s="746"/>
      <c r="AT117" s="746"/>
      <c r="BF117" s="1076" t="s">
        <v>487</v>
      </c>
      <c r="BG117" s="749" t="s">
        <v>605</v>
      </c>
      <c r="BH117" s="749" t="s">
        <v>606</v>
      </c>
      <c r="BI117" s="750"/>
    </row>
    <row r="118" spans="1:61" x14ac:dyDescent="0.2">
      <c r="AS118" s="746"/>
      <c r="AT118" s="746"/>
      <c r="BF118" s="776"/>
      <c r="BG118" s="1034">
        <v>24893.425340665504</v>
      </c>
      <c r="BH118" s="1034">
        <v>0.4400001043732118</v>
      </c>
      <c r="BI118" s="752">
        <v>1</v>
      </c>
    </row>
    <row r="119" spans="1:61" x14ac:dyDescent="0.2">
      <c r="P119" s="737">
        <f>'[1]DATOS GENERALES'!E161</f>
        <v>0</v>
      </c>
      <c r="W119" s="737">
        <f>'[1]DATOS GENERALES'!G161</f>
        <v>0</v>
      </c>
      <c r="AD119" s="737">
        <f>'[1]DATOS GENERALES'!I161</f>
        <v>0</v>
      </c>
      <c r="AK119" s="737">
        <f>'[1]DATOS GENERALES'!K161</f>
        <v>0</v>
      </c>
      <c r="AS119" s="746"/>
      <c r="AT119" s="746"/>
      <c r="AY119" s="737">
        <f>'[1]DATOS GENERALES'!C161</f>
        <v>0</v>
      </c>
      <c r="BF119" s="779"/>
      <c r="BG119" s="1034">
        <v>-235.10167098233069</v>
      </c>
      <c r="BH119" s="1034">
        <v>-3.503899392853782E-10</v>
      </c>
      <c r="BI119" s="752">
        <v>2</v>
      </c>
    </row>
    <row r="120" spans="1:61" x14ac:dyDescent="0.2">
      <c r="AS120" s="746"/>
      <c r="AT120" s="746"/>
      <c r="BF120" s="779"/>
      <c r="BG120" s="1034">
        <v>0.95696674968189654</v>
      </c>
      <c r="BH120" s="1034">
        <v>3.2512881276147709E-13</v>
      </c>
      <c r="BI120" s="752">
        <v>3</v>
      </c>
    </row>
    <row r="121" spans="1:61" ht="48" x14ac:dyDescent="0.2">
      <c r="A121" s="196" t="s">
        <v>73</v>
      </c>
      <c r="B121" s="197"/>
      <c r="C121" s="196" t="s">
        <v>74</v>
      </c>
      <c r="D121" s="197"/>
      <c r="E121" s="198" t="s">
        <v>75</v>
      </c>
      <c r="F121" s="199"/>
      <c r="G121" s="198" t="s">
        <v>172</v>
      </c>
      <c r="H121" s="199"/>
      <c r="I121" s="198" t="s">
        <v>174</v>
      </c>
      <c r="J121" s="199"/>
      <c r="K121" s="194" t="s">
        <v>173</v>
      </c>
      <c r="L121" s="195"/>
      <c r="BF121" s="779"/>
      <c r="BG121" s="1034">
        <v>-2.1601233763428596E-3</v>
      </c>
      <c r="BH121" s="1034">
        <v>-4.1362312880321994E-17</v>
      </c>
      <c r="BI121" s="752">
        <v>4</v>
      </c>
    </row>
    <row r="122" spans="1:61" ht="12.75" customHeight="1" x14ac:dyDescent="0.2">
      <c r="A122" s="105" t="e">
        <f>'DATOS GENERALES'!#REF!+$G$3</f>
        <v>#REF!</v>
      </c>
      <c r="B122" s="106"/>
      <c r="C122" s="105" t="e">
        <f>'DATOS GENERALES'!#REF!+$G$3</f>
        <v>#REF!</v>
      </c>
      <c r="D122" s="106"/>
      <c r="E122" s="107" t="e">
        <f>'DATOS GENERALES'!#REF!+$G$5</f>
        <v>#REF!</v>
      </c>
      <c r="F122" s="108"/>
      <c r="G122" s="109" t="e">
        <f>'DATOS GENERALES'!#REF!+($G$8)</f>
        <v>#REF!</v>
      </c>
      <c r="H122" s="110"/>
      <c r="I122" s="111" t="e">
        <f>'DATOS GENERALES'!#REF!+($G$6)</f>
        <v>#REF!</v>
      </c>
      <c r="J122" s="112"/>
      <c r="K122" s="113" t="e">
        <f>'DATOS GENERALES'!#REF!+$G$7</f>
        <v>#REF!</v>
      </c>
      <c r="L122" s="112"/>
      <c r="N122">
        <v>7</v>
      </c>
      <c r="AQ122" s="1"/>
      <c r="AS122" s="746"/>
      <c r="AT122" s="746"/>
      <c r="BF122" s="779"/>
      <c r="BG122" s="1034">
        <v>2.9597793362698584E-6</v>
      </c>
      <c r="BH122" s="1034">
        <v>-7.8879943213056719E-20</v>
      </c>
      <c r="BI122" s="752">
        <v>5</v>
      </c>
    </row>
    <row r="123" spans="1:61" x14ac:dyDescent="0.2">
      <c r="A123" s="105" t="e">
        <f>'DATOS GENERALES'!#REF!+$G$3</f>
        <v>#REF!</v>
      </c>
      <c r="B123" s="106"/>
      <c r="C123" s="105" t="e">
        <f>'DATOS GENERALES'!#REF!+$G$3</f>
        <v>#REF!</v>
      </c>
      <c r="D123" s="106"/>
      <c r="E123" s="107" t="e">
        <f>'DATOS GENERALES'!#REF!+$G$5</f>
        <v>#REF!</v>
      </c>
      <c r="F123" s="108"/>
      <c r="G123" s="109" t="e">
        <f>'DATOS GENERALES'!#REF!+($G$8)</f>
        <v>#REF!</v>
      </c>
      <c r="H123" s="110"/>
      <c r="I123" s="111" t="e">
        <f>'DATOS GENERALES'!#REF!+($G$6)</f>
        <v>#REF!</v>
      </c>
      <c r="J123" s="112"/>
      <c r="K123" s="113" t="e">
        <f>'DATOS GENERALES'!#REF!+$G$7</f>
        <v>#REF!</v>
      </c>
      <c r="L123" s="112"/>
      <c r="AS123" s="746"/>
      <c r="AT123" s="746"/>
      <c r="BF123" s="779"/>
      <c r="BG123" s="1034">
        <v>-2.5069455297245282E-9</v>
      </c>
      <c r="BH123" s="1034">
        <v>6.2348738671184461E-23</v>
      </c>
      <c r="BI123" s="752">
        <v>6</v>
      </c>
    </row>
    <row r="124" spans="1:61" x14ac:dyDescent="0.2">
      <c r="A124" s="105" t="e">
        <f>'DATOS GENERALES'!#REF!+$G$3</f>
        <v>#REF!</v>
      </c>
      <c r="B124" s="106"/>
      <c r="C124" s="105" t="e">
        <f>'DATOS GENERALES'!#REF!+$G$3</f>
        <v>#REF!</v>
      </c>
      <c r="D124" s="106"/>
      <c r="E124" s="107" t="e">
        <f>'DATOS GENERALES'!#REF!+$G$5</f>
        <v>#REF!</v>
      </c>
      <c r="F124" s="108"/>
      <c r="G124" s="109" t="e">
        <f>'DATOS GENERALES'!#REF!+($G$8)</f>
        <v>#REF!</v>
      </c>
      <c r="H124" s="110"/>
      <c r="I124" s="111" t="e">
        <f>'DATOS GENERALES'!#REF!+($G$6)</f>
        <v>#REF!</v>
      </c>
      <c r="J124" s="112"/>
      <c r="K124" s="113" t="e">
        <f>'DATOS GENERALES'!#REF!+$G$7</f>
        <v>#REF!</v>
      </c>
      <c r="L124" s="112"/>
      <c r="AS124" s="746"/>
      <c r="AT124" s="746"/>
      <c r="BF124" s="779"/>
      <c r="BG124" s="1034">
        <v>1.27010278974868E-12</v>
      </c>
      <c r="BH124" s="1034">
        <v>2.1709452111682245E-27</v>
      </c>
      <c r="BI124" s="752">
        <v>7</v>
      </c>
    </row>
    <row r="125" spans="1:61" x14ac:dyDescent="0.2">
      <c r="A125" s="105" t="e">
        <f>'DATOS GENERALES'!#REF!+$G$3</f>
        <v>#REF!</v>
      </c>
      <c r="B125" s="106"/>
      <c r="C125" s="105" t="e">
        <f>'DATOS GENERALES'!#REF!+$G$3</f>
        <v>#REF!</v>
      </c>
      <c r="D125" s="106"/>
      <c r="E125" s="107" t="e">
        <f>'DATOS GENERALES'!#REF!+$G$5</f>
        <v>#REF!</v>
      </c>
      <c r="F125" s="108"/>
      <c r="G125" s="109" t="e">
        <f>'DATOS GENERALES'!#REF!+($G$8)</f>
        <v>#REF!</v>
      </c>
      <c r="H125" s="110"/>
      <c r="I125" s="111" t="e">
        <f>'DATOS GENERALES'!#REF!+($G$6)</f>
        <v>#REF!</v>
      </c>
      <c r="J125" s="112"/>
      <c r="K125" s="113" t="e">
        <f>'DATOS GENERALES'!#REF!+$G$7</f>
        <v>#REF!</v>
      </c>
      <c r="L125" s="112"/>
      <c r="AS125" s="746"/>
      <c r="AT125" s="746"/>
      <c r="BF125" s="779"/>
      <c r="BG125" s="1034">
        <v>-3.4611338492853374E-16</v>
      </c>
      <c r="BH125" s="1034">
        <v>-6.8039253075312268E-30</v>
      </c>
      <c r="BI125" s="752">
        <v>8</v>
      </c>
    </row>
    <row r="126" spans="1:61" x14ac:dyDescent="0.2">
      <c r="A126" s="105" t="e">
        <f>'DATOS GENERALES'!#REF!+$G$3</f>
        <v>#REF!</v>
      </c>
      <c r="B126" s="106"/>
      <c r="C126" s="105" t="e">
        <f>'DATOS GENERALES'!#REF!+$G$3</f>
        <v>#REF!</v>
      </c>
      <c r="D126" s="106"/>
      <c r="E126" s="107" t="e">
        <f>'DATOS GENERALES'!#REF!+$G$5</f>
        <v>#REF!</v>
      </c>
      <c r="F126" s="108"/>
      <c r="G126" s="109" t="e">
        <f>'DATOS GENERALES'!#REF!+($G$8)</f>
        <v>#REF!</v>
      </c>
      <c r="H126" s="110"/>
      <c r="I126" s="111" t="e">
        <f>'DATOS GENERALES'!#REF!+($G$6)</f>
        <v>#REF!</v>
      </c>
      <c r="J126" s="112"/>
      <c r="K126" s="113" t="e">
        <f>'DATOS GENERALES'!#REF!+$G$7</f>
        <v>#REF!</v>
      </c>
      <c r="L126" s="112"/>
      <c r="AS126" s="746"/>
      <c r="AT126" s="746"/>
      <c r="BF126" s="779"/>
      <c r="BG126" s="1034">
        <v>3.7542088928682254E-20</v>
      </c>
      <c r="BH126" s="1034">
        <v>9.990761586508786E-34</v>
      </c>
      <c r="BI126" s="752">
        <v>9</v>
      </c>
    </row>
    <row r="127" spans="1:61" x14ac:dyDescent="0.2">
      <c r="A127" s="105" t="e">
        <f>'DATOS GENERALES'!#REF!+$G$3</f>
        <v>#REF!</v>
      </c>
      <c r="B127" s="106"/>
      <c r="C127" s="105" t="e">
        <f>'DATOS GENERALES'!#REF!+$G$3</f>
        <v>#REF!</v>
      </c>
      <c r="D127" s="106"/>
      <c r="E127" s="107" t="e">
        <f>'DATOS GENERALES'!#REF!+$G$5</f>
        <v>#REF!</v>
      </c>
      <c r="F127" s="108"/>
      <c r="G127" s="109" t="e">
        <f>'DATOS GENERALES'!#REF!+($G$8)</f>
        <v>#REF!</v>
      </c>
      <c r="H127" s="110"/>
      <c r="I127" s="111" t="e">
        <f>'DATOS GENERALES'!#REF!+($G$6)</f>
        <v>#REF!</v>
      </c>
      <c r="J127" s="112"/>
      <c r="K127" s="113" t="e">
        <f>'DATOS GENERALES'!#REF!+$G$7</f>
        <v>#REF!</v>
      </c>
      <c r="L127" s="112"/>
      <c r="AS127" s="746"/>
      <c r="AT127" s="746"/>
      <c r="BF127" s="779"/>
      <c r="BG127" s="781"/>
      <c r="BH127" s="781"/>
      <c r="BI127" s="752">
        <v>10</v>
      </c>
    </row>
    <row r="128" spans="1:61" x14ac:dyDescent="0.2">
      <c r="A128" s="105" t="e">
        <f>'DATOS GENERALES'!#REF!+$G$3</f>
        <v>#REF!</v>
      </c>
      <c r="B128" s="106"/>
      <c r="C128" s="105" t="e">
        <f>'DATOS GENERALES'!#REF!+$G$3</f>
        <v>#REF!</v>
      </c>
      <c r="D128" s="106"/>
      <c r="E128" s="107" t="e">
        <f>'DATOS GENERALES'!#REF!+$G$5</f>
        <v>#REF!</v>
      </c>
      <c r="F128" s="108"/>
      <c r="G128" s="109" t="e">
        <f>'DATOS GENERALES'!#REF!+($G$8)</f>
        <v>#REF!</v>
      </c>
      <c r="H128" s="110"/>
      <c r="I128" s="111" t="e">
        <f>'DATOS GENERALES'!#REF!+($G$6)</f>
        <v>#REF!</v>
      </c>
      <c r="J128" s="112"/>
      <c r="K128" s="113" t="e">
        <f>'DATOS GENERALES'!#REF!+$G$7</f>
        <v>#REF!</v>
      </c>
      <c r="L128" s="112"/>
      <c r="AS128" s="746"/>
      <c r="AT128" s="746"/>
      <c r="BF128" s="787"/>
      <c r="BG128" s="781"/>
      <c r="BH128" s="781"/>
      <c r="BI128" s="752">
        <v>11</v>
      </c>
    </row>
    <row r="129" spans="1:51" x14ac:dyDescent="0.2">
      <c r="A129" s="105" t="e">
        <f>'DATOS GENERALES'!#REF!+$G$3</f>
        <v>#REF!</v>
      </c>
      <c r="B129" s="106"/>
      <c r="C129" s="105" t="e">
        <f>'DATOS GENERALES'!#REF!+$G$3</f>
        <v>#REF!</v>
      </c>
      <c r="D129" s="106"/>
      <c r="E129" s="107" t="e">
        <f>'DATOS GENERALES'!#REF!+$G$5</f>
        <v>#REF!</v>
      </c>
      <c r="F129" s="108"/>
      <c r="G129" s="109" t="e">
        <f>'DATOS GENERALES'!#REF!+($G$8)</f>
        <v>#REF!</v>
      </c>
      <c r="H129" s="110"/>
      <c r="I129" s="111" t="e">
        <f>'DATOS GENERALES'!#REF!+($G$6)</f>
        <v>#REF!</v>
      </c>
      <c r="J129" s="112"/>
      <c r="K129" s="113" t="e">
        <f>'DATOS GENERALES'!#REF!+$G$7</f>
        <v>#REF!</v>
      </c>
      <c r="L129" s="112"/>
      <c r="AS129" s="746"/>
      <c r="AT129" s="746"/>
    </row>
    <row r="130" spans="1:51" x14ac:dyDescent="0.2">
      <c r="A130" s="105" t="e">
        <f>'DATOS GENERALES'!#REF!+$G$3</f>
        <v>#REF!</v>
      </c>
      <c r="B130" s="106"/>
      <c r="C130" s="105" t="e">
        <f>'DATOS GENERALES'!#REF!+$G$3</f>
        <v>#REF!</v>
      </c>
      <c r="D130" s="106"/>
      <c r="E130" s="107" t="e">
        <f>'DATOS GENERALES'!#REF!+$G$5</f>
        <v>#REF!</v>
      </c>
      <c r="F130" s="108"/>
      <c r="G130" s="109" t="e">
        <f>'DATOS GENERALES'!#REF!+($G$8)</f>
        <v>#REF!</v>
      </c>
      <c r="H130" s="110"/>
      <c r="I130" s="111" t="e">
        <f>'DATOS GENERALES'!#REF!+($G$6)</f>
        <v>#REF!</v>
      </c>
      <c r="J130" s="112"/>
      <c r="K130" s="113" t="e">
        <f>'DATOS GENERALES'!#REF!+$G$7</f>
        <v>#REF!</v>
      </c>
      <c r="L130" s="112"/>
      <c r="AS130" s="746"/>
      <c r="AT130" s="746"/>
    </row>
    <row r="131" spans="1:51" x14ac:dyDescent="0.2">
      <c r="A131" s="105" t="e">
        <f>'DATOS GENERALES'!#REF!+$G$3</f>
        <v>#REF!</v>
      </c>
      <c r="B131" s="106"/>
      <c r="C131" s="105" t="e">
        <f>'DATOS GENERALES'!#REF!+$G$3</f>
        <v>#REF!</v>
      </c>
      <c r="D131" s="106"/>
      <c r="E131" s="107" t="e">
        <f>'DATOS GENERALES'!#REF!+$G$5</f>
        <v>#REF!</v>
      </c>
      <c r="F131" s="108"/>
      <c r="G131" s="109" t="e">
        <f>'DATOS GENERALES'!#REF!+($G$8)</f>
        <v>#REF!</v>
      </c>
      <c r="H131" s="110"/>
      <c r="I131" s="111" t="e">
        <f>'DATOS GENERALES'!#REF!+($G$6)</f>
        <v>#REF!</v>
      </c>
      <c r="J131" s="112"/>
      <c r="K131" s="113" t="e">
        <f>'DATOS GENERALES'!#REF!+$G$7</f>
        <v>#REF!</v>
      </c>
      <c r="L131" s="112"/>
      <c r="AS131" s="746"/>
      <c r="AT131" s="746"/>
    </row>
    <row r="132" spans="1:51" x14ac:dyDescent="0.2">
      <c r="AS132" s="746"/>
      <c r="AT132" s="746"/>
    </row>
    <row r="134" spans="1:51" x14ac:dyDescent="0.2">
      <c r="P134" s="737">
        <f>'[1]DATOS GENERALES'!E176</f>
        <v>0</v>
      </c>
      <c r="W134" s="737">
        <f>'[1]DATOS GENERALES'!G176</f>
        <v>0</v>
      </c>
      <c r="AD134" s="737">
        <f>'[1]DATOS GENERALES'!I176</f>
        <v>0</v>
      </c>
      <c r="AK134" s="737">
        <f>'[1]DATOS GENERALES'!K176</f>
        <v>0</v>
      </c>
      <c r="AR134" s="737">
        <f>'[1]DATOS GENERALES'!A176</f>
        <v>0</v>
      </c>
      <c r="AY134" s="737">
        <f>'[1]DATOS GENERALES'!C176</f>
        <v>0</v>
      </c>
    </row>
    <row r="139" spans="1:51" ht="48" x14ac:dyDescent="0.2">
      <c r="A139" s="196" t="s">
        <v>73</v>
      </c>
      <c r="B139" s="197"/>
      <c r="C139" s="196" t="s">
        <v>74</v>
      </c>
      <c r="D139" s="197"/>
      <c r="E139" s="198" t="s">
        <v>75</v>
      </c>
      <c r="F139" s="199"/>
      <c r="G139" s="198" t="s">
        <v>172</v>
      </c>
      <c r="H139" s="199"/>
      <c r="I139" s="198" t="s">
        <v>174</v>
      </c>
      <c r="J139" s="199"/>
      <c r="K139" s="194" t="s">
        <v>173</v>
      </c>
      <c r="L139" s="195"/>
    </row>
    <row r="140" spans="1:51" ht="12.75" customHeight="1" x14ac:dyDescent="0.2">
      <c r="A140" s="105" t="e">
        <f>'DATOS GENERALES'!#REF!+$G$3</f>
        <v>#REF!</v>
      </c>
      <c r="B140" s="106"/>
      <c r="C140" s="105" t="e">
        <f>'DATOS GENERALES'!#REF!+$G$3</f>
        <v>#REF!</v>
      </c>
      <c r="D140" s="106"/>
      <c r="E140" s="107" t="e">
        <f>'DATOS GENERALES'!#REF!+$G$5</f>
        <v>#REF!</v>
      </c>
      <c r="F140" s="108"/>
      <c r="G140" s="109" t="e">
        <f>'DATOS GENERALES'!#REF!+($G$8)</f>
        <v>#REF!</v>
      </c>
      <c r="H140" s="110"/>
      <c r="I140" s="111" t="e">
        <f>'DATOS GENERALES'!#REF!+($G$6)</f>
        <v>#REF!</v>
      </c>
      <c r="J140" s="112"/>
      <c r="K140" s="113" t="e">
        <f>'DATOS GENERALES'!#REF!+$G$7</f>
        <v>#REF!</v>
      </c>
      <c r="L140" s="112"/>
      <c r="N140">
        <v>8</v>
      </c>
    </row>
    <row r="141" spans="1:51" x14ac:dyDescent="0.2">
      <c r="A141" s="105" t="e">
        <f>'DATOS GENERALES'!#REF!+$G$3</f>
        <v>#REF!</v>
      </c>
      <c r="B141" s="106"/>
      <c r="C141" s="105" t="e">
        <f>'DATOS GENERALES'!#REF!+$G$3</f>
        <v>#REF!</v>
      </c>
      <c r="D141" s="106"/>
      <c r="E141" s="107" t="e">
        <f>'DATOS GENERALES'!#REF!+$G$5</f>
        <v>#REF!</v>
      </c>
      <c r="F141" s="108"/>
      <c r="G141" s="109" t="e">
        <f>'DATOS GENERALES'!#REF!+($G$8)</f>
        <v>#REF!</v>
      </c>
      <c r="H141" s="110"/>
      <c r="I141" s="111" t="e">
        <f>'DATOS GENERALES'!#REF!+($G$6)</f>
        <v>#REF!</v>
      </c>
      <c r="J141" s="112"/>
      <c r="K141" s="113" t="e">
        <f>'DATOS GENERALES'!#REF!+$G$7</f>
        <v>#REF!</v>
      </c>
      <c r="L141" s="112"/>
    </row>
    <row r="142" spans="1:51" x14ac:dyDescent="0.2">
      <c r="A142" s="105" t="e">
        <f>'DATOS GENERALES'!#REF!+$G$3</f>
        <v>#REF!</v>
      </c>
      <c r="B142" s="106"/>
      <c r="C142" s="105" t="e">
        <f>'DATOS GENERALES'!#REF!+$G$3</f>
        <v>#REF!</v>
      </c>
      <c r="D142" s="106"/>
      <c r="E142" s="107" t="e">
        <f>'DATOS GENERALES'!#REF!+$G$5</f>
        <v>#REF!</v>
      </c>
      <c r="F142" s="108"/>
      <c r="G142" s="109" t="e">
        <f>'DATOS GENERALES'!#REF!+($G$8)</f>
        <v>#REF!</v>
      </c>
      <c r="H142" s="110"/>
      <c r="I142" s="111" t="e">
        <f>'DATOS GENERALES'!#REF!+($G$6)</f>
        <v>#REF!</v>
      </c>
      <c r="J142" s="112"/>
      <c r="K142" s="113" t="e">
        <f>'DATOS GENERALES'!#REF!+$G$7</f>
        <v>#REF!</v>
      </c>
      <c r="L142" s="112"/>
    </row>
    <row r="143" spans="1:51" x14ac:dyDescent="0.2">
      <c r="A143" s="105" t="e">
        <f>'DATOS GENERALES'!#REF!+$G$3</f>
        <v>#REF!</v>
      </c>
      <c r="B143" s="106"/>
      <c r="C143" s="105" t="e">
        <f>'DATOS GENERALES'!#REF!+$G$3</f>
        <v>#REF!</v>
      </c>
      <c r="D143" s="106"/>
      <c r="E143" s="107" t="e">
        <f>'DATOS GENERALES'!#REF!+$G$5</f>
        <v>#REF!</v>
      </c>
      <c r="F143" s="108"/>
      <c r="G143" s="109" t="e">
        <f>'DATOS GENERALES'!#REF!+($G$8)</f>
        <v>#REF!</v>
      </c>
      <c r="H143" s="110"/>
      <c r="I143" s="111" t="e">
        <f>'DATOS GENERALES'!#REF!+($G$6)</f>
        <v>#REF!</v>
      </c>
      <c r="J143" s="112"/>
      <c r="K143" s="113" t="e">
        <f>'DATOS GENERALES'!#REF!+$G$7</f>
        <v>#REF!</v>
      </c>
      <c r="L143" s="112"/>
    </row>
    <row r="144" spans="1:51" x14ac:dyDescent="0.2">
      <c r="A144" s="105" t="e">
        <f>'DATOS GENERALES'!#REF!+$G$3</f>
        <v>#REF!</v>
      </c>
      <c r="B144" s="106"/>
      <c r="C144" s="105" t="e">
        <f>'DATOS GENERALES'!#REF!+$G$3</f>
        <v>#REF!</v>
      </c>
      <c r="D144" s="106"/>
      <c r="E144" s="107" t="e">
        <f>'DATOS GENERALES'!#REF!+$G$5</f>
        <v>#REF!</v>
      </c>
      <c r="F144" s="108"/>
      <c r="G144" s="109" t="e">
        <f>'DATOS GENERALES'!#REF!+($G$8)</f>
        <v>#REF!</v>
      </c>
      <c r="H144" s="110"/>
      <c r="I144" s="111" t="e">
        <f>'DATOS GENERALES'!#REF!+($G$6)</f>
        <v>#REF!</v>
      </c>
      <c r="J144" s="112"/>
      <c r="K144" s="113" t="e">
        <f>'DATOS GENERALES'!#REF!+$G$7</f>
        <v>#REF!</v>
      </c>
      <c r="L144" s="112"/>
    </row>
    <row r="145" spans="1:51" x14ac:dyDescent="0.2">
      <c r="A145" s="105" t="e">
        <f>'DATOS GENERALES'!#REF!+$G$3</f>
        <v>#REF!</v>
      </c>
      <c r="B145" s="106"/>
      <c r="C145" s="105" t="e">
        <f>'DATOS GENERALES'!#REF!+$G$3</f>
        <v>#REF!</v>
      </c>
      <c r="D145" s="106"/>
      <c r="E145" s="107" t="e">
        <f>'DATOS GENERALES'!#REF!+$G$5</f>
        <v>#REF!</v>
      </c>
      <c r="F145" s="108"/>
      <c r="G145" s="109" t="e">
        <f>'DATOS GENERALES'!#REF!+($G$8)</f>
        <v>#REF!</v>
      </c>
      <c r="H145" s="110"/>
      <c r="I145" s="111" t="e">
        <f>'DATOS GENERALES'!#REF!+($G$6)</f>
        <v>#REF!</v>
      </c>
      <c r="J145" s="112"/>
      <c r="K145" s="113" t="e">
        <f>'DATOS GENERALES'!#REF!+$G$7</f>
        <v>#REF!</v>
      </c>
      <c r="L145" s="112"/>
    </row>
    <row r="146" spans="1:51" x14ac:dyDescent="0.2">
      <c r="A146" s="105" t="e">
        <f>'DATOS GENERALES'!#REF!+$G$3</f>
        <v>#REF!</v>
      </c>
      <c r="B146" s="106"/>
      <c r="C146" s="105" t="e">
        <f>'DATOS GENERALES'!#REF!+$G$3</f>
        <v>#REF!</v>
      </c>
      <c r="D146" s="106"/>
      <c r="E146" s="107" t="e">
        <f>'DATOS GENERALES'!#REF!+$G$5</f>
        <v>#REF!</v>
      </c>
      <c r="F146" s="108"/>
      <c r="G146" s="109" t="e">
        <f>'DATOS GENERALES'!#REF!+($G$8)</f>
        <v>#REF!</v>
      </c>
      <c r="H146" s="110"/>
      <c r="I146" s="111" t="e">
        <f>'DATOS GENERALES'!#REF!+($G$6)</f>
        <v>#REF!</v>
      </c>
      <c r="J146" s="112"/>
      <c r="K146" s="113" t="e">
        <f>'DATOS GENERALES'!#REF!+$G$7</f>
        <v>#REF!</v>
      </c>
      <c r="L146" s="112"/>
    </row>
    <row r="147" spans="1:51" x14ac:dyDescent="0.2">
      <c r="A147" s="105" t="e">
        <f>'DATOS GENERALES'!#REF!+$G$3</f>
        <v>#REF!</v>
      </c>
      <c r="B147" s="106"/>
      <c r="C147" s="105" t="e">
        <f>'DATOS GENERALES'!#REF!+$G$3</f>
        <v>#REF!</v>
      </c>
      <c r="D147" s="106"/>
      <c r="E147" s="107" t="e">
        <f>'DATOS GENERALES'!#REF!+$G$5</f>
        <v>#REF!</v>
      </c>
      <c r="F147" s="108"/>
      <c r="G147" s="109" t="e">
        <f>'DATOS GENERALES'!#REF!+($G$8)</f>
        <v>#REF!</v>
      </c>
      <c r="H147" s="110"/>
      <c r="I147" s="111" t="e">
        <f>'DATOS GENERALES'!#REF!+($G$6)</f>
        <v>#REF!</v>
      </c>
      <c r="J147" s="112"/>
      <c r="K147" s="113" t="e">
        <f>'DATOS GENERALES'!#REF!+$G$7</f>
        <v>#REF!</v>
      </c>
      <c r="L147" s="112"/>
    </row>
    <row r="148" spans="1:51" x14ac:dyDescent="0.2">
      <c r="A148" s="105" t="e">
        <f>'DATOS GENERALES'!#REF!+$G$3</f>
        <v>#REF!</v>
      </c>
      <c r="B148" s="106"/>
      <c r="C148" s="105" t="e">
        <f>'DATOS GENERALES'!#REF!+$G$3</f>
        <v>#REF!</v>
      </c>
      <c r="D148" s="106"/>
      <c r="E148" s="107" t="e">
        <f>'DATOS GENERALES'!#REF!+$G$5</f>
        <v>#REF!</v>
      </c>
      <c r="F148" s="108"/>
      <c r="G148" s="109" t="e">
        <f>'DATOS GENERALES'!#REF!+($G$8)</f>
        <v>#REF!</v>
      </c>
      <c r="H148" s="110"/>
      <c r="I148" s="111" t="e">
        <f>'DATOS GENERALES'!#REF!+($G$6)</f>
        <v>#REF!</v>
      </c>
      <c r="J148" s="112"/>
      <c r="K148" s="113" t="e">
        <f>'DATOS GENERALES'!#REF!+$G$7</f>
        <v>#REF!</v>
      </c>
      <c r="L148" s="112"/>
    </row>
    <row r="149" spans="1:51" x14ac:dyDescent="0.2">
      <c r="A149" s="105" t="e">
        <f>'DATOS GENERALES'!#REF!+$G$3</f>
        <v>#REF!</v>
      </c>
      <c r="B149" s="106"/>
      <c r="C149" s="105" t="e">
        <f>'DATOS GENERALES'!#REF!+$G$3</f>
        <v>#REF!</v>
      </c>
      <c r="D149" s="106"/>
      <c r="E149" s="107" t="e">
        <f>'DATOS GENERALES'!#REF!+$G$5</f>
        <v>#REF!</v>
      </c>
      <c r="F149" s="108"/>
      <c r="G149" s="109" t="e">
        <f>'DATOS GENERALES'!#REF!+($G$8)</f>
        <v>#REF!</v>
      </c>
      <c r="H149" s="110"/>
      <c r="I149" s="111" t="e">
        <f>'DATOS GENERALES'!#REF!+($G$6)</f>
        <v>#REF!</v>
      </c>
      <c r="J149" s="112"/>
      <c r="K149" s="113" t="e">
        <f>'DATOS GENERALES'!#REF!+$G$7</f>
        <v>#REF!</v>
      </c>
      <c r="L149" s="112"/>
      <c r="P149" s="737">
        <f>'[1]DATOS GENERALES'!E191</f>
        <v>0</v>
      </c>
      <c r="W149" s="737">
        <f>'[1]DATOS GENERALES'!G191</f>
        <v>0</v>
      </c>
      <c r="AD149" s="737">
        <f>'[1]DATOS GENERALES'!I191</f>
        <v>0</v>
      </c>
      <c r="AK149" s="737">
        <f>'[1]DATOS GENERALES'!K191</f>
        <v>0</v>
      </c>
      <c r="AR149" s="737">
        <f>'[1]DATOS GENERALES'!A191</f>
        <v>0</v>
      </c>
      <c r="AY149" s="737">
        <f>'[1]DATOS GENERALES'!C191</f>
        <v>0</v>
      </c>
    </row>
    <row r="157" spans="1:51" ht="48" x14ac:dyDescent="0.2">
      <c r="A157" s="196" t="s">
        <v>73</v>
      </c>
      <c r="B157" s="197"/>
      <c r="C157" s="196" t="s">
        <v>74</v>
      </c>
      <c r="D157" s="197"/>
      <c r="E157" s="198" t="s">
        <v>75</v>
      </c>
      <c r="F157" s="199"/>
      <c r="G157" s="198" t="s">
        <v>172</v>
      </c>
      <c r="H157" s="199"/>
      <c r="I157" s="198" t="s">
        <v>174</v>
      </c>
      <c r="J157" s="199"/>
      <c r="K157" s="194" t="s">
        <v>173</v>
      </c>
      <c r="L157" s="195"/>
    </row>
    <row r="158" spans="1:51" ht="12.75" customHeight="1" x14ac:dyDescent="0.2">
      <c r="A158" s="105" t="e">
        <f>'DATOS GENERALES'!#REF!+$G$3</f>
        <v>#REF!</v>
      </c>
      <c r="B158" s="106"/>
      <c r="C158" s="105" t="e">
        <f>'DATOS GENERALES'!#REF!+$G$3</f>
        <v>#REF!</v>
      </c>
      <c r="D158" s="106"/>
      <c r="E158" s="107" t="e">
        <f>'DATOS GENERALES'!#REF!+$G$5</f>
        <v>#REF!</v>
      </c>
      <c r="F158" s="108"/>
      <c r="G158" s="109" t="e">
        <f>'DATOS GENERALES'!#REF!+($G$8)</f>
        <v>#REF!</v>
      </c>
      <c r="H158" s="110"/>
      <c r="I158" s="111" t="e">
        <f>'DATOS GENERALES'!#REF!+($G$6)</f>
        <v>#REF!</v>
      </c>
      <c r="J158" s="112"/>
      <c r="K158" s="113" t="e">
        <f>'DATOS GENERALES'!#REF!+$G$7</f>
        <v>#REF!</v>
      </c>
      <c r="L158" s="112"/>
    </row>
    <row r="159" spans="1:51" x14ac:dyDescent="0.2">
      <c r="A159" s="105" t="e">
        <f>'DATOS GENERALES'!#REF!+$G$3</f>
        <v>#REF!</v>
      </c>
      <c r="B159" s="106"/>
      <c r="C159" s="105" t="e">
        <f>'DATOS GENERALES'!#REF!+$G$3</f>
        <v>#REF!</v>
      </c>
      <c r="D159" s="106"/>
      <c r="E159" s="107" t="e">
        <f>'DATOS GENERALES'!#REF!+$G$5</f>
        <v>#REF!</v>
      </c>
      <c r="F159" s="108"/>
      <c r="G159" s="109" t="e">
        <f>'DATOS GENERALES'!#REF!+($G$8)</f>
        <v>#REF!</v>
      </c>
      <c r="H159" s="110"/>
      <c r="I159" s="111" t="e">
        <f>'DATOS GENERALES'!#REF!+($G$6)</f>
        <v>#REF!</v>
      </c>
      <c r="J159" s="112"/>
      <c r="K159" s="113" t="e">
        <f>'DATOS GENERALES'!#REF!+$G$7</f>
        <v>#REF!</v>
      </c>
      <c r="L159" s="112"/>
      <c r="N159">
        <v>9</v>
      </c>
    </row>
    <row r="160" spans="1:51" x14ac:dyDescent="0.2">
      <c r="A160" s="105" t="e">
        <f>'DATOS GENERALES'!#REF!+$G$3</f>
        <v>#REF!</v>
      </c>
      <c r="B160" s="106"/>
      <c r="C160" s="105" t="e">
        <f>'DATOS GENERALES'!#REF!+$G$3</f>
        <v>#REF!</v>
      </c>
      <c r="D160" s="106"/>
      <c r="E160" s="107" t="e">
        <f>'DATOS GENERALES'!#REF!+$G$5</f>
        <v>#REF!</v>
      </c>
      <c r="F160" s="108"/>
      <c r="G160" s="109" t="e">
        <f>'DATOS GENERALES'!#REF!+($G$8)</f>
        <v>#REF!</v>
      </c>
      <c r="H160" s="110"/>
      <c r="I160" s="111" t="e">
        <f>'DATOS GENERALES'!#REF!+($G$6)</f>
        <v>#REF!</v>
      </c>
      <c r="J160" s="112"/>
      <c r="K160" s="113" t="e">
        <f>'DATOS GENERALES'!#REF!+$G$7</f>
        <v>#REF!</v>
      </c>
      <c r="L160" s="112"/>
    </row>
    <row r="161" spans="1:51" x14ac:dyDescent="0.2">
      <c r="A161" s="105" t="e">
        <f>'DATOS GENERALES'!#REF!+$G$3</f>
        <v>#REF!</v>
      </c>
      <c r="B161" s="106"/>
      <c r="C161" s="105" t="e">
        <f>'DATOS GENERALES'!#REF!+$G$3</f>
        <v>#REF!</v>
      </c>
      <c r="D161" s="106"/>
      <c r="E161" s="107" t="e">
        <f>'DATOS GENERALES'!#REF!+$G$5</f>
        <v>#REF!</v>
      </c>
      <c r="F161" s="108"/>
      <c r="G161" s="109" t="e">
        <f>'DATOS GENERALES'!#REF!+($G$8)</f>
        <v>#REF!</v>
      </c>
      <c r="H161" s="110"/>
      <c r="I161" s="111" t="e">
        <f>'DATOS GENERALES'!#REF!+($G$6)</f>
        <v>#REF!</v>
      </c>
      <c r="J161" s="112"/>
      <c r="K161" s="113" t="e">
        <f>'DATOS GENERALES'!#REF!+$G$7</f>
        <v>#REF!</v>
      </c>
      <c r="L161" s="112"/>
    </row>
    <row r="162" spans="1:51" x14ac:dyDescent="0.2">
      <c r="A162" s="105" t="e">
        <f>'DATOS GENERALES'!#REF!+$G$3</f>
        <v>#REF!</v>
      </c>
      <c r="B162" s="106"/>
      <c r="C162" s="105" t="e">
        <f>'DATOS GENERALES'!#REF!+$G$3</f>
        <v>#REF!</v>
      </c>
      <c r="D162" s="106"/>
      <c r="E162" s="107" t="e">
        <f>'DATOS GENERALES'!#REF!+$G$5</f>
        <v>#REF!</v>
      </c>
      <c r="F162" s="108"/>
      <c r="G162" s="109" t="e">
        <f>'DATOS GENERALES'!#REF!+($G$8)</f>
        <v>#REF!</v>
      </c>
      <c r="H162" s="110"/>
      <c r="I162" s="111" t="e">
        <f>'DATOS GENERALES'!#REF!+($G$6)</f>
        <v>#REF!</v>
      </c>
      <c r="J162" s="112"/>
      <c r="K162" s="113" t="e">
        <f>'DATOS GENERALES'!#REF!+$G$7</f>
        <v>#REF!</v>
      </c>
      <c r="L162" s="112"/>
    </row>
    <row r="163" spans="1:51" x14ac:dyDescent="0.2">
      <c r="A163" s="105" t="e">
        <f>'DATOS GENERALES'!#REF!+$G$3</f>
        <v>#REF!</v>
      </c>
      <c r="B163" s="106"/>
      <c r="C163" s="105" t="e">
        <f>'DATOS GENERALES'!#REF!+$G$3</f>
        <v>#REF!</v>
      </c>
      <c r="D163" s="106"/>
      <c r="E163" s="107" t="e">
        <f>'DATOS GENERALES'!#REF!+$G$5</f>
        <v>#REF!</v>
      </c>
      <c r="F163" s="108"/>
      <c r="G163" s="109" t="e">
        <f>'DATOS GENERALES'!#REF!+($G$8)</f>
        <v>#REF!</v>
      </c>
      <c r="H163" s="110"/>
      <c r="I163" s="111" t="e">
        <f>'DATOS GENERALES'!#REF!+($G$6)</f>
        <v>#REF!</v>
      </c>
      <c r="J163" s="112"/>
      <c r="K163" s="113" t="e">
        <f>'DATOS GENERALES'!#REF!+$G$7</f>
        <v>#REF!</v>
      </c>
      <c r="L163" s="112"/>
    </row>
    <row r="164" spans="1:51" x14ac:dyDescent="0.2">
      <c r="A164" s="105" t="e">
        <f>'DATOS GENERALES'!#REF!+$G$3</f>
        <v>#REF!</v>
      </c>
      <c r="B164" s="106"/>
      <c r="C164" s="105" t="e">
        <f>'DATOS GENERALES'!#REF!+$G$3</f>
        <v>#REF!</v>
      </c>
      <c r="D164" s="106"/>
      <c r="E164" s="107" t="e">
        <f>'DATOS GENERALES'!#REF!+$G$5</f>
        <v>#REF!</v>
      </c>
      <c r="F164" s="108"/>
      <c r="G164" s="109" t="e">
        <f>'DATOS GENERALES'!#REF!+($G$8)</f>
        <v>#REF!</v>
      </c>
      <c r="H164" s="110"/>
      <c r="I164" s="111" t="e">
        <f>'DATOS GENERALES'!#REF!+($G$6)</f>
        <v>#REF!</v>
      </c>
      <c r="J164" s="112"/>
      <c r="K164" s="113" t="e">
        <f>'DATOS GENERALES'!#REF!+$G$7</f>
        <v>#REF!</v>
      </c>
      <c r="L164" s="112"/>
      <c r="P164" s="737">
        <f>'[1]DATOS GENERALES'!E206</f>
        <v>0</v>
      </c>
      <c r="W164" s="737">
        <f>'[1]DATOS GENERALES'!G206</f>
        <v>0</v>
      </c>
      <c r="AD164" s="737">
        <f>'[1]DATOS GENERALES'!I206</f>
        <v>0</v>
      </c>
      <c r="AK164" s="737">
        <f>'[1]DATOS GENERALES'!K206</f>
        <v>0</v>
      </c>
      <c r="AR164" s="737">
        <f>'[1]DATOS GENERALES'!A206</f>
        <v>0</v>
      </c>
      <c r="AY164" s="737">
        <f>'[1]DATOS GENERALES'!C206</f>
        <v>0</v>
      </c>
    </row>
    <row r="165" spans="1:51" x14ac:dyDescent="0.2">
      <c r="A165" s="105" t="e">
        <f>'DATOS GENERALES'!#REF!+$G$3</f>
        <v>#REF!</v>
      </c>
      <c r="B165" s="106"/>
      <c r="C165" s="105" t="e">
        <f>'DATOS GENERALES'!#REF!+$G$3</f>
        <v>#REF!</v>
      </c>
      <c r="D165" s="106"/>
      <c r="E165" s="107" t="e">
        <f>'DATOS GENERALES'!#REF!+$G$5</f>
        <v>#REF!</v>
      </c>
      <c r="F165" s="108"/>
      <c r="G165" s="109" t="e">
        <f>'DATOS GENERALES'!#REF!+($G$8)</f>
        <v>#REF!</v>
      </c>
      <c r="H165" s="110"/>
      <c r="I165" s="111" t="e">
        <f>'DATOS GENERALES'!#REF!+($G$6)</f>
        <v>#REF!</v>
      </c>
      <c r="J165" s="112"/>
      <c r="K165" s="113" t="e">
        <f>'DATOS GENERALES'!#REF!+$G$7</f>
        <v>#REF!</v>
      </c>
      <c r="L165" s="112"/>
    </row>
    <row r="166" spans="1:51" x14ac:dyDescent="0.2">
      <c r="A166" s="105" t="e">
        <f>'DATOS GENERALES'!#REF!+$G$3</f>
        <v>#REF!</v>
      </c>
      <c r="B166" s="106"/>
      <c r="C166" s="105" t="e">
        <f>'DATOS GENERALES'!#REF!+$G$3</f>
        <v>#REF!</v>
      </c>
      <c r="D166" s="106"/>
      <c r="E166" s="107" t="e">
        <f>'DATOS GENERALES'!#REF!+$G$5</f>
        <v>#REF!</v>
      </c>
      <c r="F166" s="108"/>
      <c r="G166" s="109" t="e">
        <f>'DATOS GENERALES'!#REF!+($G$8)</f>
        <v>#REF!</v>
      </c>
      <c r="H166" s="110"/>
      <c r="I166" s="111" t="e">
        <f>'DATOS GENERALES'!#REF!+($G$6)</f>
        <v>#REF!</v>
      </c>
      <c r="J166" s="112"/>
      <c r="K166" s="113" t="e">
        <f>'DATOS GENERALES'!#REF!+$G$7</f>
        <v>#REF!</v>
      </c>
      <c r="L166" s="112"/>
    </row>
    <row r="167" spans="1:51" x14ac:dyDescent="0.2">
      <c r="A167" s="105" t="e">
        <f>'DATOS GENERALES'!#REF!+$G$3</f>
        <v>#REF!</v>
      </c>
      <c r="B167" s="106"/>
      <c r="C167" s="105" t="e">
        <f>'DATOS GENERALES'!#REF!+$G$3</f>
        <v>#REF!</v>
      </c>
      <c r="D167" s="106"/>
      <c r="E167" s="107" t="e">
        <f>'DATOS GENERALES'!#REF!+$G$5</f>
        <v>#REF!</v>
      </c>
      <c r="F167" s="108"/>
      <c r="G167" s="109" t="e">
        <f>'DATOS GENERALES'!#REF!+($G$8)</f>
        <v>#REF!</v>
      </c>
      <c r="H167" s="110"/>
      <c r="I167" s="111" t="e">
        <f>'DATOS GENERALES'!#REF!+($G$6)</f>
        <v>#REF!</v>
      </c>
      <c r="J167" s="112"/>
      <c r="K167" s="113" t="e">
        <f>'DATOS GENERALES'!#REF!+$G$7</f>
        <v>#REF!</v>
      </c>
      <c r="L167" s="112"/>
    </row>
    <row r="175" spans="1:51" ht="48" x14ac:dyDescent="0.2">
      <c r="A175" s="196" t="s">
        <v>73</v>
      </c>
      <c r="B175" s="197"/>
      <c r="C175" s="196" t="s">
        <v>74</v>
      </c>
      <c r="D175" s="197"/>
      <c r="E175" s="198" t="s">
        <v>75</v>
      </c>
      <c r="F175" s="199"/>
      <c r="G175" s="198" t="s">
        <v>172</v>
      </c>
      <c r="H175" s="199"/>
      <c r="I175" s="198" t="s">
        <v>174</v>
      </c>
      <c r="J175" s="199"/>
      <c r="K175" s="194" t="s">
        <v>173</v>
      </c>
      <c r="L175" s="195"/>
    </row>
    <row r="176" spans="1:51" ht="12.75" customHeight="1" x14ac:dyDescent="0.2">
      <c r="A176" s="105" t="e">
        <f>'DATOS GENERALES'!#REF!+$G$3</f>
        <v>#REF!</v>
      </c>
      <c r="B176" s="106"/>
      <c r="C176" s="105" t="e">
        <f>'DATOS GENERALES'!#REF!+$G$3</f>
        <v>#REF!</v>
      </c>
      <c r="D176" s="106"/>
      <c r="E176" s="107" t="e">
        <f>'DATOS GENERALES'!#REF!+$G$5</f>
        <v>#REF!</v>
      </c>
      <c r="F176" s="108"/>
      <c r="G176" s="109" t="e">
        <f>'DATOS GENERALES'!#REF!+($G$8)</f>
        <v>#REF!</v>
      </c>
      <c r="H176" s="110"/>
      <c r="I176" s="111" t="e">
        <f>'DATOS GENERALES'!#REF!+($G$6)</f>
        <v>#REF!</v>
      </c>
      <c r="J176" s="112"/>
      <c r="K176" s="113" t="e">
        <f>'DATOS GENERALES'!#REF!+$G$7</f>
        <v>#REF!</v>
      </c>
      <c r="L176" s="112"/>
    </row>
    <row r="177" spans="1:51" x14ac:dyDescent="0.2">
      <c r="A177" s="105" t="e">
        <f>'DATOS GENERALES'!#REF!+$G$3</f>
        <v>#REF!</v>
      </c>
      <c r="B177" s="106"/>
      <c r="C177" s="105" t="e">
        <f>'DATOS GENERALES'!#REF!+$G$3</f>
        <v>#REF!</v>
      </c>
      <c r="D177" s="106"/>
      <c r="E177" s="107" t="e">
        <f>'DATOS GENERALES'!#REF!+$G$5</f>
        <v>#REF!</v>
      </c>
      <c r="F177" s="108"/>
      <c r="G177" s="109" t="e">
        <f>'DATOS GENERALES'!#REF!+($G$8)</f>
        <v>#REF!</v>
      </c>
      <c r="H177" s="110"/>
      <c r="I177" s="111" t="e">
        <f>'DATOS GENERALES'!#REF!+($G$6)</f>
        <v>#REF!</v>
      </c>
      <c r="J177" s="112"/>
      <c r="K177" s="113" t="e">
        <f>'DATOS GENERALES'!#REF!+$G$7</f>
        <v>#REF!</v>
      </c>
      <c r="L177" s="112"/>
      <c r="M177">
        <v>10</v>
      </c>
    </row>
    <row r="178" spans="1:51" x14ac:dyDescent="0.2">
      <c r="A178" s="105" t="e">
        <f>'DATOS GENERALES'!#REF!+$G$3</f>
        <v>#REF!</v>
      </c>
      <c r="B178" s="106"/>
      <c r="C178" s="105" t="e">
        <f>'DATOS GENERALES'!#REF!+$G$3</f>
        <v>#REF!</v>
      </c>
      <c r="D178" s="106"/>
      <c r="E178" s="107" t="e">
        <f>'DATOS GENERALES'!#REF!+$G$5</f>
        <v>#REF!</v>
      </c>
      <c r="F178" s="108"/>
      <c r="G178" s="109" t="e">
        <f>'DATOS GENERALES'!#REF!+($G$8)</f>
        <v>#REF!</v>
      </c>
      <c r="H178" s="110"/>
      <c r="I178" s="111" t="e">
        <f>'DATOS GENERALES'!#REF!+($G$6)</f>
        <v>#REF!</v>
      </c>
      <c r="J178" s="112"/>
      <c r="K178" s="113" t="e">
        <f>'DATOS GENERALES'!#REF!+$G$7</f>
        <v>#REF!</v>
      </c>
      <c r="L178" s="112"/>
    </row>
    <row r="179" spans="1:51" x14ac:dyDescent="0.2">
      <c r="A179" s="105" t="e">
        <f>'DATOS GENERALES'!#REF!+$G$3</f>
        <v>#REF!</v>
      </c>
      <c r="B179" s="106"/>
      <c r="C179" s="105" t="e">
        <f>'DATOS GENERALES'!#REF!+$G$3</f>
        <v>#REF!</v>
      </c>
      <c r="D179" s="106"/>
      <c r="E179" s="107" t="e">
        <f>'DATOS GENERALES'!#REF!+$G$5</f>
        <v>#REF!</v>
      </c>
      <c r="F179" s="108"/>
      <c r="G179" s="109" t="e">
        <f>'DATOS GENERALES'!#REF!+($G$8)</f>
        <v>#REF!</v>
      </c>
      <c r="H179" s="110"/>
      <c r="I179" s="111" t="e">
        <f>'DATOS GENERALES'!#REF!+($G$6)</f>
        <v>#REF!</v>
      </c>
      <c r="J179" s="112"/>
      <c r="K179" s="113" t="e">
        <f>'DATOS GENERALES'!#REF!+$G$7</f>
        <v>#REF!</v>
      </c>
      <c r="L179" s="112"/>
      <c r="P179" s="737">
        <f>'[1]DATOS GENERALES'!E221</f>
        <v>0</v>
      </c>
      <c r="W179" s="737">
        <f>'[1]DATOS GENERALES'!G221</f>
        <v>0</v>
      </c>
      <c r="AD179" s="737">
        <f>'[1]DATOS GENERALES'!I221</f>
        <v>0</v>
      </c>
      <c r="AK179" s="737">
        <f>'[1]DATOS GENERALES'!K221</f>
        <v>0</v>
      </c>
      <c r="AR179" s="737">
        <f>'[1]DATOS GENERALES'!A221</f>
        <v>0</v>
      </c>
      <c r="AY179" s="737">
        <f>'[1]DATOS GENERALES'!C221</f>
        <v>0</v>
      </c>
    </row>
    <row r="180" spans="1:51" x14ac:dyDescent="0.2">
      <c r="A180" s="105" t="e">
        <f>'DATOS GENERALES'!#REF!+$G$3</f>
        <v>#REF!</v>
      </c>
      <c r="B180" s="106"/>
      <c r="C180" s="105" t="e">
        <f>'DATOS GENERALES'!#REF!+$G$3</f>
        <v>#REF!</v>
      </c>
      <c r="D180" s="106"/>
      <c r="E180" s="107" t="e">
        <f>'DATOS GENERALES'!#REF!+$G$5</f>
        <v>#REF!</v>
      </c>
      <c r="F180" s="108"/>
      <c r="G180" s="109" t="e">
        <f>'DATOS GENERALES'!#REF!+($G$8)</f>
        <v>#REF!</v>
      </c>
      <c r="H180" s="110"/>
      <c r="I180" s="111" t="e">
        <f>'DATOS GENERALES'!#REF!+($G$6)</f>
        <v>#REF!</v>
      </c>
      <c r="J180" s="112"/>
      <c r="K180" s="113" t="e">
        <f>'DATOS GENERALES'!#REF!+$G$7</f>
        <v>#REF!</v>
      </c>
      <c r="L180" s="112"/>
    </row>
    <row r="181" spans="1:51" x14ac:dyDescent="0.2">
      <c r="A181" s="105" t="e">
        <f>'DATOS GENERALES'!#REF!+$G$3</f>
        <v>#REF!</v>
      </c>
      <c r="B181" s="106"/>
      <c r="C181" s="105" t="e">
        <f>'DATOS GENERALES'!#REF!+$G$3</f>
        <v>#REF!</v>
      </c>
      <c r="D181" s="106"/>
      <c r="E181" s="107" t="e">
        <f>'DATOS GENERALES'!#REF!+$G$5</f>
        <v>#REF!</v>
      </c>
      <c r="F181" s="108"/>
      <c r="G181" s="109" t="e">
        <f>'DATOS GENERALES'!#REF!+($G$8)</f>
        <v>#REF!</v>
      </c>
      <c r="H181" s="110"/>
      <c r="I181" s="111" t="e">
        <f>'DATOS GENERALES'!#REF!+($G$6)</f>
        <v>#REF!</v>
      </c>
      <c r="J181" s="112"/>
      <c r="K181" s="113" t="e">
        <f>'DATOS GENERALES'!#REF!+$G$7</f>
        <v>#REF!</v>
      </c>
      <c r="L181" s="112"/>
    </row>
    <row r="182" spans="1:51" x14ac:dyDescent="0.2">
      <c r="A182" s="105" t="e">
        <f>'DATOS GENERALES'!#REF!+$G$3</f>
        <v>#REF!</v>
      </c>
      <c r="B182" s="106"/>
      <c r="C182" s="105" t="e">
        <f>'DATOS GENERALES'!#REF!+$G$3</f>
        <v>#REF!</v>
      </c>
      <c r="D182" s="106"/>
      <c r="E182" s="107" t="e">
        <f>'DATOS GENERALES'!#REF!+$G$5</f>
        <v>#REF!</v>
      </c>
      <c r="F182" s="108"/>
      <c r="G182" s="109" t="e">
        <f>'DATOS GENERALES'!#REF!+($G$8)</f>
        <v>#REF!</v>
      </c>
      <c r="H182" s="110"/>
      <c r="I182" s="111" t="e">
        <f>'DATOS GENERALES'!#REF!+($G$6)</f>
        <v>#REF!</v>
      </c>
      <c r="J182" s="112"/>
      <c r="K182" s="113" t="e">
        <f>'DATOS GENERALES'!#REF!+$G$7</f>
        <v>#REF!</v>
      </c>
      <c r="L182" s="112"/>
    </row>
    <row r="183" spans="1:51" x14ac:dyDescent="0.2">
      <c r="A183" s="105" t="e">
        <f>'DATOS GENERALES'!#REF!+$G$3</f>
        <v>#REF!</v>
      </c>
      <c r="B183" s="106"/>
      <c r="C183" s="105" t="e">
        <f>'DATOS GENERALES'!#REF!+$G$3</f>
        <v>#REF!</v>
      </c>
      <c r="D183" s="106"/>
      <c r="E183" s="107" t="e">
        <f>'DATOS GENERALES'!#REF!+$G$5</f>
        <v>#REF!</v>
      </c>
      <c r="F183" s="108"/>
      <c r="G183" s="109" t="e">
        <f>'DATOS GENERALES'!#REF!+($G$8)</f>
        <v>#REF!</v>
      </c>
      <c r="H183" s="110"/>
      <c r="I183" s="111" t="e">
        <f>'DATOS GENERALES'!#REF!+($G$6)</f>
        <v>#REF!</v>
      </c>
      <c r="J183" s="112"/>
      <c r="K183" s="113" t="e">
        <f>'DATOS GENERALES'!#REF!+$G$7</f>
        <v>#REF!</v>
      </c>
      <c r="L183" s="112"/>
    </row>
    <row r="184" spans="1:51" x14ac:dyDescent="0.2">
      <c r="A184" s="105" t="e">
        <f>'DATOS GENERALES'!#REF!+$G$3</f>
        <v>#REF!</v>
      </c>
      <c r="B184" s="106"/>
      <c r="C184" s="105" t="e">
        <f>'DATOS GENERALES'!#REF!+$G$3</f>
        <v>#REF!</v>
      </c>
      <c r="D184" s="106"/>
      <c r="E184" s="107" t="e">
        <f>'DATOS GENERALES'!#REF!+$G$5</f>
        <v>#REF!</v>
      </c>
      <c r="F184" s="108"/>
      <c r="G184" s="109" t="e">
        <f>'DATOS GENERALES'!#REF!+($G$8)</f>
        <v>#REF!</v>
      </c>
      <c r="H184" s="110"/>
      <c r="I184" s="111" t="e">
        <f>'DATOS GENERALES'!#REF!+($G$6)</f>
        <v>#REF!</v>
      </c>
      <c r="J184" s="112"/>
      <c r="K184" s="113" t="e">
        <f>'DATOS GENERALES'!#REF!+$G$7</f>
        <v>#REF!</v>
      </c>
      <c r="L184" s="112"/>
    </row>
    <row r="185" spans="1:51" x14ac:dyDescent="0.2">
      <c r="A185" s="105" t="e">
        <f>'DATOS GENERALES'!#REF!+$G$3</f>
        <v>#REF!</v>
      </c>
      <c r="B185" s="106"/>
      <c r="C185" s="105" t="e">
        <f>'DATOS GENERALES'!#REF!+$G$3</f>
        <v>#REF!</v>
      </c>
      <c r="D185" s="106"/>
      <c r="E185" s="107" t="e">
        <f>'DATOS GENERALES'!#REF!+$G$5</f>
        <v>#REF!</v>
      </c>
      <c r="F185" s="108"/>
      <c r="G185" s="109" t="e">
        <f>'DATOS GENERALES'!#REF!+($G$8)</f>
        <v>#REF!</v>
      </c>
      <c r="H185" s="110"/>
      <c r="I185" s="111" t="e">
        <f>'DATOS GENERALES'!#REF!+($G$6)</f>
        <v>#REF!</v>
      </c>
      <c r="J185" s="112"/>
      <c r="K185" s="113" t="e">
        <f>'DATOS GENERALES'!#REF!+$G$7</f>
        <v>#REF!</v>
      </c>
      <c r="L185" s="112"/>
    </row>
    <row r="193" spans="1:51" ht="48" x14ac:dyDescent="0.2">
      <c r="A193" s="196" t="s">
        <v>73</v>
      </c>
      <c r="B193" s="197"/>
      <c r="C193" s="196" t="s">
        <v>74</v>
      </c>
      <c r="D193" s="197"/>
      <c r="E193" s="198" t="s">
        <v>75</v>
      </c>
      <c r="F193" s="199"/>
      <c r="G193" s="198" t="s">
        <v>172</v>
      </c>
      <c r="H193" s="199"/>
      <c r="I193" s="198" t="s">
        <v>174</v>
      </c>
      <c r="J193" s="199"/>
      <c r="K193" s="194" t="s">
        <v>173</v>
      </c>
      <c r="L193" s="195"/>
    </row>
    <row r="194" spans="1:51" ht="12.75" customHeight="1" x14ac:dyDescent="0.2">
      <c r="A194" s="105" t="e">
        <f>'DATOS GENERALES'!#REF!+$G$3</f>
        <v>#REF!</v>
      </c>
      <c r="B194" s="106"/>
      <c r="C194" s="105" t="e">
        <f>'DATOS GENERALES'!#REF!+$G$3</f>
        <v>#REF!</v>
      </c>
      <c r="D194" s="106"/>
      <c r="E194" s="107" t="e">
        <f>'DATOS GENERALES'!#REF!+$G$5</f>
        <v>#REF!</v>
      </c>
      <c r="F194" s="108"/>
      <c r="G194" s="109" t="e">
        <f>'DATOS GENERALES'!#REF!+($G$8)</f>
        <v>#REF!</v>
      </c>
      <c r="H194" s="110"/>
      <c r="I194" s="111" t="e">
        <f>'DATOS GENERALES'!#REF!+($G$6)</f>
        <v>#REF!</v>
      </c>
      <c r="J194" s="112"/>
      <c r="K194" s="113" t="e">
        <f>'DATOS GENERALES'!#REF!+$G$7</f>
        <v>#REF!</v>
      </c>
      <c r="L194" s="112"/>
      <c r="M194">
        <v>11</v>
      </c>
      <c r="P194" s="737">
        <f>'[1]DATOS GENERALES'!E236</f>
        <v>0</v>
      </c>
      <c r="W194" s="737">
        <f>'[1]DATOS GENERALES'!G236</f>
        <v>0</v>
      </c>
      <c r="AD194" s="737">
        <f>'[1]DATOS GENERALES'!I236</f>
        <v>0</v>
      </c>
      <c r="AK194" s="737">
        <f>'[1]DATOS GENERALES'!K236</f>
        <v>0</v>
      </c>
      <c r="AR194" s="737">
        <f>'[1]DATOS GENERALES'!A236</f>
        <v>0</v>
      </c>
      <c r="AY194" s="737">
        <f>'[1]DATOS GENERALES'!C236</f>
        <v>0</v>
      </c>
    </row>
    <row r="195" spans="1:51" x14ac:dyDescent="0.2">
      <c r="A195" s="105" t="e">
        <f>'DATOS GENERALES'!#REF!+$G$3</f>
        <v>#REF!</v>
      </c>
      <c r="B195" s="106"/>
      <c r="C195" s="105" t="e">
        <f>'DATOS GENERALES'!#REF!+$G$3</f>
        <v>#REF!</v>
      </c>
      <c r="D195" s="106"/>
      <c r="E195" s="107" t="e">
        <f>'DATOS GENERALES'!#REF!+$G$5</f>
        <v>#REF!</v>
      </c>
      <c r="F195" s="108"/>
      <c r="G195" s="109" t="e">
        <f>'DATOS GENERALES'!#REF!+($G$8)</f>
        <v>#REF!</v>
      </c>
      <c r="H195" s="110"/>
      <c r="I195" s="111" t="e">
        <f>'DATOS GENERALES'!#REF!+($G$6)</f>
        <v>#REF!</v>
      </c>
      <c r="J195" s="112"/>
      <c r="K195" s="113" t="e">
        <f>'DATOS GENERALES'!#REF!+$G$7</f>
        <v>#REF!</v>
      </c>
      <c r="L195" s="112"/>
    </row>
    <row r="196" spans="1:51" x14ac:dyDescent="0.2">
      <c r="A196" s="105" t="e">
        <f>'DATOS GENERALES'!#REF!+$G$3</f>
        <v>#REF!</v>
      </c>
      <c r="B196" s="106"/>
      <c r="C196" s="105" t="e">
        <f>'DATOS GENERALES'!#REF!+$G$3</f>
        <v>#REF!</v>
      </c>
      <c r="D196" s="106"/>
      <c r="E196" s="107" t="e">
        <f>'DATOS GENERALES'!#REF!+$G$5</f>
        <v>#REF!</v>
      </c>
      <c r="F196" s="108"/>
      <c r="G196" s="109" t="e">
        <f>'DATOS GENERALES'!#REF!+($G$8)</f>
        <v>#REF!</v>
      </c>
      <c r="H196" s="110"/>
      <c r="I196" s="111" t="e">
        <f>'DATOS GENERALES'!#REF!+($G$6)</f>
        <v>#REF!</v>
      </c>
      <c r="J196" s="112"/>
      <c r="K196" s="113" t="e">
        <f>'DATOS GENERALES'!#REF!+$G$7</f>
        <v>#REF!</v>
      </c>
      <c r="L196" s="112"/>
    </row>
    <row r="197" spans="1:51" x14ac:dyDescent="0.2">
      <c r="A197" s="105" t="e">
        <f>'DATOS GENERALES'!#REF!+$G$3</f>
        <v>#REF!</v>
      </c>
      <c r="B197" s="106"/>
      <c r="C197" s="105" t="e">
        <f>'DATOS GENERALES'!#REF!+$G$3</f>
        <v>#REF!</v>
      </c>
      <c r="D197" s="106"/>
      <c r="E197" s="107" t="e">
        <f>'DATOS GENERALES'!#REF!+$G$5</f>
        <v>#REF!</v>
      </c>
      <c r="F197" s="108"/>
      <c r="G197" s="109" t="e">
        <f>'DATOS GENERALES'!#REF!+($G$8)</f>
        <v>#REF!</v>
      </c>
      <c r="H197" s="110"/>
      <c r="I197" s="111" t="e">
        <f>'DATOS GENERALES'!#REF!+($G$6)</f>
        <v>#REF!</v>
      </c>
      <c r="J197" s="112"/>
      <c r="K197" s="113" t="e">
        <f>'DATOS GENERALES'!#REF!+$G$7</f>
        <v>#REF!</v>
      </c>
      <c r="L197" s="112"/>
    </row>
    <row r="198" spans="1:51" x14ac:dyDescent="0.2">
      <c r="A198" s="105" t="e">
        <f>'DATOS GENERALES'!#REF!+$G$3</f>
        <v>#REF!</v>
      </c>
      <c r="B198" s="106"/>
      <c r="C198" s="105" t="e">
        <f>'DATOS GENERALES'!#REF!+$G$3</f>
        <v>#REF!</v>
      </c>
      <c r="D198" s="106"/>
      <c r="E198" s="107" t="e">
        <f>'DATOS GENERALES'!#REF!+$G$5</f>
        <v>#REF!</v>
      </c>
      <c r="F198" s="108"/>
      <c r="G198" s="109" t="e">
        <f>'DATOS GENERALES'!#REF!+($G$8)</f>
        <v>#REF!</v>
      </c>
      <c r="H198" s="110"/>
      <c r="I198" s="111" t="e">
        <f>'DATOS GENERALES'!#REF!+($G$6)</f>
        <v>#REF!</v>
      </c>
      <c r="J198" s="112"/>
      <c r="K198" s="113" t="e">
        <f>'DATOS GENERALES'!#REF!+$G$7</f>
        <v>#REF!</v>
      </c>
      <c r="L198" s="112"/>
    </row>
    <row r="199" spans="1:51" x14ac:dyDescent="0.2">
      <c r="A199" s="105" t="e">
        <f>'DATOS GENERALES'!#REF!+$G$3</f>
        <v>#REF!</v>
      </c>
      <c r="B199" s="106"/>
      <c r="C199" s="105" t="e">
        <f>'DATOS GENERALES'!#REF!+$G$3</f>
        <v>#REF!</v>
      </c>
      <c r="D199" s="106"/>
      <c r="E199" s="107" t="e">
        <f>'DATOS GENERALES'!#REF!+$G$5</f>
        <v>#REF!</v>
      </c>
      <c r="F199" s="108"/>
      <c r="G199" s="109" t="e">
        <f>'DATOS GENERALES'!#REF!+($G$8)</f>
        <v>#REF!</v>
      </c>
      <c r="H199" s="110"/>
      <c r="I199" s="111" t="e">
        <f>'DATOS GENERALES'!#REF!+($G$6)</f>
        <v>#REF!</v>
      </c>
      <c r="J199" s="112"/>
      <c r="K199" s="113" t="e">
        <f>'DATOS GENERALES'!#REF!+$G$7</f>
        <v>#REF!</v>
      </c>
      <c r="L199" s="112"/>
    </row>
    <row r="200" spans="1:51" x14ac:dyDescent="0.2">
      <c r="A200" s="105" t="e">
        <f>'DATOS GENERALES'!#REF!+$G$3</f>
        <v>#REF!</v>
      </c>
      <c r="B200" s="106"/>
      <c r="C200" s="105" t="e">
        <f>'DATOS GENERALES'!#REF!+$G$3</f>
        <v>#REF!</v>
      </c>
      <c r="D200" s="106"/>
      <c r="E200" s="107" t="e">
        <f>'DATOS GENERALES'!#REF!+$G$5</f>
        <v>#REF!</v>
      </c>
      <c r="F200" s="108"/>
      <c r="G200" s="109" t="e">
        <f>'DATOS GENERALES'!#REF!+($G$8)</f>
        <v>#REF!</v>
      </c>
      <c r="H200" s="110"/>
      <c r="I200" s="111" t="e">
        <f>'DATOS GENERALES'!#REF!+($G$6)</f>
        <v>#REF!</v>
      </c>
      <c r="J200" s="112"/>
      <c r="K200" s="113" t="e">
        <f>'DATOS GENERALES'!#REF!+$G$7</f>
        <v>#REF!</v>
      </c>
      <c r="L200" s="112"/>
    </row>
    <row r="201" spans="1:51" x14ac:dyDescent="0.2">
      <c r="A201" s="105" t="e">
        <f>'DATOS GENERALES'!#REF!+$G$3</f>
        <v>#REF!</v>
      </c>
      <c r="B201" s="106"/>
      <c r="C201" s="105" t="e">
        <f>'DATOS GENERALES'!#REF!+$G$3</f>
        <v>#REF!</v>
      </c>
      <c r="D201" s="106"/>
      <c r="E201" s="107" t="e">
        <f>'DATOS GENERALES'!#REF!+$G$5</f>
        <v>#REF!</v>
      </c>
      <c r="F201" s="108"/>
      <c r="G201" s="109" t="e">
        <f>'DATOS GENERALES'!#REF!+($G$8)</f>
        <v>#REF!</v>
      </c>
      <c r="H201" s="110"/>
      <c r="I201" s="111" t="e">
        <f>'DATOS GENERALES'!#REF!+($G$6)</f>
        <v>#REF!</v>
      </c>
      <c r="J201" s="112"/>
      <c r="K201" s="113" t="e">
        <f>'DATOS GENERALES'!#REF!+$G$7</f>
        <v>#REF!</v>
      </c>
      <c r="L201" s="112"/>
    </row>
    <row r="202" spans="1:51" x14ac:dyDescent="0.2">
      <c r="A202" s="105" t="e">
        <f>'DATOS GENERALES'!#REF!+$G$3</f>
        <v>#REF!</v>
      </c>
      <c r="B202" s="106"/>
      <c r="C202" s="105" t="e">
        <f>'DATOS GENERALES'!#REF!+$G$3</f>
        <v>#REF!</v>
      </c>
      <c r="D202" s="106"/>
      <c r="E202" s="107" t="e">
        <f>'DATOS GENERALES'!#REF!+$G$5</f>
        <v>#REF!</v>
      </c>
      <c r="F202" s="108"/>
      <c r="G202" s="109" t="e">
        <f>'DATOS GENERALES'!#REF!+($G$8)</f>
        <v>#REF!</v>
      </c>
      <c r="H202" s="110"/>
      <c r="I202" s="111" t="e">
        <f>'DATOS GENERALES'!#REF!+($G$6)</f>
        <v>#REF!</v>
      </c>
      <c r="J202" s="112"/>
      <c r="K202" s="113" t="e">
        <f>'DATOS GENERALES'!#REF!+$G$7</f>
        <v>#REF!</v>
      </c>
      <c r="L202" s="112"/>
    </row>
    <row r="203" spans="1:51" x14ac:dyDescent="0.2">
      <c r="A203" s="105" t="e">
        <f>'DATOS GENERALES'!#REF!+$G$3</f>
        <v>#REF!</v>
      </c>
      <c r="B203" s="106"/>
      <c r="C203" s="105" t="e">
        <f>'DATOS GENERALES'!#REF!+$G$3</f>
        <v>#REF!</v>
      </c>
      <c r="D203" s="106"/>
      <c r="E203" s="107" t="e">
        <f>'DATOS GENERALES'!#REF!+$G$5</f>
        <v>#REF!</v>
      </c>
      <c r="F203" s="108"/>
      <c r="G203" s="109" t="e">
        <f>'DATOS GENERALES'!#REF!+($G$8)</f>
        <v>#REF!</v>
      </c>
      <c r="H203" s="110"/>
      <c r="I203" s="111" t="e">
        <f>'DATOS GENERALES'!#REF!+($G$6)</f>
        <v>#REF!</v>
      </c>
      <c r="J203" s="112"/>
      <c r="K203" s="113" t="e">
        <f>'DATOS GENERALES'!#REF!+$G$7</f>
        <v>#REF!</v>
      </c>
      <c r="L203" s="112"/>
    </row>
    <row r="209" spans="1:51" x14ac:dyDescent="0.2">
      <c r="P209" s="737">
        <f>'[1]DATOS GENERALES'!E251</f>
        <v>0</v>
      </c>
      <c r="W209" s="737">
        <f>'[1]DATOS GENERALES'!G251</f>
        <v>0</v>
      </c>
      <c r="AD209" s="737">
        <f>'[1]DATOS GENERALES'!I251</f>
        <v>0</v>
      </c>
      <c r="AK209" s="737">
        <f>'[1]DATOS GENERALES'!K251</f>
        <v>0</v>
      </c>
      <c r="AR209" s="737">
        <f>'[1]DATOS GENERALES'!A251</f>
        <v>0</v>
      </c>
      <c r="AY209" s="737">
        <f>'[1]DATOS GENERALES'!C251</f>
        <v>0</v>
      </c>
    </row>
    <row r="211" spans="1:51" ht="48" x14ac:dyDescent="0.2">
      <c r="A211" s="196" t="s">
        <v>73</v>
      </c>
      <c r="B211" s="197"/>
      <c r="C211" s="196" t="s">
        <v>74</v>
      </c>
      <c r="D211" s="197"/>
      <c r="E211" s="198" t="s">
        <v>75</v>
      </c>
      <c r="F211" s="199"/>
      <c r="G211" s="198" t="s">
        <v>172</v>
      </c>
      <c r="H211" s="199"/>
      <c r="I211" s="198" t="s">
        <v>174</v>
      </c>
      <c r="J211" s="199"/>
      <c r="K211" s="194" t="s">
        <v>173</v>
      </c>
      <c r="L211" s="195"/>
    </row>
    <row r="212" spans="1:51" ht="12.75" customHeight="1" x14ac:dyDescent="0.2">
      <c r="A212" s="105" t="e">
        <f>'DATOS GENERALES'!#REF!+$G$3</f>
        <v>#REF!</v>
      </c>
      <c r="B212" s="106"/>
      <c r="C212" s="105" t="e">
        <f>'DATOS GENERALES'!#REF!+$G$3</f>
        <v>#REF!</v>
      </c>
      <c r="D212" s="106"/>
      <c r="E212" s="107" t="e">
        <f>'DATOS GENERALES'!#REF!+$G$5</f>
        <v>#REF!</v>
      </c>
      <c r="F212" s="108"/>
      <c r="G212" s="109" t="e">
        <f>'DATOS GENERALES'!#REF!+($G$8)</f>
        <v>#REF!</v>
      </c>
      <c r="H212" s="110"/>
      <c r="I212" s="111" t="e">
        <f>'DATOS GENERALES'!#REF!+($G$6)</f>
        <v>#REF!</v>
      </c>
      <c r="J212" s="112"/>
      <c r="K212" s="113" t="e">
        <f>'DATOS GENERALES'!#REF!+$G$7</f>
        <v>#REF!</v>
      </c>
      <c r="L212" s="112"/>
    </row>
    <row r="213" spans="1:51" x14ac:dyDescent="0.2">
      <c r="A213" s="105" t="e">
        <f>'DATOS GENERALES'!#REF!+$G$3</f>
        <v>#REF!</v>
      </c>
      <c r="B213" s="106"/>
      <c r="C213" s="105" t="e">
        <f>'DATOS GENERALES'!#REF!+$G$3</f>
        <v>#REF!</v>
      </c>
      <c r="D213" s="106"/>
      <c r="E213" s="107" t="e">
        <f>'DATOS GENERALES'!#REF!+$G$5</f>
        <v>#REF!</v>
      </c>
      <c r="F213" s="108"/>
      <c r="G213" s="109" t="e">
        <f>'DATOS GENERALES'!#REF!+($G$8)</f>
        <v>#REF!</v>
      </c>
      <c r="H213" s="110"/>
      <c r="I213" s="111" t="e">
        <f>'DATOS GENERALES'!#REF!+($G$6)</f>
        <v>#REF!</v>
      </c>
      <c r="J213" s="112"/>
      <c r="K213" s="113" t="e">
        <f>'DATOS GENERALES'!#REF!+$G$7</f>
        <v>#REF!</v>
      </c>
      <c r="L213" s="112"/>
    </row>
    <row r="214" spans="1:51" x14ac:dyDescent="0.2">
      <c r="A214" s="105" t="e">
        <f>'DATOS GENERALES'!#REF!+$G$3</f>
        <v>#REF!</v>
      </c>
      <c r="B214" s="106"/>
      <c r="C214" s="105" t="e">
        <f>'DATOS GENERALES'!#REF!+$G$3</f>
        <v>#REF!</v>
      </c>
      <c r="D214" s="106"/>
      <c r="E214" s="107" t="e">
        <f>'DATOS GENERALES'!#REF!+$G$5</f>
        <v>#REF!</v>
      </c>
      <c r="F214" s="108"/>
      <c r="G214" s="109" t="e">
        <f>'DATOS GENERALES'!#REF!+($G$8)</f>
        <v>#REF!</v>
      </c>
      <c r="H214" s="110"/>
      <c r="I214" s="111" t="e">
        <f>'DATOS GENERALES'!#REF!+($G$6)</f>
        <v>#REF!</v>
      </c>
      <c r="J214" s="112"/>
      <c r="K214" s="113" t="e">
        <f>'DATOS GENERALES'!#REF!+$G$7</f>
        <v>#REF!</v>
      </c>
      <c r="L214" s="112"/>
      <c r="M214">
        <v>12</v>
      </c>
    </row>
    <row r="215" spans="1:51" x14ac:dyDescent="0.2">
      <c r="A215" s="105" t="e">
        <f>'DATOS GENERALES'!#REF!+$G$3</f>
        <v>#REF!</v>
      </c>
      <c r="B215" s="106"/>
      <c r="C215" s="105" t="e">
        <f>'DATOS GENERALES'!#REF!+$G$3</f>
        <v>#REF!</v>
      </c>
      <c r="D215" s="106"/>
      <c r="E215" s="107" t="e">
        <f>'DATOS GENERALES'!#REF!+$G$5</f>
        <v>#REF!</v>
      </c>
      <c r="F215" s="108"/>
      <c r="G215" s="109" t="e">
        <f>'DATOS GENERALES'!#REF!+($G$8)</f>
        <v>#REF!</v>
      </c>
      <c r="H215" s="110"/>
      <c r="I215" s="111" t="e">
        <f>'DATOS GENERALES'!#REF!+($G$6)</f>
        <v>#REF!</v>
      </c>
      <c r="J215" s="112"/>
      <c r="K215" s="113" t="e">
        <f>'DATOS GENERALES'!#REF!+$G$7</f>
        <v>#REF!</v>
      </c>
      <c r="L215" s="112"/>
    </row>
    <row r="216" spans="1:51" x14ac:dyDescent="0.2">
      <c r="A216" s="105" t="e">
        <f>'DATOS GENERALES'!#REF!+$G$3</f>
        <v>#REF!</v>
      </c>
      <c r="B216" s="106"/>
      <c r="C216" s="105" t="e">
        <f>'DATOS GENERALES'!#REF!+$G$3</f>
        <v>#REF!</v>
      </c>
      <c r="D216" s="106"/>
      <c r="E216" s="107" t="e">
        <f>'DATOS GENERALES'!#REF!+$G$5</f>
        <v>#REF!</v>
      </c>
      <c r="F216" s="108"/>
      <c r="G216" s="109" t="e">
        <f>'DATOS GENERALES'!#REF!+($G$8)</f>
        <v>#REF!</v>
      </c>
      <c r="H216" s="110"/>
      <c r="I216" s="111" t="e">
        <f>'DATOS GENERALES'!#REF!+($G$6)</f>
        <v>#REF!</v>
      </c>
      <c r="J216" s="112"/>
      <c r="K216" s="113" t="e">
        <f>'DATOS GENERALES'!#REF!+$G$7</f>
        <v>#REF!</v>
      </c>
      <c r="L216" s="112"/>
    </row>
    <row r="217" spans="1:51" x14ac:dyDescent="0.2">
      <c r="A217" s="105" t="e">
        <f>'DATOS GENERALES'!#REF!+$G$3</f>
        <v>#REF!</v>
      </c>
      <c r="B217" s="106"/>
      <c r="C217" s="105" t="e">
        <f>'DATOS GENERALES'!#REF!+$G$3</f>
        <v>#REF!</v>
      </c>
      <c r="D217" s="106"/>
      <c r="E217" s="107" t="e">
        <f>'DATOS GENERALES'!#REF!+$G$5</f>
        <v>#REF!</v>
      </c>
      <c r="F217" s="108"/>
      <c r="G217" s="109" t="e">
        <f>'DATOS GENERALES'!#REF!+($G$8)</f>
        <v>#REF!</v>
      </c>
      <c r="H217" s="110"/>
      <c r="I217" s="111" t="e">
        <f>'DATOS GENERALES'!#REF!+($G$6)</f>
        <v>#REF!</v>
      </c>
      <c r="J217" s="112"/>
      <c r="K217" s="113" t="e">
        <f>'DATOS GENERALES'!#REF!+$G$7</f>
        <v>#REF!</v>
      </c>
      <c r="L217" s="112"/>
    </row>
    <row r="218" spans="1:51" x14ac:dyDescent="0.2">
      <c r="A218" s="105" t="e">
        <f>'DATOS GENERALES'!#REF!+$G$3</f>
        <v>#REF!</v>
      </c>
      <c r="B218" s="106"/>
      <c r="C218" s="105" t="e">
        <f>'DATOS GENERALES'!#REF!+$G$3</f>
        <v>#REF!</v>
      </c>
      <c r="D218" s="106"/>
      <c r="E218" s="107" t="e">
        <f>'DATOS GENERALES'!#REF!+$G$5</f>
        <v>#REF!</v>
      </c>
      <c r="F218" s="108"/>
      <c r="G218" s="109" t="e">
        <f>'DATOS GENERALES'!#REF!+($G$8)</f>
        <v>#REF!</v>
      </c>
      <c r="H218" s="110"/>
      <c r="I218" s="111" t="e">
        <f>'DATOS GENERALES'!#REF!+($G$6)</f>
        <v>#REF!</v>
      </c>
      <c r="J218" s="112"/>
      <c r="K218" s="113" t="e">
        <f>'DATOS GENERALES'!#REF!+$G$7</f>
        <v>#REF!</v>
      </c>
      <c r="L218" s="112"/>
    </row>
    <row r="219" spans="1:51" x14ac:dyDescent="0.2">
      <c r="A219" s="105" t="e">
        <f>'DATOS GENERALES'!#REF!+$G$3</f>
        <v>#REF!</v>
      </c>
      <c r="B219" s="106"/>
      <c r="C219" s="105" t="e">
        <f>'DATOS GENERALES'!#REF!+$G$3</f>
        <v>#REF!</v>
      </c>
      <c r="D219" s="106"/>
      <c r="E219" s="107" t="e">
        <f>'DATOS GENERALES'!#REF!+$G$5</f>
        <v>#REF!</v>
      </c>
      <c r="F219" s="108"/>
      <c r="G219" s="109" t="e">
        <f>'DATOS GENERALES'!#REF!+($G$8)</f>
        <v>#REF!</v>
      </c>
      <c r="H219" s="110"/>
      <c r="I219" s="111" t="e">
        <f>'DATOS GENERALES'!#REF!+($G$6)</f>
        <v>#REF!</v>
      </c>
      <c r="J219" s="112"/>
      <c r="K219" s="113" t="e">
        <f>'DATOS GENERALES'!#REF!+$G$7</f>
        <v>#REF!</v>
      </c>
      <c r="L219" s="112"/>
    </row>
    <row r="220" spans="1:51" x14ac:dyDescent="0.2">
      <c r="A220" s="105" t="e">
        <f>'DATOS GENERALES'!#REF!+$G$3</f>
        <v>#REF!</v>
      </c>
      <c r="B220" s="106"/>
      <c r="C220" s="105" t="e">
        <f>'DATOS GENERALES'!#REF!+$G$3</f>
        <v>#REF!</v>
      </c>
      <c r="D220" s="106"/>
      <c r="E220" s="107" t="e">
        <f>'DATOS GENERALES'!#REF!+$G$5</f>
        <v>#REF!</v>
      </c>
      <c r="F220" s="108"/>
      <c r="G220" s="109" t="e">
        <f>'DATOS GENERALES'!#REF!+($G$8)</f>
        <v>#REF!</v>
      </c>
      <c r="H220" s="110"/>
      <c r="I220" s="111" t="e">
        <f>'DATOS GENERALES'!#REF!+($G$6)</f>
        <v>#REF!</v>
      </c>
      <c r="J220" s="112"/>
      <c r="K220" s="113" t="e">
        <f>'DATOS GENERALES'!#REF!+$G$7</f>
        <v>#REF!</v>
      </c>
      <c r="L220" s="112"/>
    </row>
    <row r="221" spans="1:51" x14ac:dyDescent="0.2">
      <c r="A221" s="105" t="e">
        <f>'DATOS GENERALES'!#REF!+$G$3</f>
        <v>#REF!</v>
      </c>
      <c r="B221" s="106"/>
      <c r="C221" s="105" t="e">
        <f>'DATOS GENERALES'!#REF!+$G$3</f>
        <v>#REF!</v>
      </c>
      <c r="D221" s="106"/>
      <c r="E221" s="107" t="e">
        <f>'DATOS GENERALES'!#REF!+$G$5</f>
        <v>#REF!</v>
      </c>
      <c r="F221" s="108"/>
      <c r="G221" s="109" t="e">
        <f>'DATOS GENERALES'!#REF!+($G$8)</f>
        <v>#REF!</v>
      </c>
      <c r="H221" s="110"/>
      <c r="I221" s="111" t="e">
        <f>'DATOS GENERALES'!#REF!+($G$6)</f>
        <v>#REF!</v>
      </c>
      <c r="J221" s="112"/>
      <c r="K221" s="113" t="e">
        <f>'DATOS GENERALES'!#REF!+$G$7</f>
        <v>#REF!</v>
      </c>
      <c r="L221" s="112"/>
    </row>
    <row r="229" spans="1:12" ht="48" x14ac:dyDescent="0.2">
      <c r="A229" s="196" t="s">
        <v>73</v>
      </c>
      <c r="B229" s="197"/>
      <c r="C229" s="196" t="s">
        <v>74</v>
      </c>
      <c r="D229" s="197"/>
      <c r="E229" s="198" t="s">
        <v>75</v>
      </c>
      <c r="F229" s="199"/>
      <c r="G229" s="198" t="s">
        <v>172</v>
      </c>
      <c r="H229" s="199"/>
      <c r="I229" s="198" t="s">
        <v>174</v>
      </c>
      <c r="J229" s="199"/>
      <c r="K229" s="194" t="s">
        <v>173</v>
      </c>
      <c r="L229" s="195"/>
    </row>
    <row r="230" spans="1:12" ht="12.75" customHeight="1" x14ac:dyDescent="0.2">
      <c r="A230" s="105">
        <f>'DATOS GENERALES'!A149:B149+$G$3</f>
        <v>2.0000000000000002E-5</v>
      </c>
      <c r="B230" s="106"/>
      <c r="C230" s="105">
        <f>'DATOS GENERALES'!C149:D149+$G$3</f>
        <v>2.0000000000000002E-5</v>
      </c>
      <c r="D230" s="106"/>
      <c r="E230" s="107">
        <f>'DATOS GENERALES'!E149:F149+$G$5</f>
        <v>-0.16400000000000001</v>
      </c>
      <c r="F230" s="108"/>
      <c r="G230" s="109">
        <f>'DATOS GENERALES'!G149:H149+($G$8)</f>
        <v>-0.05</v>
      </c>
      <c r="H230" s="110"/>
      <c r="I230" s="111">
        <f>'DATOS GENERALES'!I149:J149+($G$6)</f>
        <v>-5.3</v>
      </c>
      <c r="J230" s="112"/>
      <c r="K230" s="113">
        <f>'DATOS GENERALES'!K149:L149+$G$7</f>
        <v>-1</v>
      </c>
      <c r="L230" s="112"/>
    </row>
    <row r="231" spans="1:12" x14ac:dyDescent="0.2">
      <c r="A231" s="105">
        <f>'DATOS GENERALES'!A150:B150+$G$3</f>
        <v>2.0000000000000002E-5</v>
      </c>
      <c r="B231" s="106"/>
      <c r="C231" s="105">
        <f>'DATOS GENERALES'!C150:D150+$G$3</f>
        <v>2.0000000000000002E-5</v>
      </c>
      <c r="D231" s="106"/>
      <c r="E231" s="107">
        <f>'DATOS GENERALES'!E150:F150+$G$5</f>
        <v>-0.16400000000000001</v>
      </c>
      <c r="F231" s="108"/>
      <c r="G231" s="109">
        <f>'DATOS GENERALES'!G150:H150+($G$8)</f>
        <v>-0.05</v>
      </c>
      <c r="H231" s="110"/>
      <c r="I231" s="111">
        <f>'DATOS GENERALES'!I150:J150+($G$6)</f>
        <v>-5.3</v>
      </c>
      <c r="J231" s="112"/>
      <c r="K231" s="113">
        <f>'DATOS GENERALES'!K150:L150+$G$7</f>
        <v>-1</v>
      </c>
      <c r="L231" s="112"/>
    </row>
    <row r="232" spans="1:12" x14ac:dyDescent="0.2">
      <c r="A232" s="105">
        <f>'DATOS GENERALES'!A151:B151+$G$3</f>
        <v>2.0000000000000002E-5</v>
      </c>
      <c r="B232" s="106"/>
      <c r="C232" s="105">
        <f>'DATOS GENERALES'!C151:D151+$G$3</f>
        <v>2.0000000000000002E-5</v>
      </c>
      <c r="D232" s="106"/>
      <c r="E232" s="107">
        <f>'DATOS GENERALES'!E151:F151+$G$5</f>
        <v>-0.16400000000000001</v>
      </c>
      <c r="F232" s="108"/>
      <c r="G232" s="109">
        <f>'DATOS GENERALES'!G151:H151+($G$8)</f>
        <v>-0.05</v>
      </c>
      <c r="H232" s="110"/>
      <c r="I232" s="111">
        <f>'DATOS GENERALES'!I151:J151+($G$6)</f>
        <v>-5.3</v>
      </c>
      <c r="J232" s="112"/>
      <c r="K232" s="113">
        <f>'DATOS GENERALES'!K151:L151+$G$7</f>
        <v>-1</v>
      </c>
      <c r="L232" s="112"/>
    </row>
    <row r="233" spans="1:12" x14ac:dyDescent="0.2">
      <c r="A233" s="105">
        <f>'DATOS GENERALES'!A152:B152+$G$3</f>
        <v>2.0000000000000002E-5</v>
      </c>
      <c r="B233" s="106"/>
      <c r="C233" s="105">
        <f>'DATOS GENERALES'!C152:D152+$G$3</f>
        <v>2.0000000000000002E-5</v>
      </c>
      <c r="D233" s="106"/>
      <c r="E233" s="107">
        <f>'DATOS GENERALES'!E152:F152+$G$5</f>
        <v>-0.16400000000000001</v>
      </c>
      <c r="F233" s="108"/>
      <c r="G233" s="109">
        <f>'DATOS GENERALES'!G152:H152+($G$8)</f>
        <v>-0.05</v>
      </c>
      <c r="H233" s="110"/>
      <c r="I233" s="111">
        <f>'DATOS GENERALES'!I152:J152+($G$6)</f>
        <v>-5.3</v>
      </c>
      <c r="J233" s="112"/>
      <c r="K233" s="113">
        <f>'DATOS GENERALES'!K152:L152+$G$7</f>
        <v>-1</v>
      </c>
      <c r="L233" s="112"/>
    </row>
    <row r="234" spans="1:12" x14ac:dyDescent="0.2">
      <c r="A234" s="105">
        <f>'DATOS GENERALES'!A153:B153+$G$3</f>
        <v>2.0000000000000002E-5</v>
      </c>
      <c r="B234" s="106"/>
      <c r="C234" s="105">
        <f>'DATOS GENERALES'!C153:D153+$G$3</f>
        <v>2.0000000000000002E-5</v>
      </c>
      <c r="D234" s="106"/>
      <c r="E234" s="107">
        <f>'DATOS GENERALES'!E153:F153+$G$5</f>
        <v>-0.16400000000000001</v>
      </c>
      <c r="F234" s="108"/>
      <c r="G234" s="109">
        <f>'DATOS GENERALES'!G153:H153+($G$8)</f>
        <v>-0.05</v>
      </c>
      <c r="H234" s="110"/>
      <c r="I234" s="111">
        <f>'DATOS GENERALES'!I153:J153+($G$6)</f>
        <v>-5.3</v>
      </c>
      <c r="J234" s="112"/>
      <c r="K234" s="113">
        <f>'DATOS GENERALES'!K153:L153+$G$7</f>
        <v>-1</v>
      </c>
      <c r="L234" s="112"/>
    </row>
    <row r="235" spans="1:12" x14ac:dyDescent="0.2">
      <c r="A235" s="105">
        <f>'DATOS GENERALES'!A154:B154+$G$3</f>
        <v>2.0000000000000002E-5</v>
      </c>
      <c r="B235" s="106"/>
      <c r="C235" s="105">
        <f>'DATOS GENERALES'!C154:D154+$G$3</f>
        <v>2.0000000000000002E-5</v>
      </c>
      <c r="D235" s="106"/>
      <c r="E235" s="107">
        <f>'DATOS GENERALES'!E154:F154+$G$5</f>
        <v>-0.16400000000000001</v>
      </c>
      <c r="F235" s="108"/>
      <c r="G235" s="109">
        <f>'DATOS GENERALES'!G154:H154+($G$8)</f>
        <v>-0.05</v>
      </c>
      <c r="H235" s="110"/>
      <c r="I235" s="111">
        <f>'DATOS GENERALES'!I154:J154+($G$6)</f>
        <v>-5.3</v>
      </c>
      <c r="J235" s="112"/>
      <c r="K235" s="113">
        <f>'DATOS GENERALES'!K154:L154+$G$7</f>
        <v>-1</v>
      </c>
      <c r="L235" s="112"/>
    </row>
    <row r="236" spans="1:12" x14ac:dyDescent="0.2">
      <c r="A236" s="105">
        <f>'DATOS GENERALES'!A155:B155+$G$3</f>
        <v>2.0000000000000002E-5</v>
      </c>
      <c r="B236" s="106"/>
      <c r="C236" s="105">
        <f>'DATOS GENERALES'!C155:D155+$G$3</f>
        <v>2.0000000000000002E-5</v>
      </c>
      <c r="D236" s="106"/>
      <c r="E236" s="107">
        <f>'DATOS GENERALES'!E155:F155+$G$5</f>
        <v>-0.16400000000000001</v>
      </c>
      <c r="F236" s="108"/>
      <c r="G236" s="109">
        <f>'DATOS GENERALES'!G155:H155+($G$8)</f>
        <v>-0.05</v>
      </c>
      <c r="H236" s="110"/>
      <c r="I236" s="111">
        <f>'DATOS GENERALES'!I155:J155+($G$6)</f>
        <v>-5.3</v>
      </c>
      <c r="J236" s="112"/>
      <c r="K236" s="113">
        <f>'DATOS GENERALES'!K155:L155+$G$7</f>
        <v>-1</v>
      </c>
      <c r="L236" s="112"/>
    </row>
    <row r="237" spans="1:12" x14ac:dyDescent="0.2">
      <c r="A237" s="105">
        <f>'DATOS GENERALES'!A156:B156+$G$3</f>
        <v>2.0000000000000002E-5</v>
      </c>
      <c r="B237" s="106"/>
      <c r="C237" s="105">
        <f>'DATOS GENERALES'!C156:D156+$G$3</f>
        <v>2.0000000000000002E-5</v>
      </c>
      <c r="D237" s="106"/>
      <c r="E237" s="107">
        <f>'DATOS GENERALES'!E156:F156+$G$5</f>
        <v>-0.16400000000000001</v>
      </c>
      <c r="F237" s="108"/>
      <c r="G237" s="109">
        <f>'DATOS GENERALES'!G156:H156+($G$8)</f>
        <v>-0.05</v>
      </c>
      <c r="H237" s="110"/>
      <c r="I237" s="111">
        <f>'DATOS GENERALES'!I156:J156+($G$6)</f>
        <v>-5.3</v>
      </c>
      <c r="J237" s="112"/>
      <c r="K237" s="113">
        <f>'DATOS GENERALES'!K156:L156+$G$7</f>
        <v>-1</v>
      </c>
      <c r="L237" s="112"/>
    </row>
    <row r="238" spans="1:12" x14ac:dyDescent="0.2">
      <c r="A238" s="105">
        <f>'DATOS GENERALES'!A157:B157+$G$3</f>
        <v>2.0000000000000002E-5</v>
      </c>
      <c r="B238" s="106"/>
      <c r="C238" s="105">
        <f>'DATOS GENERALES'!C157:D157+$G$3</f>
        <v>2.0000000000000002E-5</v>
      </c>
      <c r="D238" s="106"/>
      <c r="E238" s="107">
        <f>'DATOS GENERALES'!E157:F157+$G$5</f>
        <v>-0.16400000000000001</v>
      </c>
      <c r="F238" s="108"/>
      <c r="G238" s="109">
        <f>'DATOS GENERALES'!G157:H157+($G$8)</f>
        <v>-0.05</v>
      </c>
      <c r="H238" s="110"/>
      <c r="I238" s="111">
        <f>'DATOS GENERALES'!I157:J157+($G$6)</f>
        <v>-5.3</v>
      </c>
      <c r="J238" s="112"/>
      <c r="K238" s="113">
        <f>'DATOS GENERALES'!K157:L157+$G$7</f>
        <v>-1</v>
      </c>
      <c r="L238" s="112"/>
    </row>
    <row r="239" spans="1:12" x14ac:dyDescent="0.2">
      <c r="A239" s="105">
        <f>'DATOS GENERALES'!A158:B158+$G$3</f>
        <v>2.0000000000000002E-5</v>
      </c>
      <c r="B239" s="106"/>
      <c r="C239" s="105">
        <f>'DATOS GENERALES'!C158:D158+$G$3</f>
        <v>2.0000000000000002E-5</v>
      </c>
      <c r="D239" s="106"/>
      <c r="E239" s="107">
        <f>'DATOS GENERALES'!E158:F158+$G$5</f>
        <v>-0.16400000000000001</v>
      </c>
      <c r="F239" s="108"/>
      <c r="G239" s="109">
        <f>'DATOS GENERALES'!G158:H158+($G$8)</f>
        <v>-0.05</v>
      </c>
      <c r="H239" s="110"/>
      <c r="I239" s="111">
        <f>'DATOS GENERALES'!I158:J158+($G$6)</f>
        <v>-5.3</v>
      </c>
      <c r="J239" s="112"/>
      <c r="K239" s="113">
        <f>'DATOS GENERALES'!K158:L158+$G$7</f>
        <v>-1</v>
      </c>
      <c r="L239" s="112"/>
    </row>
  </sheetData>
  <sheetProtection password="CE28" sheet="1" objects="1" scenarios="1"/>
  <mergeCells count="57">
    <mergeCell ref="BF11:BI11"/>
    <mergeCell ref="K67:L67"/>
    <mergeCell ref="A85:B85"/>
    <mergeCell ref="C85:D85"/>
    <mergeCell ref="E85:F85"/>
    <mergeCell ref="G85:H85"/>
    <mergeCell ref="I85:J85"/>
    <mergeCell ref="K85:L85"/>
    <mergeCell ref="A67:B67"/>
    <mergeCell ref="C67:D67"/>
    <mergeCell ref="E67:F67"/>
    <mergeCell ref="G67:H67"/>
    <mergeCell ref="I67:J67"/>
    <mergeCell ref="K31:L31"/>
    <mergeCell ref="A49:B49"/>
    <mergeCell ref="C49:D49"/>
    <mergeCell ref="E49:F49"/>
    <mergeCell ref="G49:H49"/>
    <mergeCell ref="I49:J49"/>
    <mergeCell ref="K49:L49"/>
    <mergeCell ref="A31:B31"/>
    <mergeCell ref="C31:D31"/>
    <mergeCell ref="E31:F31"/>
    <mergeCell ref="G31:H31"/>
    <mergeCell ref="I31:J31"/>
    <mergeCell ref="K13:L13"/>
    <mergeCell ref="A13:B13"/>
    <mergeCell ref="C13:D13"/>
    <mergeCell ref="E13:F13"/>
    <mergeCell ref="G13:H13"/>
    <mergeCell ref="I13:J13"/>
    <mergeCell ref="A1:N1"/>
    <mergeCell ref="A2:B2"/>
    <mergeCell ref="G2:H2"/>
    <mergeCell ref="J2:K2"/>
    <mergeCell ref="M2:N2"/>
    <mergeCell ref="A3:B3"/>
    <mergeCell ref="J3:K3"/>
    <mergeCell ref="M3:N3"/>
    <mergeCell ref="A4:B4"/>
    <mergeCell ref="J4:K4"/>
    <mergeCell ref="M4:N4"/>
    <mergeCell ref="A9:B9"/>
    <mergeCell ref="J9:K9"/>
    <mergeCell ref="M9:N9"/>
    <mergeCell ref="A5:B5"/>
    <mergeCell ref="J5:K5"/>
    <mergeCell ref="M5:N5"/>
    <mergeCell ref="M8:N8"/>
    <mergeCell ref="A6:B6"/>
    <mergeCell ref="J6:K6"/>
    <mergeCell ref="M6:N6"/>
    <mergeCell ref="A7:B7"/>
    <mergeCell ref="J7:K7"/>
    <mergeCell ref="M7:N7"/>
    <mergeCell ref="A8:B8"/>
    <mergeCell ref="J8:K8"/>
  </mergeCells>
  <dataValidations disablePrompts="1" count="1">
    <dataValidation type="list" allowBlank="1" showInputMessage="1" showErrorMessage="1" sqref="BG10" xr:uid="{00000000-0002-0000-0500-000000000000}">
      <formula1>$A$11:$A$18</formula1>
    </dataValidation>
  </dataValidations>
  <printOptions horizontalCentered="1"/>
  <pageMargins left="0.23622047244094491" right="0.23622047244094491" top="0.74803149606299213" bottom="0.74803149606299213" header="0.31496062992125984" footer="0.31496062992125984"/>
  <pageSetup scale="6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K20"/>
  <sheetViews>
    <sheetView topLeftCell="A13" zoomScale="145" zoomScaleNormal="145" workbookViewId="0">
      <selection activeCell="C14" sqref="C14"/>
    </sheetView>
  </sheetViews>
  <sheetFormatPr baseColWidth="10" defaultRowHeight="12.75" x14ac:dyDescent="0.2"/>
  <cols>
    <col min="2" max="2" width="15.7109375" customWidth="1"/>
    <col min="3" max="3" width="18" bestFit="1" customWidth="1"/>
    <col min="4" max="4" width="14.85546875" customWidth="1"/>
    <col min="5" max="5" width="29.28515625" customWidth="1"/>
    <col min="6" max="6" width="15.7109375" customWidth="1"/>
    <col min="7" max="7" width="15" customWidth="1"/>
    <col min="8" max="8" width="17.85546875" customWidth="1"/>
    <col min="9" max="9" width="12" bestFit="1" customWidth="1"/>
    <col min="10" max="11" width="24.5703125" bestFit="1" customWidth="1"/>
  </cols>
  <sheetData>
    <row r="1" spans="2:11" ht="27.75" customHeight="1" x14ac:dyDescent="0.2"/>
    <row r="2" spans="2:11" ht="19.5" customHeight="1" x14ac:dyDescent="0.2"/>
    <row r="3" spans="2:11" ht="19.5" customHeight="1" x14ac:dyDescent="0.2"/>
    <row r="4" spans="2:11" ht="19.5" customHeight="1" x14ac:dyDescent="0.2"/>
    <row r="5" spans="2:11" ht="19.5" customHeight="1" x14ac:dyDescent="0.2"/>
    <row r="6" spans="2:11" ht="19.5" customHeight="1" x14ac:dyDescent="0.2"/>
    <row r="7" spans="2:11" ht="19.5" customHeight="1" x14ac:dyDescent="0.2"/>
    <row r="8" spans="2:11" ht="19.5" customHeight="1" x14ac:dyDescent="0.2">
      <c r="J8" t="s">
        <v>79</v>
      </c>
      <c r="K8" t="s">
        <v>80</v>
      </c>
    </row>
    <row r="9" spans="2:11" ht="19.5" customHeight="1" x14ac:dyDescent="0.2">
      <c r="J9">
        <v>19.5</v>
      </c>
      <c r="K9">
        <v>19.5</v>
      </c>
    </row>
    <row r="10" spans="2:11" ht="19.5" customHeight="1" x14ac:dyDescent="0.2"/>
    <row r="11" spans="2:11" ht="19.5" customHeight="1" x14ac:dyDescent="0.2"/>
    <row r="12" spans="2:11" ht="19.5" customHeight="1" thickBot="1" x14ac:dyDescent="0.25">
      <c r="J12" t="s">
        <v>81</v>
      </c>
      <c r="K12" t="s">
        <v>82</v>
      </c>
    </row>
    <row r="13" spans="2:11" ht="25.5" x14ac:dyDescent="0.2">
      <c r="B13" s="83"/>
      <c r="C13" s="84" t="s">
        <v>83</v>
      </c>
      <c r="D13" s="85" t="s">
        <v>115</v>
      </c>
      <c r="E13" s="86" t="s">
        <v>84</v>
      </c>
      <c r="F13" s="87" t="s">
        <v>161</v>
      </c>
      <c r="G13" s="85" t="s">
        <v>115</v>
      </c>
      <c r="J13">
        <v>50</v>
      </c>
      <c r="K13">
        <v>50</v>
      </c>
    </row>
    <row r="14" spans="2:11" ht="15" x14ac:dyDescent="0.25">
      <c r="B14" s="48" t="s">
        <v>163</v>
      </c>
      <c r="C14" s="93">
        <v>0.34847857999999998</v>
      </c>
      <c r="D14" s="89" t="s">
        <v>164</v>
      </c>
      <c r="E14" s="24" t="s">
        <v>162</v>
      </c>
      <c r="F14" s="95">
        <f>AVERAGE(J9,K9)</f>
        <v>19.5</v>
      </c>
      <c r="G14" s="26" t="s">
        <v>111</v>
      </c>
      <c r="H14">
        <f>C14*F16</f>
        <v>281.22221406</v>
      </c>
    </row>
    <row r="15" spans="2:11" ht="15" x14ac:dyDescent="0.25">
      <c r="B15" s="48" t="s">
        <v>85</v>
      </c>
      <c r="C15" s="92">
        <v>9.1748000000000003E-3</v>
      </c>
      <c r="D15" s="89" t="s">
        <v>165</v>
      </c>
      <c r="E15" s="88" t="s">
        <v>87</v>
      </c>
      <c r="F15" s="25">
        <f>AVERAGE(J13:K13)</f>
        <v>50</v>
      </c>
      <c r="G15" s="28" t="s">
        <v>112</v>
      </c>
      <c r="H15">
        <f>C15*F15</f>
        <v>0.45874000000000004</v>
      </c>
    </row>
    <row r="16" spans="2:11" ht="15" x14ac:dyDescent="0.25">
      <c r="B16" s="48" t="s">
        <v>86</v>
      </c>
      <c r="C16" s="92">
        <v>6.2491999999999999E-2</v>
      </c>
      <c r="D16" s="89" t="s">
        <v>166</v>
      </c>
      <c r="E16" s="24" t="s">
        <v>89</v>
      </c>
      <c r="F16" s="25">
        <f>AVERAGE(J17:K17)</f>
        <v>807</v>
      </c>
      <c r="G16" s="28" t="s">
        <v>61</v>
      </c>
      <c r="H16">
        <f>EXP((C16*F14)+(C17*F16))</f>
        <v>3.2426402826360494</v>
      </c>
      <c r="J16" s="29" t="s">
        <v>90</v>
      </c>
      <c r="K16" s="29" t="s">
        <v>91</v>
      </c>
    </row>
    <row r="17" spans="2:11" ht="15" x14ac:dyDescent="0.25">
      <c r="B17" s="48" t="s">
        <v>88</v>
      </c>
      <c r="C17" s="93">
        <v>-5.2299999999999997E-5</v>
      </c>
      <c r="D17" s="89" t="s">
        <v>167</v>
      </c>
      <c r="E17" s="27"/>
      <c r="F17" s="27"/>
      <c r="G17" s="28"/>
      <c r="H17" s="57">
        <f>C19+F14</f>
        <v>292.64999999999998</v>
      </c>
      <c r="I17" s="51"/>
      <c r="J17">
        <v>807</v>
      </c>
      <c r="K17">
        <v>807</v>
      </c>
    </row>
    <row r="18" spans="2:11" x14ac:dyDescent="0.2">
      <c r="B18" s="48" t="s">
        <v>169</v>
      </c>
      <c r="C18" s="27">
        <v>0</v>
      </c>
      <c r="D18" s="90" t="s">
        <v>168</v>
      </c>
      <c r="E18" s="30"/>
      <c r="F18" s="27"/>
      <c r="G18" s="28"/>
      <c r="H18">
        <f>((H14-H15)*H16)/H17/1000</f>
        <v>3.1109343956254834E-3</v>
      </c>
    </row>
    <row r="19" spans="2:11" ht="32.25" thickBot="1" x14ac:dyDescent="0.55000000000000004">
      <c r="B19" s="31"/>
      <c r="C19" s="32">
        <v>273.14999999999998</v>
      </c>
      <c r="D19" s="91" t="s">
        <v>170</v>
      </c>
      <c r="E19" s="94">
        <f>((C14*F16-(C16*F15*EXP((C16*F14)+(C17*F16))))/(C19+F14))/1000</f>
        <v>9.2632926783828935E-4</v>
      </c>
      <c r="F19" s="35" t="s">
        <v>171</v>
      </c>
      <c r="G19" s="27"/>
      <c r="I19" s="39">
        <v>1.2</v>
      </c>
      <c r="J19" s="36" t="s">
        <v>93</v>
      </c>
    </row>
    <row r="20" spans="2:11" ht="15.75" thickBot="1" x14ac:dyDescent="0.3">
      <c r="E20" s="36"/>
      <c r="F20" s="35"/>
    </row>
  </sheetData>
  <sheetProtection algorithmName="SHA-512" hashValue="fckjj1iSJnzBvGCqMgaR6yn4QWAJJhFXKSt0+6uvFKFHRmyuXozGSSfEa3bfbWKBooQGtJJ5uiQNf1Uv4bhpmA==" saltValue="nHNuTPwg0KazfJIjfE+nAQ==" spinCount="100000" sheet="1" objects="1" scenarios="1"/>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69"/>
  <sheetViews>
    <sheetView zoomScale="85" zoomScaleNormal="85" workbookViewId="0">
      <selection activeCell="H28" sqref="H28"/>
    </sheetView>
  </sheetViews>
  <sheetFormatPr baseColWidth="10" defaultRowHeight="12.75" x14ac:dyDescent="0.2"/>
  <cols>
    <col min="5" max="5" width="24.85546875" customWidth="1"/>
    <col min="6" max="6" width="16.28515625" customWidth="1"/>
    <col min="9" max="9" width="12" bestFit="1" customWidth="1"/>
    <col min="10" max="10" width="16" customWidth="1"/>
    <col min="11" max="11" width="14.42578125" customWidth="1"/>
  </cols>
  <sheetData>
    <row r="1" spans="1:11" ht="31.5" customHeight="1" x14ac:dyDescent="0.2"/>
    <row r="2" spans="1:11" ht="31.5" customHeight="1" x14ac:dyDescent="0.2"/>
    <row r="3" spans="1:11" ht="31.5" customHeight="1" x14ac:dyDescent="0.2"/>
    <row r="4" spans="1:11" ht="31.5" customHeight="1" x14ac:dyDescent="0.2"/>
    <row r="5" spans="1:11" ht="31.5" customHeight="1" x14ac:dyDescent="0.2"/>
    <row r="6" spans="1:11" ht="31.5" customHeight="1" x14ac:dyDescent="0.2"/>
    <row r="7" spans="1:11" ht="31.5" customHeight="1" x14ac:dyDescent="0.2"/>
    <row r="8" spans="1:11" ht="31.5" customHeight="1" x14ac:dyDescent="0.2"/>
    <row r="9" spans="1:11" ht="31.5" customHeight="1" x14ac:dyDescent="0.2"/>
    <row r="10" spans="1:11" ht="31.5" customHeight="1" thickBot="1" x14ac:dyDescent="0.25"/>
    <row r="11" spans="1:11" ht="31.5" customHeight="1" thickBot="1" x14ac:dyDescent="0.25">
      <c r="J11" s="81" t="s">
        <v>146</v>
      </c>
      <c r="K11" s="82" t="s">
        <v>147</v>
      </c>
    </row>
    <row r="12" spans="1:11" ht="15" customHeight="1" thickBot="1" x14ac:dyDescent="0.25">
      <c r="J12" s="79">
        <v>18</v>
      </c>
      <c r="K12" s="80">
        <f>998.598361377319/1000</f>
        <v>0.99859836137731894</v>
      </c>
    </row>
    <row r="13" spans="1:11" ht="15" x14ac:dyDescent="0.25">
      <c r="A13" s="1647" t="s">
        <v>83</v>
      </c>
      <c r="B13" s="1648"/>
      <c r="C13" s="1649"/>
      <c r="D13" s="61" t="s">
        <v>115</v>
      </c>
      <c r="E13" s="62" t="s">
        <v>84</v>
      </c>
      <c r="F13" s="63"/>
      <c r="G13" s="61" t="s">
        <v>115</v>
      </c>
      <c r="J13" s="76">
        <v>18.100000000000001</v>
      </c>
      <c r="K13" s="77">
        <f>998.57981014742/1000</f>
        <v>0.99857981014741992</v>
      </c>
    </row>
    <row r="14" spans="1:11" ht="15" x14ac:dyDescent="0.25">
      <c r="A14" s="64" t="s">
        <v>85</v>
      </c>
      <c r="B14" s="1641">
        <v>-3.9830350000000001</v>
      </c>
      <c r="C14" s="1642"/>
      <c r="D14" s="67" t="s">
        <v>111</v>
      </c>
      <c r="E14" s="24" t="s">
        <v>118</v>
      </c>
      <c r="F14" s="25">
        <v>20</v>
      </c>
      <c r="G14" s="71" t="s">
        <v>111</v>
      </c>
      <c r="J14" s="76">
        <v>18.2</v>
      </c>
      <c r="K14" s="77">
        <f>998.561149101418/1000</f>
        <v>0.99856114910141802</v>
      </c>
    </row>
    <row r="15" spans="1:11" x14ac:dyDescent="0.2">
      <c r="A15" s="64" t="s">
        <v>86</v>
      </c>
      <c r="B15" s="1641">
        <v>301.79700000000003</v>
      </c>
      <c r="C15" s="1642"/>
      <c r="D15" s="67" t="s">
        <v>111</v>
      </c>
      <c r="E15" s="27"/>
      <c r="F15" s="25"/>
      <c r="G15" s="72"/>
      <c r="J15" s="76">
        <v>18.3</v>
      </c>
      <c r="K15" s="77">
        <f>998.542378484184/1000</f>
        <v>0.99854237848418403</v>
      </c>
    </row>
    <row r="16" spans="1:11" ht="15" x14ac:dyDescent="0.25">
      <c r="A16" s="64" t="s">
        <v>88</v>
      </c>
      <c r="B16" s="1641">
        <v>522528.9</v>
      </c>
      <c r="C16" s="1642"/>
      <c r="D16" s="67" t="s">
        <v>116</v>
      </c>
      <c r="E16" s="24"/>
      <c r="F16" s="25"/>
      <c r="G16" s="72"/>
      <c r="I16" s="50"/>
      <c r="J16" s="76">
        <v>18.399999999999999</v>
      </c>
      <c r="K16" s="77">
        <f>998.52349853947/1000</f>
        <v>0.99852349853946998</v>
      </c>
    </row>
    <row r="17" spans="1:11" x14ac:dyDescent="0.2">
      <c r="A17" s="64" t="s">
        <v>92</v>
      </c>
      <c r="B17" s="1641">
        <v>69.34881</v>
      </c>
      <c r="C17" s="1642"/>
      <c r="D17" s="67" t="s">
        <v>111</v>
      </c>
      <c r="E17" s="27"/>
      <c r="F17" s="27"/>
      <c r="G17" s="72"/>
      <c r="I17" s="51"/>
      <c r="J17" s="76">
        <v>18.5</v>
      </c>
      <c r="K17" s="77">
        <f>998.50450950992/1000</f>
        <v>0.99850450950991998</v>
      </c>
    </row>
    <row r="18" spans="1:11" x14ac:dyDescent="0.2">
      <c r="A18" s="64" t="s">
        <v>114</v>
      </c>
      <c r="B18" s="1641">
        <v>999.97495000000004</v>
      </c>
      <c r="C18" s="1642"/>
      <c r="D18" s="68" t="s">
        <v>117</v>
      </c>
      <c r="E18" s="30"/>
      <c r="F18" s="27"/>
      <c r="G18" s="72"/>
      <c r="J18" s="76">
        <v>18.600000000000001</v>
      </c>
      <c r="K18" s="77">
        <f>998.485411637072/1000</f>
        <v>0.99848541163707205</v>
      </c>
    </row>
    <row r="19" spans="1:11" ht="15.75" x14ac:dyDescent="0.3">
      <c r="A19" s="65" t="s">
        <v>144</v>
      </c>
      <c r="B19" s="1645">
        <v>0</v>
      </c>
      <c r="C19" s="1645"/>
      <c r="D19" s="69" t="s">
        <v>145</v>
      </c>
      <c r="E19" s="30"/>
      <c r="F19" s="46"/>
      <c r="G19" s="73"/>
      <c r="I19" s="52"/>
      <c r="J19" s="76">
        <v>18.7</v>
      </c>
      <c r="K19" s="77">
        <f>998.46620516137/1000</f>
        <v>0.99846620516136997</v>
      </c>
    </row>
    <row r="20" spans="1:11" x14ac:dyDescent="0.2">
      <c r="A20" s="66"/>
      <c r="B20" s="1646"/>
      <c r="C20" s="1646"/>
      <c r="D20" s="70"/>
      <c r="E20" s="30"/>
      <c r="F20" s="46"/>
      <c r="G20" s="73"/>
      <c r="J20" s="76">
        <v>18.8</v>
      </c>
      <c r="K20" s="77">
        <f>998.446890322164/1000</f>
        <v>0.99844689032216405</v>
      </c>
    </row>
    <row r="21" spans="1:11" ht="32.25" thickBot="1" x14ac:dyDescent="0.55000000000000004">
      <c r="A21" s="59"/>
      <c r="B21" s="59"/>
      <c r="C21" s="59"/>
      <c r="D21" s="60"/>
      <c r="E21" s="75">
        <f>(B18*(1-(F14+B14)^2*(F14+B15)/(B16*(F14+B17)))+(B19))</f>
        <v>998.20674555961671</v>
      </c>
      <c r="F21" s="35" t="s">
        <v>93</v>
      </c>
      <c r="G21" s="74"/>
      <c r="I21" s="39"/>
      <c r="J21" s="76">
        <v>18.899999999999999</v>
      </c>
      <c r="K21" s="77">
        <f>998.427467357721/1000</f>
        <v>0.99842746735772092</v>
      </c>
    </row>
    <row r="22" spans="1:11" ht="15" x14ac:dyDescent="0.25">
      <c r="E22" s="96">
        <f>E21/1000</f>
        <v>0.99820674555961675</v>
      </c>
      <c r="F22" s="97" t="s">
        <v>69</v>
      </c>
      <c r="J22" s="76">
        <v>19</v>
      </c>
      <c r="K22" s="77">
        <f>998.407936505228/1000</f>
        <v>0.99840793650522797</v>
      </c>
    </row>
    <row r="23" spans="1:11" ht="15" x14ac:dyDescent="0.25">
      <c r="E23" s="36"/>
      <c r="F23" s="58"/>
      <c r="J23" s="76">
        <v>19.100000000000001</v>
      </c>
      <c r="K23" s="77">
        <f>998.388298000801/1000</f>
        <v>0.99838829800080098</v>
      </c>
    </row>
    <row r="24" spans="1:11" ht="15" x14ac:dyDescent="0.25">
      <c r="E24" s="36"/>
      <c r="F24" s="58"/>
      <c r="J24" s="76">
        <v>19.2</v>
      </c>
      <c r="K24" s="77">
        <f>998.368552079487/1000</f>
        <v>0.99836855207948705</v>
      </c>
    </row>
    <row r="25" spans="1:11" ht="15" x14ac:dyDescent="0.25">
      <c r="E25" s="36"/>
      <c r="F25" s="58"/>
      <c r="J25" s="76">
        <v>19.3</v>
      </c>
      <c r="K25" s="77">
        <f>998.348698975275/1000</f>
        <v>0.99834869897527501</v>
      </c>
    </row>
    <row r="26" spans="1:11" ht="15" x14ac:dyDescent="0.25">
      <c r="E26" s="36"/>
      <c r="F26" s="58"/>
      <c r="J26" s="76">
        <v>19.399999999999999</v>
      </c>
      <c r="K26" s="77">
        <f>998.328738921097/1000</f>
        <v>0.99832873892109708</v>
      </c>
    </row>
    <row r="27" spans="1:11" ht="15" x14ac:dyDescent="0.25">
      <c r="E27" s="36"/>
      <c r="F27" s="58"/>
      <c r="J27" s="76">
        <v>19.5</v>
      </c>
      <c r="K27" s="77">
        <f>998.308672148838/1000</f>
        <v>0.99830867214883801</v>
      </c>
    </row>
    <row r="28" spans="1:11" ht="15" x14ac:dyDescent="0.25">
      <c r="E28" s="36"/>
      <c r="F28" s="58"/>
      <c r="J28" s="76">
        <v>19.600000000000001</v>
      </c>
      <c r="K28" s="77">
        <f>998.28849888934/1000</f>
        <v>0.99828849888934001</v>
      </c>
    </row>
    <row r="29" spans="1:11" ht="15" x14ac:dyDescent="0.25">
      <c r="E29" s="36"/>
      <c r="F29" s="58"/>
      <c r="J29" s="76">
        <v>19.7</v>
      </c>
      <c r="K29" s="77">
        <f>998.268219372407/1000</f>
        <v>0.99826821937240695</v>
      </c>
    </row>
    <row r="30" spans="1:11" ht="15" x14ac:dyDescent="0.25">
      <c r="E30" s="36"/>
      <c r="F30" s="58"/>
      <c r="J30" s="76">
        <v>19.8</v>
      </c>
      <c r="K30" s="77">
        <f>998.247833826813/1000</f>
        <v>0.99824783382681304</v>
      </c>
    </row>
    <row r="31" spans="1:11" ht="15" x14ac:dyDescent="0.25">
      <c r="E31" s="36"/>
      <c r="F31" s="58"/>
      <c r="J31" s="76">
        <v>19.899999999999999</v>
      </c>
      <c r="K31" s="77">
        <f>998.227342480307/1000</f>
        <v>0.99822734248030698</v>
      </c>
    </row>
    <row r="32" spans="1:11" ht="15" x14ac:dyDescent="0.25">
      <c r="E32" s="36"/>
      <c r="F32" s="58"/>
      <c r="J32" s="76">
        <v>20</v>
      </c>
      <c r="K32" s="77">
        <f>998.206745559617/1000</f>
        <v>0.99820674555961708</v>
      </c>
    </row>
    <row r="33" spans="5:11" ht="15" x14ac:dyDescent="0.25">
      <c r="E33" s="36"/>
      <c r="F33" s="58"/>
      <c r="J33" s="76">
        <v>20.100000000000001</v>
      </c>
      <c r="K33" s="77">
        <f>998.186043290458/1000</f>
        <v>0.99818604329045801</v>
      </c>
    </row>
    <row r="34" spans="5:11" ht="15" x14ac:dyDescent="0.25">
      <c r="E34" s="36"/>
      <c r="F34" s="58"/>
      <c r="J34" s="76">
        <v>20.2</v>
      </c>
      <c r="K34" s="77">
        <f>998.165235897536/1000</f>
        <v>0.99816523589753603</v>
      </c>
    </row>
    <row r="35" spans="5:11" ht="15" x14ac:dyDescent="0.25">
      <c r="E35" s="36"/>
      <c r="F35" s="58"/>
      <c r="J35" s="76">
        <v>20.3</v>
      </c>
      <c r="K35" s="77">
        <f>998.144323604556/1000</f>
        <v>0.99814432360455596</v>
      </c>
    </row>
    <row r="36" spans="5:11" ht="15" x14ac:dyDescent="0.25">
      <c r="E36" s="36"/>
      <c r="F36" s="58"/>
      <c r="J36" s="76">
        <v>20.399999999999999</v>
      </c>
      <c r="K36" s="77">
        <f>998.123306634225/1000</f>
        <v>0.99812330663422499</v>
      </c>
    </row>
    <row r="37" spans="5:11" ht="15" x14ac:dyDescent="0.25">
      <c r="E37" s="36"/>
      <c r="F37" s="58"/>
      <c r="J37" s="76">
        <v>20.5</v>
      </c>
      <c r="K37" s="77">
        <f>998.102185208258/1000</f>
        <v>0.998102185208258</v>
      </c>
    </row>
    <row r="38" spans="5:11" ht="15" x14ac:dyDescent="0.25">
      <c r="E38" s="36"/>
      <c r="F38" s="58"/>
      <c r="J38" s="76">
        <v>20.6</v>
      </c>
      <c r="K38" s="77">
        <f>998.080959547384/1000</f>
        <v>0.99808095954738407</v>
      </c>
    </row>
    <row r="39" spans="5:11" ht="15" x14ac:dyDescent="0.25">
      <c r="E39" s="36"/>
      <c r="F39" s="58"/>
      <c r="J39" s="76">
        <v>20.7</v>
      </c>
      <c r="K39" s="77">
        <f>998.059629871353/1000</f>
        <v>0.99805962987135299</v>
      </c>
    </row>
    <row r="40" spans="5:11" ht="15" x14ac:dyDescent="0.25">
      <c r="E40" s="36"/>
      <c r="F40" s="58"/>
      <c r="J40" s="76">
        <v>20.8</v>
      </c>
      <c r="K40" s="77">
        <f>998.038196398939/1000</f>
        <v>0.99803819639893898</v>
      </c>
    </row>
    <row r="41" spans="5:11" ht="15" x14ac:dyDescent="0.25">
      <c r="E41" s="36"/>
      <c r="F41" s="58"/>
      <c r="J41" s="76">
        <v>20.9</v>
      </c>
      <c r="K41" s="77">
        <f>998.016659347946/1000</f>
        <v>0.99801665934794592</v>
      </c>
    </row>
    <row r="42" spans="5:11" ht="15" x14ac:dyDescent="0.25">
      <c r="E42" s="36"/>
      <c r="F42" s="58"/>
      <c r="J42" s="76">
        <v>21</v>
      </c>
      <c r="K42" s="77">
        <f>997.995018935215/1000</f>
        <v>0.99799501893521492</v>
      </c>
    </row>
    <row r="43" spans="5:11" ht="15" x14ac:dyDescent="0.25">
      <c r="E43" s="36"/>
      <c r="F43" s="58"/>
      <c r="J43" s="76">
        <v>21.1</v>
      </c>
      <c r="K43" s="77">
        <f>997.973275376625/1000</f>
        <v>0.99797327537662495</v>
      </c>
    </row>
    <row r="44" spans="5:11" ht="15" x14ac:dyDescent="0.25">
      <c r="E44" s="36"/>
      <c r="F44" s="58"/>
      <c r="J44" s="76">
        <v>21.2</v>
      </c>
      <c r="K44" s="77">
        <f>997.951428887105/1000</f>
        <v>0.99795142888710497</v>
      </c>
    </row>
    <row r="45" spans="5:11" ht="15" x14ac:dyDescent="0.25">
      <c r="E45" s="36"/>
      <c r="F45" s="58"/>
      <c r="J45" s="76">
        <v>21.3</v>
      </c>
      <c r="K45" s="77">
        <f>997.929479680634/1000</f>
        <v>0.99792947968063406</v>
      </c>
    </row>
    <row r="46" spans="5:11" ht="15" x14ac:dyDescent="0.25">
      <c r="E46" s="36"/>
      <c r="F46" s="58"/>
      <c r="J46" s="76">
        <v>21.4</v>
      </c>
      <c r="K46" s="77">
        <f>997.907427970248/1000</f>
        <v>0.99790742797024801</v>
      </c>
    </row>
    <row r="47" spans="5:11" ht="15" x14ac:dyDescent="0.25">
      <c r="E47" s="36"/>
      <c r="F47" s="58"/>
      <c r="J47" s="76">
        <v>21.5</v>
      </c>
      <c r="K47" s="77">
        <f>997.885273968045/1000</f>
        <v>0.99788527396804505</v>
      </c>
    </row>
    <row r="48" spans="5:11" ht="15" x14ac:dyDescent="0.25">
      <c r="E48" s="36"/>
      <c r="F48" s="58"/>
      <c r="J48" s="76">
        <v>21.6</v>
      </c>
      <c r="K48" s="77">
        <f>997.863017885189/1000</f>
        <v>0.99786301788518905</v>
      </c>
    </row>
    <row r="49" spans="5:11" ht="15" x14ac:dyDescent="0.25">
      <c r="E49" s="36"/>
      <c r="F49" s="58"/>
      <c r="J49" s="76">
        <v>21.7</v>
      </c>
      <c r="K49" s="77">
        <f>997.840659931918/1000</f>
        <v>0.99784065993191806</v>
      </c>
    </row>
    <row r="50" spans="5:11" ht="15" x14ac:dyDescent="0.25">
      <c r="E50" s="36"/>
      <c r="F50" s="58"/>
      <c r="J50" s="76">
        <v>21.8</v>
      </c>
      <c r="K50" s="77">
        <f>997.818200317547/1000</f>
        <v>0.99781820031754709</v>
      </c>
    </row>
    <row r="51" spans="5:11" ht="15" x14ac:dyDescent="0.25">
      <c r="E51" s="36"/>
      <c r="F51" s="58"/>
      <c r="J51" s="76">
        <v>21.9</v>
      </c>
      <c r="K51" s="77">
        <f>997.795639250474/1000</f>
        <v>0.99779563925047399</v>
      </c>
    </row>
    <row r="52" spans="5:11" ht="15" x14ac:dyDescent="0.25">
      <c r="E52" s="36"/>
      <c r="F52" s="58"/>
      <c r="J52" s="76">
        <v>22</v>
      </c>
      <c r="K52" s="77">
        <f>997.772976938182/1000</f>
        <v>0.99777297693818201</v>
      </c>
    </row>
    <row r="53" spans="5:11" ht="15" x14ac:dyDescent="0.25">
      <c r="E53" s="36"/>
      <c r="F53" s="58"/>
      <c r="J53" s="76">
        <v>22.1</v>
      </c>
      <c r="K53" s="77">
        <f>997.750213587249/1000</f>
        <v>0.99775021358724902</v>
      </c>
    </row>
    <row r="54" spans="5:11" ht="15" x14ac:dyDescent="0.25">
      <c r="E54" s="36"/>
      <c r="F54" s="58"/>
      <c r="J54" s="76">
        <v>22.2</v>
      </c>
      <c r="K54" s="77">
        <f>997.72734940335/1000</f>
        <v>0.99772734940334995</v>
      </c>
    </row>
    <row r="55" spans="5:11" ht="15" x14ac:dyDescent="0.25">
      <c r="E55" s="36"/>
      <c r="F55" s="58"/>
      <c r="J55" s="76">
        <v>22.3</v>
      </c>
      <c r="K55" s="77">
        <f>997.704384591261/1000</f>
        <v>0.99770438459126098</v>
      </c>
    </row>
    <row r="56" spans="5:11" ht="15" x14ac:dyDescent="0.25">
      <c r="E56" s="36"/>
      <c r="F56" s="58"/>
      <c r="J56" s="76">
        <v>22.4</v>
      </c>
      <c r="K56" s="77">
        <f>997.681319354867/1000</f>
        <v>0.99768131935486704</v>
      </c>
    </row>
    <row r="57" spans="5:11" ht="15" x14ac:dyDescent="0.25">
      <c r="E57" s="36"/>
      <c r="F57" s="58"/>
      <c r="J57" s="76">
        <v>22.5</v>
      </c>
      <c r="K57" s="77">
        <f>997.658153897163/1000</f>
        <v>0.99765815389716295</v>
      </c>
    </row>
    <row r="58" spans="5:11" ht="15" x14ac:dyDescent="0.25">
      <c r="E58" s="36"/>
      <c r="F58" s="58"/>
      <c r="J58" s="76">
        <v>22.6</v>
      </c>
      <c r="K58" s="77">
        <f>997.634888420264/1000</f>
        <v>0.99763488842026404</v>
      </c>
    </row>
    <row r="59" spans="5:11" ht="15" x14ac:dyDescent="0.25">
      <c r="E59" s="36"/>
      <c r="F59" s="58"/>
      <c r="J59" s="76">
        <v>22.7</v>
      </c>
      <c r="K59" s="77">
        <f>997.611523125403/1000</f>
        <v>0.99761152312540302</v>
      </c>
    </row>
    <row r="60" spans="5:11" ht="15" x14ac:dyDescent="0.25">
      <c r="E60" s="36"/>
      <c r="F60" s="58"/>
      <c r="J60" s="76">
        <v>22.8</v>
      </c>
      <c r="K60" s="77">
        <f>997.588058212943/1000</f>
        <v>0.99758805821294305</v>
      </c>
    </row>
    <row r="61" spans="5:11" ht="15" x14ac:dyDescent="0.25">
      <c r="E61" s="36"/>
      <c r="F61" s="58"/>
      <c r="J61" s="76">
        <v>22.9</v>
      </c>
      <c r="K61" s="77">
        <f>997.564493882375/1000</f>
        <v>0.997564493882375</v>
      </c>
    </row>
    <row r="62" spans="5:11" ht="15" x14ac:dyDescent="0.25">
      <c r="E62" s="36"/>
      <c r="F62" s="58"/>
      <c r="J62" s="76">
        <v>23</v>
      </c>
      <c r="K62" s="77">
        <f>997.540830332328/1000</f>
        <v>0.99754083033232799</v>
      </c>
    </row>
    <row r="63" spans="5:11" ht="15" x14ac:dyDescent="0.25">
      <c r="E63" s="36"/>
      <c r="F63" s="58"/>
      <c r="J63" s="76">
        <v>23.1</v>
      </c>
      <c r="K63" s="77">
        <f>997.517067760572/1000</f>
        <v>0.99751706776057203</v>
      </c>
    </row>
    <row r="64" spans="5:11" ht="15" x14ac:dyDescent="0.25">
      <c r="E64" s="36"/>
      <c r="F64" s="58"/>
      <c r="J64" s="76">
        <v>23.2</v>
      </c>
      <c r="K64" s="77">
        <f>997.493206364019/1000</f>
        <v>0.99749320636401895</v>
      </c>
    </row>
    <row r="65" spans="5:11" ht="15" x14ac:dyDescent="0.25">
      <c r="E65" s="36"/>
      <c r="F65" s="58"/>
      <c r="J65" s="76">
        <v>23.3</v>
      </c>
      <c r="K65" s="77">
        <f>997.469246338736/1000</f>
        <v>0.9974692463387359</v>
      </c>
    </row>
    <row r="66" spans="5:11" ht="15" x14ac:dyDescent="0.25">
      <c r="E66" s="36"/>
      <c r="F66" s="58"/>
      <c r="J66" s="76">
        <v>23.4</v>
      </c>
      <c r="K66" s="77">
        <f>997.445187879939/1000</f>
        <v>0.99744518787993897</v>
      </c>
    </row>
    <row r="67" spans="5:11" ht="15" x14ac:dyDescent="0.25">
      <c r="E67" s="36"/>
      <c r="F67" s="58"/>
      <c r="J67" s="76">
        <v>23.5</v>
      </c>
      <c r="K67" s="77">
        <f>997.421031182007/1000</f>
        <v>0.99742103118200698</v>
      </c>
    </row>
    <row r="68" spans="5:11" ht="15" x14ac:dyDescent="0.25">
      <c r="E68" s="36"/>
      <c r="F68" s="58"/>
      <c r="J68" s="76">
        <v>23.6</v>
      </c>
      <c r="K68" s="77">
        <f>997.396776438481/1000</f>
        <v>0.99739677643848101</v>
      </c>
    </row>
    <row r="69" spans="5:11" ht="15" x14ac:dyDescent="0.25">
      <c r="E69" s="36"/>
      <c r="F69" s="58"/>
      <c r="J69" s="76">
        <v>23.7</v>
      </c>
      <c r="K69" s="77">
        <f>997.372423842069/1000</f>
        <v>0.99737242384206903</v>
      </c>
    </row>
    <row r="70" spans="5:11" ht="15" x14ac:dyDescent="0.25">
      <c r="E70" s="36"/>
      <c r="F70" s="58"/>
      <c r="J70" s="76">
        <v>23.8</v>
      </c>
      <c r="K70" s="77">
        <f>997.347973584654/1000</f>
        <v>0.99734797358465399</v>
      </c>
    </row>
    <row r="71" spans="5:11" ht="15" x14ac:dyDescent="0.25">
      <c r="E71" s="36"/>
      <c r="F71" s="58"/>
      <c r="J71" s="76">
        <v>23.9</v>
      </c>
      <c r="K71" s="77">
        <f>997.323425857293/1000</f>
        <v>0.99732342585729306</v>
      </c>
    </row>
    <row r="72" spans="5:11" ht="15" x14ac:dyDescent="0.25">
      <c r="E72" s="36"/>
      <c r="F72" s="58"/>
      <c r="J72" s="76">
        <v>24</v>
      </c>
      <c r="K72" s="77">
        <f>997.298780850227/1000</f>
        <v>0.99729878085022694</v>
      </c>
    </row>
    <row r="73" spans="5:11" ht="15" x14ac:dyDescent="0.25">
      <c r="E73" s="36"/>
      <c r="F73" s="58"/>
      <c r="J73" s="76">
        <v>24.1</v>
      </c>
      <c r="K73" s="77">
        <f>997.274038752881/1000</f>
        <v>0.99727403875288101</v>
      </c>
    </row>
    <row r="74" spans="5:11" ht="15" x14ac:dyDescent="0.25">
      <c r="E74" s="36"/>
      <c r="F74" s="58"/>
      <c r="J74" s="76">
        <v>24.2</v>
      </c>
      <c r="K74" s="77">
        <f>997.249199753869/1000</f>
        <v>0.99724919975386894</v>
      </c>
    </row>
    <row r="75" spans="5:11" ht="15" x14ac:dyDescent="0.25">
      <c r="E75" s="36"/>
      <c r="F75" s="58"/>
      <c r="J75" s="76">
        <v>24.3</v>
      </c>
      <c r="K75" s="77">
        <f>997.224264041003/1000</f>
        <v>0.99722426404100306</v>
      </c>
    </row>
    <row r="76" spans="5:11" ht="15" x14ac:dyDescent="0.25">
      <c r="E76" s="36"/>
      <c r="F76" s="58"/>
      <c r="J76" s="76">
        <v>24.4</v>
      </c>
      <c r="K76" s="77">
        <f>997.199231801291/1000</f>
        <v>0.997199231801291</v>
      </c>
    </row>
    <row r="77" spans="5:11" ht="15" x14ac:dyDescent="0.25">
      <c r="E77" s="36"/>
      <c r="F77" s="58"/>
      <c r="J77" s="76">
        <v>24.5</v>
      </c>
      <c r="K77" s="77">
        <f>997.174103220944/1000</f>
        <v>0.99717410322094391</v>
      </c>
    </row>
    <row r="78" spans="5:11" ht="15" x14ac:dyDescent="0.25">
      <c r="E78" s="36"/>
      <c r="F78" s="58"/>
      <c r="J78" s="76">
        <v>24.6</v>
      </c>
      <c r="K78" s="77">
        <f>997.14887848538/1000</f>
        <v>0.99714887848538003</v>
      </c>
    </row>
    <row r="79" spans="5:11" ht="15" x14ac:dyDescent="0.25">
      <c r="E79" s="36"/>
      <c r="F79" s="36"/>
      <c r="J79" s="76">
        <v>24.7</v>
      </c>
      <c r="K79" s="77">
        <f>997.123557779231/1000</f>
        <v>0.99712355777923101</v>
      </c>
    </row>
    <row r="80" spans="5:11" x14ac:dyDescent="0.2">
      <c r="J80" s="76">
        <v>24.8</v>
      </c>
      <c r="K80" s="77">
        <f>997.09814128634/1000</f>
        <v>0.99709814128634</v>
      </c>
    </row>
    <row r="81" spans="1:11" x14ac:dyDescent="0.2">
      <c r="J81" s="76">
        <v>24.9</v>
      </c>
      <c r="K81" s="77">
        <f>997.072629189775/1000</f>
        <v>0.99707262918977491</v>
      </c>
    </row>
    <row r="82" spans="1:11" ht="13.5" thickBot="1" x14ac:dyDescent="0.25">
      <c r="J82" s="76">
        <v>25</v>
      </c>
      <c r="K82" s="78">
        <f>997.047021671823/1000</f>
        <v>0.99704702167182302</v>
      </c>
    </row>
    <row r="83" spans="1:11" hidden="1" x14ac:dyDescent="0.2">
      <c r="J83" s="57"/>
    </row>
    <row r="84" spans="1:11" hidden="1" x14ac:dyDescent="0.2">
      <c r="J84" s="57"/>
    </row>
    <row r="85" spans="1:11" hidden="1" x14ac:dyDescent="0.2">
      <c r="J85" s="57"/>
    </row>
    <row r="86" spans="1:11" hidden="1" x14ac:dyDescent="0.2">
      <c r="J86" s="57"/>
    </row>
    <row r="87" spans="1:11" hidden="1" x14ac:dyDescent="0.2">
      <c r="J87" s="57"/>
    </row>
    <row r="88" spans="1:11" ht="13.5" hidden="1" thickBot="1" x14ac:dyDescent="0.25">
      <c r="J88" s="57"/>
    </row>
    <row r="89" spans="1:11" ht="15" hidden="1" x14ac:dyDescent="0.25">
      <c r="A89" s="19"/>
      <c r="B89" s="1643" t="s">
        <v>83</v>
      </c>
      <c r="C89" s="1644"/>
      <c r="D89" s="42" t="s">
        <v>115</v>
      </c>
      <c r="E89" s="21" t="s">
        <v>84</v>
      </c>
      <c r="F89" s="20"/>
      <c r="G89" s="22"/>
      <c r="J89" s="57"/>
    </row>
    <row r="90" spans="1:11" ht="15" hidden="1" x14ac:dyDescent="0.25">
      <c r="A90" s="48" t="s">
        <v>123</v>
      </c>
      <c r="B90" s="1639">
        <v>101325</v>
      </c>
      <c r="C90" s="1640"/>
      <c r="D90" s="43" t="s">
        <v>128</v>
      </c>
      <c r="E90" s="24" t="s">
        <v>118</v>
      </c>
      <c r="F90" s="25">
        <f>F14</f>
        <v>20</v>
      </c>
      <c r="G90" s="26" t="s">
        <v>111</v>
      </c>
      <c r="I90" s="53">
        <f>((B92+(B93*F90)+(B94*F90^2)))</f>
        <v>4.5893999999999997E-10</v>
      </c>
      <c r="J90" s="57"/>
    </row>
    <row r="91" spans="1:11" hidden="1" x14ac:dyDescent="0.2">
      <c r="A91" s="48" t="s">
        <v>126</v>
      </c>
      <c r="B91" s="1639">
        <v>101325</v>
      </c>
      <c r="C91" s="1640"/>
      <c r="D91" s="43" t="s">
        <v>129</v>
      </c>
      <c r="E91" s="27"/>
      <c r="F91" s="25"/>
      <c r="G91" s="28"/>
      <c r="I91" s="50">
        <f>B90-B91</f>
        <v>0</v>
      </c>
      <c r="J91" s="57"/>
    </row>
    <row r="92" spans="1:11" ht="15" hidden="1" x14ac:dyDescent="0.25">
      <c r="A92" s="48" t="s">
        <v>124</v>
      </c>
      <c r="B92" s="1639">
        <v>5.0749999999999995E-10</v>
      </c>
      <c r="C92" s="1640"/>
      <c r="D92" s="43" t="s">
        <v>130</v>
      </c>
      <c r="E92" s="24"/>
      <c r="F92" s="25"/>
      <c r="G92" s="28"/>
      <c r="I92">
        <v>1</v>
      </c>
      <c r="J92" s="57"/>
    </row>
    <row r="93" spans="1:11" hidden="1" x14ac:dyDescent="0.2">
      <c r="A93" s="48" t="s">
        <v>125</v>
      </c>
      <c r="B93" s="1636">
        <v>-3.2599999999999998E-12</v>
      </c>
      <c r="C93" s="1640"/>
      <c r="D93" s="43" t="s">
        <v>131</v>
      </c>
      <c r="E93" s="27"/>
      <c r="F93" s="27"/>
      <c r="G93" s="28"/>
      <c r="J93" s="57"/>
    </row>
    <row r="94" spans="1:11" hidden="1" x14ac:dyDescent="0.2">
      <c r="A94" s="48" t="s">
        <v>127</v>
      </c>
      <c r="B94" s="1636">
        <v>4.1600000000000001E-14</v>
      </c>
      <c r="C94" s="1640"/>
      <c r="D94" s="44" t="s">
        <v>132</v>
      </c>
      <c r="E94" s="30"/>
      <c r="F94" s="27"/>
      <c r="G94" s="28"/>
      <c r="J94" s="57"/>
    </row>
    <row r="95" spans="1:11" hidden="1" x14ac:dyDescent="0.2">
      <c r="A95" s="45"/>
      <c r="B95" s="1635"/>
      <c r="C95" s="1635"/>
      <c r="D95" s="47"/>
      <c r="E95" s="30"/>
      <c r="F95" s="46"/>
      <c r="G95" s="38"/>
      <c r="I95" s="55">
        <f>(1+(B92+(B93*F90)+(B94*F90^2))*(B90-B91))</f>
        <v>1</v>
      </c>
      <c r="J95" s="57"/>
    </row>
    <row r="96" spans="1:11" hidden="1" x14ac:dyDescent="0.2">
      <c r="A96" s="45"/>
      <c r="B96" s="1635"/>
      <c r="C96" s="1635"/>
      <c r="D96" s="47"/>
      <c r="E96" s="30"/>
      <c r="F96" s="46"/>
      <c r="G96" s="38"/>
      <c r="J96" s="57"/>
    </row>
    <row r="97" spans="1:10" ht="29.25" hidden="1" thickBot="1" x14ac:dyDescent="0.5">
      <c r="A97" s="31"/>
      <c r="B97" s="32"/>
      <c r="C97" s="33"/>
      <c r="D97" s="33"/>
      <c r="E97" s="49">
        <f>(I92+(I90*I91))</f>
        <v>1</v>
      </c>
      <c r="F97" s="35" t="s">
        <v>93</v>
      </c>
      <c r="G97" s="41"/>
      <c r="J97" s="57"/>
    </row>
    <row r="98" spans="1:10" ht="15.75" hidden="1" customHeight="1" thickBot="1" x14ac:dyDescent="0.3">
      <c r="E98" s="36">
        <f>E97/1000</f>
        <v>1E-3</v>
      </c>
      <c r="F98" s="40" t="s">
        <v>94</v>
      </c>
      <c r="J98" s="57"/>
    </row>
    <row r="99" spans="1:10" hidden="1" x14ac:dyDescent="0.2">
      <c r="J99" s="57"/>
    </row>
    <row r="100" spans="1:10" hidden="1" x14ac:dyDescent="0.2">
      <c r="J100" s="57"/>
    </row>
    <row r="101" spans="1:10" hidden="1" x14ac:dyDescent="0.2">
      <c r="J101" s="57"/>
    </row>
    <row r="102" spans="1:10" hidden="1" x14ac:dyDescent="0.2">
      <c r="J102" s="57"/>
    </row>
    <row r="103" spans="1:10" hidden="1" x14ac:dyDescent="0.2">
      <c r="J103" s="57"/>
    </row>
    <row r="104" spans="1:10" hidden="1" x14ac:dyDescent="0.2">
      <c r="J104" s="57"/>
    </row>
    <row r="105" spans="1:10" hidden="1" x14ac:dyDescent="0.2">
      <c r="J105" s="57"/>
    </row>
    <row r="106" spans="1:10" hidden="1" x14ac:dyDescent="0.2">
      <c r="J106" s="57"/>
    </row>
    <row r="107" spans="1:10" hidden="1" x14ac:dyDescent="0.2">
      <c r="J107" s="57"/>
    </row>
    <row r="108" spans="1:10" hidden="1" x14ac:dyDescent="0.2">
      <c r="J108" s="57"/>
    </row>
    <row r="109" spans="1:10" hidden="1" x14ac:dyDescent="0.2">
      <c r="J109" s="57"/>
    </row>
    <row r="110" spans="1:10" hidden="1" x14ac:dyDescent="0.2">
      <c r="J110" s="57"/>
    </row>
    <row r="111" spans="1:10" hidden="1" x14ac:dyDescent="0.2">
      <c r="J111" s="57"/>
    </row>
    <row r="112" spans="1:10" hidden="1" x14ac:dyDescent="0.2">
      <c r="J112" s="57"/>
    </row>
    <row r="113" spans="1:10" ht="13.5" hidden="1" thickBot="1" x14ac:dyDescent="0.25">
      <c r="J113" s="57"/>
    </row>
    <row r="114" spans="1:10" ht="15" hidden="1" x14ac:dyDescent="0.25">
      <c r="A114" s="19"/>
      <c r="B114" s="1643" t="s">
        <v>83</v>
      </c>
      <c r="C114" s="1644"/>
      <c r="D114" s="42" t="s">
        <v>115</v>
      </c>
      <c r="E114" s="21" t="s">
        <v>84</v>
      </c>
      <c r="F114" s="20"/>
      <c r="G114" s="22"/>
      <c r="J114" s="57"/>
    </row>
    <row r="115" spans="1:10" ht="15" hidden="1" x14ac:dyDescent="0.25">
      <c r="A115" s="48" t="s">
        <v>119</v>
      </c>
      <c r="B115" s="1636">
        <f>-0.004612</f>
        <v>-4.6119999999999998E-3</v>
      </c>
      <c r="C115" s="1637"/>
      <c r="D115" s="43" t="s">
        <v>121</v>
      </c>
      <c r="E115" s="24" t="s">
        <v>118</v>
      </c>
      <c r="F115" s="25">
        <f>F14</f>
        <v>20</v>
      </c>
      <c r="G115" s="26" t="s">
        <v>111</v>
      </c>
      <c r="I115" s="37">
        <f>B115</f>
        <v>-4.6119999999999998E-3</v>
      </c>
      <c r="J115" s="57"/>
    </row>
    <row r="116" spans="1:10" hidden="1" x14ac:dyDescent="0.2">
      <c r="A116" s="48" t="s">
        <v>120</v>
      </c>
      <c r="B116" s="1638">
        <f>0.000106</f>
        <v>1.06E-4</v>
      </c>
      <c r="C116" s="1637"/>
      <c r="D116" s="43" t="s">
        <v>122</v>
      </c>
      <c r="E116" s="27"/>
      <c r="F116" s="25"/>
      <c r="G116" s="28" t="s">
        <v>112</v>
      </c>
      <c r="I116" s="37">
        <f>(F115*B116)</f>
        <v>2.1199999999999999E-3</v>
      </c>
      <c r="J116" s="57"/>
    </row>
    <row r="117" spans="1:10" ht="15" hidden="1" x14ac:dyDescent="0.25">
      <c r="A117" s="23"/>
      <c r="B117" s="1639"/>
      <c r="C117" s="1640"/>
      <c r="D117" s="43"/>
      <c r="E117" s="24"/>
      <c r="F117" s="25"/>
      <c r="G117" s="28" t="s">
        <v>113</v>
      </c>
      <c r="J117" s="57"/>
    </row>
    <row r="118" spans="1:10" hidden="1" x14ac:dyDescent="0.2">
      <c r="A118" s="23"/>
      <c r="B118" s="1639"/>
      <c r="C118" s="1640"/>
      <c r="D118" s="43"/>
      <c r="E118" s="27"/>
      <c r="F118" s="27"/>
      <c r="G118" s="28"/>
      <c r="J118" s="57"/>
    </row>
    <row r="119" spans="1:10" hidden="1" x14ac:dyDescent="0.2">
      <c r="A119" s="23"/>
      <c r="B119" s="1639"/>
      <c r="C119" s="1640"/>
      <c r="D119" s="44"/>
      <c r="E119" s="30"/>
      <c r="F119" s="27"/>
      <c r="G119" s="28"/>
      <c r="I119" s="54">
        <f>B115+(B116*F115)</f>
        <v>-2.4919999999999999E-3</v>
      </c>
      <c r="J119" s="57"/>
    </row>
    <row r="120" spans="1:10" hidden="1" x14ac:dyDescent="0.2">
      <c r="A120" s="45"/>
      <c r="B120" s="1635"/>
      <c r="C120" s="1635"/>
      <c r="D120" s="47"/>
      <c r="E120" s="30"/>
      <c r="F120" s="46"/>
      <c r="G120" s="38"/>
      <c r="J120" s="57"/>
    </row>
    <row r="121" spans="1:10" hidden="1" x14ac:dyDescent="0.2">
      <c r="A121" s="45"/>
      <c r="B121" s="1635"/>
      <c r="C121" s="1635"/>
      <c r="D121" s="47"/>
      <c r="E121" s="30"/>
      <c r="F121" s="46"/>
      <c r="G121" s="38"/>
      <c r="J121" s="57"/>
    </row>
    <row r="122" spans="1:10" ht="29.25" hidden="1" thickBot="1" x14ac:dyDescent="0.5">
      <c r="A122" s="31"/>
      <c r="B122" s="32"/>
      <c r="C122" s="33"/>
      <c r="D122" s="33"/>
      <c r="E122" s="34">
        <f>I115+I116</f>
        <v>-2.4919999999999999E-3</v>
      </c>
      <c r="F122" s="35" t="s">
        <v>93</v>
      </c>
      <c r="G122" s="41"/>
      <c r="J122" s="57"/>
    </row>
    <row r="123" spans="1:10" ht="15.75" hidden="1" customHeight="1" thickBot="1" x14ac:dyDescent="0.3">
      <c r="E123" s="36">
        <f>E122/1000</f>
        <v>-2.492E-6</v>
      </c>
      <c r="F123" s="40" t="s">
        <v>94</v>
      </c>
      <c r="J123" s="57"/>
    </row>
    <row r="124" spans="1:10" hidden="1" x14ac:dyDescent="0.2">
      <c r="J124" s="57"/>
    </row>
    <row r="125" spans="1:10" x14ac:dyDescent="0.2">
      <c r="J125" s="57"/>
    </row>
    <row r="126" spans="1:10" x14ac:dyDescent="0.2">
      <c r="J126" s="57"/>
    </row>
    <row r="127" spans="1:10" x14ac:dyDescent="0.2">
      <c r="J127" s="57"/>
    </row>
    <row r="128" spans="1:10" x14ac:dyDescent="0.2">
      <c r="J128" s="57"/>
    </row>
    <row r="129" spans="10:10" x14ac:dyDescent="0.2">
      <c r="J129" s="57"/>
    </row>
    <row r="130" spans="10:10" x14ac:dyDescent="0.2">
      <c r="J130" s="57"/>
    </row>
    <row r="131" spans="10:10" x14ac:dyDescent="0.2">
      <c r="J131" s="57"/>
    </row>
    <row r="132" spans="10:10" x14ac:dyDescent="0.2">
      <c r="J132" s="57"/>
    </row>
    <row r="133" spans="10:10" x14ac:dyDescent="0.2">
      <c r="J133" s="57"/>
    </row>
    <row r="134" spans="10:10" x14ac:dyDescent="0.2">
      <c r="J134" s="57"/>
    </row>
    <row r="135" spans="10:10" x14ac:dyDescent="0.2">
      <c r="J135" s="57"/>
    </row>
    <row r="136" spans="10:10" x14ac:dyDescent="0.2">
      <c r="J136" s="57"/>
    </row>
    <row r="137" spans="10:10" x14ac:dyDescent="0.2">
      <c r="J137" s="57"/>
    </row>
    <row r="138" spans="10:10" x14ac:dyDescent="0.2">
      <c r="J138" s="57"/>
    </row>
    <row r="139" spans="10:10" x14ac:dyDescent="0.2">
      <c r="J139" s="57"/>
    </row>
    <row r="140" spans="10:10" x14ac:dyDescent="0.2">
      <c r="J140" s="57"/>
    </row>
    <row r="141" spans="10:10" x14ac:dyDescent="0.2">
      <c r="J141" s="57"/>
    </row>
    <row r="142" spans="10:10" x14ac:dyDescent="0.2">
      <c r="J142" s="57"/>
    </row>
    <row r="143" spans="10:10" x14ac:dyDescent="0.2">
      <c r="J143" s="57"/>
    </row>
    <row r="144" spans="10:10" x14ac:dyDescent="0.2">
      <c r="J144" s="57"/>
    </row>
    <row r="145" spans="10:10" x14ac:dyDescent="0.2">
      <c r="J145" s="57"/>
    </row>
    <row r="146" spans="10:10" x14ac:dyDescent="0.2">
      <c r="J146" s="57"/>
    </row>
    <row r="147" spans="10:10" x14ac:dyDescent="0.2">
      <c r="J147" s="57"/>
    </row>
    <row r="148" spans="10:10" x14ac:dyDescent="0.2">
      <c r="J148" s="57"/>
    </row>
    <row r="149" spans="10:10" x14ac:dyDescent="0.2">
      <c r="J149" s="57"/>
    </row>
    <row r="150" spans="10:10" x14ac:dyDescent="0.2">
      <c r="J150" s="57"/>
    </row>
    <row r="151" spans="10:10" x14ac:dyDescent="0.2">
      <c r="J151" s="57"/>
    </row>
    <row r="152" spans="10:10" x14ac:dyDescent="0.2">
      <c r="J152" s="57"/>
    </row>
    <row r="153" spans="10:10" x14ac:dyDescent="0.2">
      <c r="J153" s="57"/>
    </row>
    <row r="154" spans="10:10" x14ac:dyDescent="0.2">
      <c r="J154" s="57"/>
    </row>
    <row r="155" spans="10:10" x14ac:dyDescent="0.2">
      <c r="J155" s="57"/>
    </row>
    <row r="156" spans="10:10" x14ac:dyDescent="0.2">
      <c r="J156" s="57"/>
    </row>
    <row r="157" spans="10:10" x14ac:dyDescent="0.2">
      <c r="J157" s="57"/>
    </row>
    <row r="158" spans="10:10" x14ac:dyDescent="0.2">
      <c r="J158" s="57"/>
    </row>
    <row r="159" spans="10:10" x14ac:dyDescent="0.2">
      <c r="J159" s="57"/>
    </row>
    <row r="160" spans="10:10" x14ac:dyDescent="0.2">
      <c r="J160" s="57"/>
    </row>
    <row r="161" spans="10:10" x14ac:dyDescent="0.2">
      <c r="J161" s="57"/>
    </row>
    <row r="162" spans="10:10" x14ac:dyDescent="0.2">
      <c r="J162" s="57"/>
    </row>
    <row r="163" spans="10:10" x14ac:dyDescent="0.2">
      <c r="J163" s="57"/>
    </row>
    <row r="164" spans="10:10" x14ac:dyDescent="0.2">
      <c r="J164" s="57"/>
    </row>
    <row r="165" spans="10:10" x14ac:dyDescent="0.2">
      <c r="J165" s="57"/>
    </row>
    <row r="166" spans="10:10" x14ac:dyDescent="0.2">
      <c r="J166" s="57"/>
    </row>
    <row r="167" spans="10:10" x14ac:dyDescent="0.2">
      <c r="J167" s="57"/>
    </row>
    <row r="168" spans="10:10" x14ac:dyDescent="0.2">
      <c r="J168" s="57"/>
    </row>
    <row r="169" spans="10:10" x14ac:dyDescent="0.2">
      <c r="J169" s="57"/>
    </row>
  </sheetData>
  <sheetProtection algorithmName="SHA-512" hashValue="aus4jKWflqBVVqQ0RggYT6qJ0g5ApM8EdGFyf7vqdoS2GaVBINwsLHNVkyiVdZvJSGpkKsaoVM9sRTs29mt2mA==" saltValue="1X88vYPKlVVj05+0z1Yckg==" spinCount="100000" sheet="1" objects="1" scenarios="1"/>
  <mergeCells count="24">
    <mergeCell ref="B14:C14"/>
    <mergeCell ref="B15:C15"/>
    <mergeCell ref="B16:C16"/>
    <mergeCell ref="B17:C17"/>
    <mergeCell ref="A13:C13"/>
    <mergeCell ref="B18:C18"/>
    <mergeCell ref="B114:C114"/>
    <mergeCell ref="B19:C19"/>
    <mergeCell ref="B20:C20"/>
    <mergeCell ref="B89:C89"/>
    <mergeCell ref="B90:C90"/>
    <mergeCell ref="B91:C91"/>
    <mergeCell ref="B92:C92"/>
    <mergeCell ref="B93:C93"/>
    <mergeCell ref="B94:C94"/>
    <mergeCell ref="B95:C95"/>
    <mergeCell ref="B96:C96"/>
    <mergeCell ref="B121:C121"/>
    <mergeCell ref="B115:C115"/>
    <mergeCell ref="B116:C116"/>
    <mergeCell ref="B117:C117"/>
    <mergeCell ref="B118:C118"/>
    <mergeCell ref="B119:C119"/>
    <mergeCell ref="B120:C120"/>
  </mergeCells>
  <pageMargins left="0.7" right="0.7" top="0.75" bottom="0.75" header="0.3" footer="0.3"/>
  <pageSetup paperSize="9" orientation="portrait" verticalDpi="1200"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45"/>
  <sheetViews>
    <sheetView topLeftCell="B29" zoomScale="80" zoomScaleNormal="80" workbookViewId="0">
      <selection activeCell="F30" sqref="F30"/>
    </sheetView>
  </sheetViews>
  <sheetFormatPr baseColWidth="10" defaultRowHeight="12.75" x14ac:dyDescent="0.2"/>
  <cols>
    <col min="1" max="2" width="15" customWidth="1"/>
    <col min="3" max="4" width="14.28515625" customWidth="1"/>
    <col min="6" max="6" width="13" customWidth="1"/>
    <col min="8" max="10" width="13.140625" customWidth="1"/>
    <col min="11" max="11" width="12.28515625" bestFit="1" customWidth="1"/>
    <col min="12" max="12" width="14.42578125" customWidth="1"/>
    <col min="13" max="13" width="17.28515625" customWidth="1"/>
    <col min="14" max="15" width="14.28515625" customWidth="1"/>
    <col min="17" max="17" width="13.7109375" customWidth="1"/>
    <col min="19" max="19" width="14.42578125" customWidth="1"/>
  </cols>
  <sheetData>
    <row r="1" spans="1:34" x14ac:dyDescent="0.2">
      <c r="A1" s="1699" t="s">
        <v>133</v>
      </c>
      <c r="B1" s="1699"/>
      <c r="C1" s="1699"/>
      <c r="D1" s="1699"/>
      <c r="E1" s="1699"/>
      <c r="F1" s="1699"/>
      <c r="G1" s="1699"/>
      <c r="H1" s="1699"/>
      <c r="I1" s="1699"/>
      <c r="J1" s="1699"/>
      <c r="K1" s="1699"/>
      <c r="L1" s="1699"/>
      <c r="M1" s="1699"/>
      <c r="N1" s="1699"/>
      <c r="O1" s="1699"/>
    </row>
    <row r="3" spans="1:34" x14ac:dyDescent="0.2">
      <c r="A3" s="1664" t="s">
        <v>284</v>
      </c>
      <c r="B3" s="1665"/>
      <c r="C3" s="1665"/>
      <c r="D3" s="1666"/>
      <c r="F3" s="1"/>
      <c r="H3" s="1650" t="s">
        <v>305</v>
      </c>
      <c r="I3" s="1651"/>
      <c r="J3" s="1652"/>
      <c r="L3" s="1650" t="s">
        <v>309</v>
      </c>
      <c r="M3" s="1651"/>
      <c r="N3" s="1652"/>
      <c r="P3" s="1650" t="s">
        <v>310</v>
      </c>
      <c r="Q3" s="1651"/>
      <c r="R3" s="1651"/>
      <c r="S3" s="1652"/>
    </row>
    <row r="4" spans="1:34" ht="25.5" x14ac:dyDescent="0.2">
      <c r="A4" s="1653" t="s">
        <v>285</v>
      </c>
      <c r="B4" s="1655"/>
      <c r="C4" s="1653" t="s">
        <v>286</v>
      </c>
      <c r="D4" s="1655"/>
      <c r="H4" s="200" t="s">
        <v>306</v>
      </c>
      <c r="I4" s="200" t="s">
        <v>307</v>
      </c>
      <c r="J4" s="200" t="s">
        <v>308</v>
      </c>
      <c r="L4" s="200" t="s">
        <v>306</v>
      </c>
      <c r="M4" s="200" t="s">
        <v>307</v>
      </c>
      <c r="N4" s="200" t="s">
        <v>308</v>
      </c>
      <c r="P4" s="200" t="s">
        <v>306</v>
      </c>
      <c r="Q4" s="200" t="s">
        <v>307</v>
      </c>
      <c r="R4" s="200" t="s">
        <v>308</v>
      </c>
      <c r="S4" s="200" t="s">
        <v>303</v>
      </c>
    </row>
    <row r="5" spans="1:34" x14ac:dyDescent="0.2">
      <c r="A5" s="90">
        <v>1E-4</v>
      </c>
      <c r="B5" s="90" t="s">
        <v>67</v>
      </c>
      <c r="C5" s="90">
        <v>1E-4</v>
      </c>
      <c r="D5" s="90" t="s">
        <v>67</v>
      </c>
      <c r="H5" s="1077" t="s">
        <v>778</v>
      </c>
      <c r="I5" s="1077" t="s">
        <v>302</v>
      </c>
      <c r="J5" s="1658" t="str">
        <f>IF(K13&lt;=50,H5,IF(K13&lt;=220,H6,IF(K13&lt;1200,H7,"OJO")))</f>
        <v>TM463-25A</v>
      </c>
      <c r="L5" s="1077" t="str">
        <f>H5</f>
        <v>TM463-25A</v>
      </c>
      <c r="M5" s="1077" t="s">
        <v>302</v>
      </c>
      <c r="N5" s="1658" t="str">
        <f>IF(K13&lt;=50,L5,IF(K13&lt;=220,L6,IF(K13&lt;1200,L7,"OJO")))</f>
        <v>TM463-25A</v>
      </c>
      <c r="P5" s="1077" t="str">
        <f>H5</f>
        <v>TM463-25A</v>
      </c>
      <c r="Q5" s="1077" t="s">
        <v>302</v>
      </c>
      <c r="R5" s="1658" t="str">
        <f>IF(K13&lt;=50,P5,IF(K13&lt;=220,P6,IF(K13&lt;1200,P7,"OJO")))</f>
        <v>TM463-25A</v>
      </c>
      <c r="S5" s="201">
        <f>Trazabilidad!Q5</f>
        <v>2.8867513458388434E-5</v>
      </c>
      <c r="U5">
        <v>5.4772255748443102E-6</v>
      </c>
    </row>
    <row r="6" spans="1:34" x14ac:dyDescent="0.2">
      <c r="A6" s="1"/>
      <c r="B6" s="1"/>
      <c r="C6" s="1"/>
      <c r="D6" s="1"/>
      <c r="H6" s="1077" t="s">
        <v>779</v>
      </c>
      <c r="I6" s="1077" t="s">
        <v>301</v>
      </c>
      <c r="J6" s="1659"/>
      <c r="L6" s="1077" t="str">
        <f>H6</f>
        <v>TM464-25A</v>
      </c>
      <c r="M6" s="1077" t="s">
        <v>301</v>
      </c>
      <c r="N6" s="1659"/>
      <c r="P6" s="1077" t="str">
        <f>H6</f>
        <v>TM464-25A</v>
      </c>
      <c r="Q6" s="1077" t="s">
        <v>301</v>
      </c>
      <c r="R6" s="1659"/>
      <c r="S6" s="201">
        <f>Trazabilidad!Q20</f>
        <v>1.1431535329973074E-4</v>
      </c>
      <c r="U6">
        <v>4.47213595514804E-5</v>
      </c>
    </row>
    <row r="7" spans="1:34" x14ac:dyDescent="0.2">
      <c r="A7" s="1664" t="s">
        <v>289</v>
      </c>
      <c r="B7" s="1665"/>
      <c r="C7" s="1665"/>
      <c r="D7" s="1666"/>
      <c r="H7" s="1077" t="s">
        <v>775</v>
      </c>
      <c r="I7" s="1083" t="s">
        <v>345</v>
      </c>
      <c r="J7" s="1660"/>
      <c r="L7" s="1083" t="str">
        <f>H7</f>
        <v>TM465-25A</v>
      </c>
      <c r="M7" s="1083" t="s">
        <v>345</v>
      </c>
      <c r="N7" s="1660"/>
      <c r="P7" s="1083" t="str">
        <f>H7</f>
        <v>TM465-25A</v>
      </c>
      <c r="Q7" s="1083" t="s">
        <v>345</v>
      </c>
      <c r="R7" s="1660"/>
      <c r="S7" s="56">
        <f>Trazabilidad!Q35</f>
        <v>6.9282032301116797E-4</v>
      </c>
      <c r="U7">
        <v>1E-3</v>
      </c>
    </row>
    <row r="8" spans="1:34" x14ac:dyDescent="0.2">
      <c r="A8" s="1653" t="s">
        <v>290</v>
      </c>
      <c r="B8" s="1655"/>
      <c r="C8" s="1653" t="s">
        <v>291</v>
      </c>
      <c r="D8" s="1655"/>
      <c r="L8" s="155">
        <f>EVEN(L9)</f>
        <v>28</v>
      </c>
      <c r="M8" s="155">
        <f>EVEN(M9)</f>
        <v>38</v>
      </c>
    </row>
    <row r="9" spans="1:34" x14ac:dyDescent="0.2">
      <c r="A9" s="90">
        <v>1.0000000000000001E-5</v>
      </c>
      <c r="B9" s="90" t="s">
        <v>67</v>
      </c>
      <c r="C9" s="90">
        <v>1E-4</v>
      </c>
      <c r="D9" s="90" t="s">
        <v>67</v>
      </c>
      <c r="L9" s="155">
        <f>ODD(L10)</f>
        <v>27</v>
      </c>
      <c r="M9" s="155">
        <f>ODD(M10)</f>
        <v>37</v>
      </c>
    </row>
    <row r="10" spans="1:34" x14ac:dyDescent="0.2">
      <c r="L10" s="155">
        <f>EVEN(D12)</f>
        <v>26</v>
      </c>
      <c r="M10" s="155">
        <f>EVEN(D13)</f>
        <v>36</v>
      </c>
      <c r="Z10" t="str">
        <f>Trazabilidad!E4</f>
        <v>Valor nominal  (g)</v>
      </c>
      <c r="AA10" t="str">
        <f>Trazabilidad!L4</f>
        <v>Error (g)</v>
      </c>
      <c r="AB10" t="str">
        <f>Trazabilidad!P4</f>
        <v xml:space="preserve"> Incertidumbre expandida (g)</v>
      </c>
    </row>
    <row r="11" spans="1:34" ht="24" customHeight="1" x14ac:dyDescent="0.2">
      <c r="A11" s="1700" t="s">
        <v>280</v>
      </c>
      <c r="B11" s="1701"/>
      <c r="C11" s="1702"/>
      <c r="D11" s="1079" t="s">
        <v>134</v>
      </c>
      <c r="E11" s="1079" t="s">
        <v>98</v>
      </c>
      <c r="F11" s="1079" t="s">
        <v>278</v>
      </c>
      <c r="H11" s="1700" t="s">
        <v>135</v>
      </c>
      <c r="I11" s="1701"/>
      <c r="J11" s="1702"/>
      <c r="K11" s="1703" t="s">
        <v>134</v>
      </c>
      <c r="L11" s="1704"/>
      <c r="M11" s="1079" t="s">
        <v>98</v>
      </c>
      <c r="N11" s="1082" t="s">
        <v>253</v>
      </c>
      <c r="Q11" s="1661" t="s">
        <v>299</v>
      </c>
      <c r="R11" s="1662"/>
      <c r="S11" s="1663"/>
      <c r="U11" s="1040">
        <v>0</v>
      </c>
      <c r="V11" s="1040">
        <v>0</v>
      </c>
      <c r="W11" s="1040">
        <v>1.5999999999999999E-5</v>
      </c>
      <c r="X11" s="1696" t="str">
        <f>H5</f>
        <v>TM463-25A</v>
      </c>
      <c r="Y11" s="450"/>
      <c r="Z11">
        <f>Trazabilidad!E6</f>
        <v>9.9989999999999992E-3</v>
      </c>
      <c r="AA11">
        <f>Trazabilidad!L6</f>
        <v>9.9999999999999995E-7</v>
      </c>
      <c r="AB11">
        <f>Trazabilidad!P6</f>
        <v>2.0000000000000002E-5</v>
      </c>
      <c r="AE11" s="155">
        <v>0</v>
      </c>
      <c r="AF11" s="155">
        <v>0</v>
      </c>
      <c r="AG11" s="155">
        <v>2.0000000000000002E-5</v>
      </c>
      <c r="AH11" s="155" t="s">
        <v>496</v>
      </c>
    </row>
    <row r="12" spans="1:34" ht="30.75" customHeight="1" x14ac:dyDescent="0.2">
      <c r="A12" s="1705" t="s">
        <v>279</v>
      </c>
      <c r="B12" s="1706"/>
      <c r="C12" s="1707"/>
      <c r="D12" s="419">
        <v>25</v>
      </c>
      <c r="E12" s="288" t="s">
        <v>67</v>
      </c>
      <c r="F12" s="1080">
        <v>1.0000000000000001E-5</v>
      </c>
      <c r="H12" s="1653" t="s">
        <v>293</v>
      </c>
      <c r="I12" s="1654"/>
      <c r="J12" s="1655"/>
      <c r="K12" s="1656">
        <v>20</v>
      </c>
      <c r="L12" s="1657"/>
      <c r="M12" s="1083" t="s">
        <v>67</v>
      </c>
      <c r="N12" s="420">
        <v>2.6999999999999999E-5</v>
      </c>
      <c r="O12" t="s">
        <v>136</v>
      </c>
      <c r="Q12" s="190" t="s">
        <v>494</v>
      </c>
      <c r="R12" s="191" t="s">
        <v>245</v>
      </c>
      <c r="S12" s="191" t="s">
        <v>115</v>
      </c>
      <c r="T12">
        <v>1.0000000000000001E-5</v>
      </c>
      <c r="U12" s="1040">
        <v>1</v>
      </c>
      <c r="V12" s="1040">
        <v>8.0000000000000007E-5</v>
      </c>
      <c r="W12" s="1040">
        <v>2.0999999999999999E-5</v>
      </c>
      <c r="X12" s="1697"/>
      <c r="Y12" s="450"/>
      <c r="Z12">
        <f>Trazabilidad!E7</f>
        <v>4.9999880000000001</v>
      </c>
      <c r="AA12">
        <f>Trazabilidad!L7</f>
        <v>1.9999999999999999E-6</v>
      </c>
      <c r="AB12">
        <f>Trazabilidad!P7</f>
        <v>3.1999999999999999E-5</v>
      </c>
      <c r="AE12" s="155">
        <v>1E-3</v>
      </c>
      <c r="AF12" s="155">
        <v>-1.0000000000000001E-5</v>
      </c>
      <c r="AG12" s="155">
        <v>2.0000000000000002E-5</v>
      </c>
      <c r="AH12" s="155"/>
    </row>
    <row r="13" spans="1:34" ht="21.75" customHeight="1" x14ac:dyDescent="0.2">
      <c r="A13" s="1676" t="s">
        <v>137</v>
      </c>
      <c r="B13" s="1677"/>
      <c r="C13" s="1678"/>
      <c r="D13" s="419">
        <v>35</v>
      </c>
      <c r="E13" s="288" t="s">
        <v>67</v>
      </c>
      <c r="F13" s="1080">
        <v>1.0000000000000001E-5</v>
      </c>
      <c r="H13" s="1685" t="s">
        <v>137</v>
      </c>
      <c r="I13" s="1686"/>
      <c r="J13" s="1687"/>
      <c r="K13" s="1656">
        <v>50</v>
      </c>
      <c r="L13" s="1657"/>
      <c r="M13" s="1083" t="s">
        <v>67</v>
      </c>
      <c r="N13" s="420">
        <v>3.3000000000000003E-5</v>
      </c>
      <c r="O13" t="s">
        <v>138</v>
      </c>
      <c r="Q13" s="90">
        <v>1</v>
      </c>
      <c r="R13" s="90">
        <f>0.01/1000</f>
        <v>1.0000000000000001E-5</v>
      </c>
      <c r="S13" s="90" t="s">
        <v>67</v>
      </c>
      <c r="T13">
        <v>1E-4</v>
      </c>
      <c r="U13" s="1040">
        <v>2</v>
      </c>
      <c r="V13" s="1040">
        <v>-1.2999999999999999E-5</v>
      </c>
      <c r="W13" s="1040">
        <v>2.5000000000000001E-5</v>
      </c>
      <c r="X13" s="1697"/>
      <c r="Y13" s="450"/>
      <c r="Z13">
        <f>Trazabilidad!E8</f>
        <v>10.000014999999999</v>
      </c>
      <c r="AA13">
        <f>Trazabilidad!L8</f>
        <v>-1.5E-5</v>
      </c>
      <c r="AB13">
        <f>Trazabilidad!P8</f>
        <v>3.8999999999999999E-5</v>
      </c>
      <c r="AE13" s="155">
        <v>5</v>
      </c>
      <c r="AF13" s="155" t="s">
        <v>499</v>
      </c>
      <c r="AG13" s="155" t="s">
        <v>500</v>
      </c>
      <c r="AH13" s="155"/>
    </row>
    <row r="14" spans="1:34" ht="13.5" thickBot="1" x14ac:dyDescent="0.25">
      <c r="A14" s="153"/>
      <c r="B14" s="153"/>
      <c r="C14" s="153"/>
      <c r="D14" s="102"/>
      <c r="H14" s="153"/>
      <c r="I14" s="153"/>
      <c r="J14" s="153"/>
      <c r="K14" s="101"/>
      <c r="L14" s="101"/>
      <c r="Q14" s="90">
        <v>2</v>
      </c>
      <c r="R14" s="90">
        <f>0.013/1000</f>
        <v>1.2999999999999999E-5</v>
      </c>
      <c r="S14" s="90" t="s">
        <v>67</v>
      </c>
      <c r="T14">
        <v>1E-3</v>
      </c>
      <c r="U14" s="1040">
        <v>3</v>
      </c>
      <c r="V14" s="1040">
        <v>6.9999999999999999E-6</v>
      </c>
      <c r="W14" s="1040">
        <v>3.8000000000000002E-5</v>
      </c>
      <c r="X14" s="1697"/>
      <c r="Y14" s="450"/>
      <c r="Z14">
        <f>Trazabilidad!E9</f>
        <v>15.000003</v>
      </c>
      <c r="AA14">
        <f>Trazabilidad!L9</f>
        <v>-1.2999999999999999E-5</v>
      </c>
      <c r="AB14">
        <f>Trazabilidad!P9</f>
        <v>6.3E-5</v>
      </c>
      <c r="AE14" s="155">
        <v>10</v>
      </c>
      <c r="AF14" s="155" t="s">
        <v>501</v>
      </c>
      <c r="AG14" s="155" t="s">
        <v>502</v>
      </c>
      <c r="AH14" s="155"/>
    </row>
    <row r="15" spans="1:34" ht="13.5" thickBot="1" x14ac:dyDescent="0.25">
      <c r="B15" s="1670" t="s">
        <v>276</v>
      </c>
      <c r="C15" s="1671"/>
      <c r="D15" s="1672"/>
      <c r="H15" s="1670" t="s">
        <v>276</v>
      </c>
      <c r="I15" s="1671"/>
      <c r="J15" s="1672"/>
      <c r="Q15" s="90">
        <v>5</v>
      </c>
      <c r="R15" s="90">
        <f>0.017/1000</f>
        <v>1.7E-5</v>
      </c>
      <c r="S15" s="90" t="s">
        <v>67</v>
      </c>
      <c r="U15" s="1040">
        <v>4</v>
      </c>
      <c r="V15" s="1040">
        <v>1.1E-5</v>
      </c>
      <c r="W15" s="1040">
        <v>4.3000000000000002E-5</v>
      </c>
      <c r="X15" s="1697"/>
      <c r="Y15" s="450"/>
      <c r="Z15">
        <f>Trazabilidad!E10</f>
        <v>19.999998000000001</v>
      </c>
      <c r="AA15">
        <f>Trazabilidad!L10</f>
        <v>1.2E-5</v>
      </c>
      <c r="AB15">
        <f>Trazabilidad!P10</f>
        <v>5.1999999999999997E-5</v>
      </c>
      <c r="AE15" s="155">
        <v>15</v>
      </c>
      <c r="AF15" s="155" t="s">
        <v>503</v>
      </c>
      <c r="AG15" s="155" t="s">
        <v>504</v>
      </c>
      <c r="AH15" s="155"/>
    </row>
    <row r="16" spans="1:34" ht="15" x14ac:dyDescent="0.25">
      <c r="B16" s="1667" t="s">
        <v>139</v>
      </c>
      <c r="C16" s="1668"/>
      <c r="D16" s="1669"/>
      <c r="H16" s="1667" t="s">
        <v>140</v>
      </c>
      <c r="I16" s="1668"/>
      <c r="J16" s="1669"/>
      <c r="L16" s="1679" t="s">
        <v>141</v>
      </c>
      <c r="M16" s="1680"/>
      <c r="N16" s="1681"/>
      <c r="Q16" s="90">
        <v>10</v>
      </c>
      <c r="R16" s="90">
        <f>0.02/1000</f>
        <v>2.0000000000000002E-5</v>
      </c>
      <c r="S16" s="90" t="s">
        <v>67</v>
      </c>
      <c r="U16" s="1040">
        <v>5</v>
      </c>
      <c r="V16" s="1040">
        <v>0</v>
      </c>
      <c r="W16" s="1040">
        <v>3.1000000000000001E-5</v>
      </c>
      <c r="X16" s="1697"/>
      <c r="Y16" s="450"/>
      <c r="Z16">
        <f>Trazabilidad!E11</f>
        <v>24.999986</v>
      </c>
      <c r="AA16">
        <f>Trazabilidad!L11</f>
        <v>3.9999999999999998E-6</v>
      </c>
      <c r="AB16">
        <f>Trazabilidad!P11</f>
        <v>7.7000000000000001E-5</v>
      </c>
      <c r="AE16" s="155">
        <v>20</v>
      </c>
      <c r="AF16" s="155" t="s">
        <v>505</v>
      </c>
      <c r="AG16" s="155" t="s">
        <v>506</v>
      </c>
      <c r="AH16" s="155"/>
    </row>
    <row r="17" spans="2:34" x14ac:dyDescent="0.2">
      <c r="B17" s="1081" t="s">
        <v>281</v>
      </c>
      <c r="C17" s="161" t="s">
        <v>134</v>
      </c>
      <c r="D17" s="162" t="s">
        <v>275</v>
      </c>
      <c r="E17" s="155">
        <f>LEN(F12)</f>
        <v>7</v>
      </c>
      <c r="F17" s="155">
        <f>E17-2</f>
        <v>5</v>
      </c>
      <c r="H17" s="1081" t="s">
        <v>281</v>
      </c>
      <c r="I17" s="161" t="s">
        <v>134</v>
      </c>
      <c r="J17" s="162" t="s">
        <v>275</v>
      </c>
      <c r="L17" s="1688"/>
      <c r="M17" s="1689"/>
      <c r="N17" s="1690"/>
      <c r="Q17" s="90">
        <v>20</v>
      </c>
      <c r="R17" s="90">
        <f>0.027/1000</f>
        <v>2.6999999999999999E-5</v>
      </c>
      <c r="S17" s="90" t="s">
        <v>67</v>
      </c>
      <c r="U17" s="1040">
        <v>10</v>
      </c>
      <c r="V17" s="1040">
        <v>-7.9999999999999996E-6</v>
      </c>
      <c r="W17" s="1040">
        <v>3.6999999999999998E-5</v>
      </c>
      <c r="X17" s="1697"/>
      <c r="Y17" s="450"/>
      <c r="Z17">
        <f>Trazabilidad!E12</f>
        <v>30.000012999999999</v>
      </c>
      <c r="AA17">
        <f>Trazabilidad!L12</f>
        <v>-3.0000000000000001E-6</v>
      </c>
      <c r="AB17">
        <f>Trazabilidad!P12</f>
        <v>8.6000000000000003E-5</v>
      </c>
      <c r="AE17" s="155">
        <v>25</v>
      </c>
      <c r="AF17" s="155" t="s">
        <v>507</v>
      </c>
      <c r="AG17" s="155" t="s">
        <v>508</v>
      </c>
      <c r="AH17" s="155"/>
    </row>
    <row r="18" spans="2:34" x14ac:dyDescent="0.2">
      <c r="B18" s="163">
        <v>1</v>
      </c>
      <c r="C18" s="418">
        <v>19.999980000000001</v>
      </c>
      <c r="D18" s="1078" t="str">
        <f>IF(ISBLANK($E$12),"OJO",$E$12)</f>
        <v>g</v>
      </c>
      <c r="E18" s="155">
        <f>LEN(F13)</f>
        <v>7</v>
      </c>
      <c r="F18" s="155">
        <f>E18-2</f>
        <v>5</v>
      </c>
      <c r="H18" s="1083">
        <v>1</v>
      </c>
      <c r="I18" s="418">
        <v>49.999980000000001</v>
      </c>
      <c r="J18" s="1078" t="str">
        <f>IF(ISBLANK($E$12),"OJO",$E$12)</f>
        <v>g</v>
      </c>
      <c r="L18" s="1691"/>
      <c r="M18" s="1575"/>
      <c r="N18" s="1692"/>
      <c r="Q18" s="90">
        <v>50</v>
      </c>
      <c r="R18" s="90">
        <f>0.033/1000</f>
        <v>3.3000000000000003E-5</v>
      </c>
      <c r="S18" s="90" t="s">
        <v>67</v>
      </c>
      <c r="U18" s="1040">
        <v>20</v>
      </c>
      <c r="V18" s="1040">
        <v>1.5E-5</v>
      </c>
      <c r="W18" s="1040">
        <v>5.3000000000000001E-5</v>
      </c>
      <c r="X18" s="1697"/>
      <c r="Y18" s="450"/>
      <c r="Z18">
        <f>Trazabilidad!E13</f>
        <v>35</v>
      </c>
      <c r="AA18">
        <f>Trazabilidad!L13</f>
        <v>-1.0000000000000001E-5</v>
      </c>
      <c r="AB18">
        <f>Trazabilidad!P13</f>
        <v>1.1E-4</v>
      </c>
      <c r="AE18" s="155">
        <v>30</v>
      </c>
      <c r="AF18" s="155" t="s">
        <v>509</v>
      </c>
      <c r="AG18" s="155" t="s">
        <v>510</v>
      </c>
      <c r="AH18" s="155"/>
    </row>
    <row r="19" spans="2:34" x14ac:dyDescent="0.2">
      <c r="B19" s="163">
        <v>2</v>
      </c>
      <c r="C19" s="418">
        <v>20</v>
      </c>
      <c r="D19" s="1078" t="str">
        <f t="shared" ref="D19:D24" si="0">IF(ISBLANK($E$12),"OJO",$E$12)</f>
        <v>g</v>
      </c>
      <c r="H19" s="1083">
        <v>2</v>
      </c>
      <c r="I19" s="418">
        <v>49.999989999999997</v>
      </c>
      <c r="J19" s="1078" t="str">
        <f t="shared" ref="J19:J24" si="1">IF(ISBLANK($E$12),"OJO",$E$12)</f>
        <v>g</v>
      </c>
      <c r="L19" s="1693"/>
      <c r="M19" s="1694"/>
      <c r="N19" s="1695"/>
      <c r="Q19" s="90">
        <v>100</v>
      </c>
      <c r="R19" s="90">
        <f>0.053/1000</f>
        <v>5.3000000000000001E-5</v>
      </c>
      <c r="S19" s="90" t="s">
        <v>67</v>
      </c>
      <c r="U19" s="1040">
        <v>30</v>
      </c>
      <c r="V19" s="1040">
        <v>-1.2999999999999999E-5</v>
      </c>
      <c r="W19" s="1040">
        <v>8.6000000000000003E-5</v>
      </c>
      <c r="X19" s="1697"/>
      <c r="Y19" s="450"/>
      <c r="Z19">
        <f>Trazabilidad!E14</f>
        <v>40.000010000000003</v>
      </c>
      <c r="AA19">
        <f>Trazabilidad!L14</f>
        <v>0</v>
      </c>
      <c r="AB19">
        <f>Trazabilidad!P14</f>
        <v>1E-4</v>
      </c>
      <c r="AE19" s="155">
        <v>35</v>
      </c>
      <c r="AF19" s="155" t="s">
        <v>511</v>
      </c>
      <c r="AG19" s="155" t="s">
        <v>512</v>
      </c>
      <c r="AH19" s="155"/>
    </row>
    <row r="20" spans="2:34" x14ac:dyDescent="0.2">
      <c r="B20" s="163">
        <v>3</v>
      </c>
      <c r="C20" s="418">
        <v>19.999970000000001</v>
      </c>
      <c r="D20" s="1078" t="str">
        <f t="shared" si="0"/>
        <v>g</v>
      </c>
      <c r="H20" s="1083">
        <v>3</v>
      </c>
      <c r="I20" s="418">
        <v>50.000019999999999</v>
      </c>
      <c r="J20" s="1078" t="str">
        <f t="shared" si="1"/>
        <v>g</v>
      </c>
      <c r="Q20" s="90">
        <v>200</v>
      </c>
      <c r="R20" s="90">
        <f>0.1/1000</f>
        <v>1E-4</v>
      </c>
      <c r="S20" s="90" t="s">
        <v>67</v>
      </c>
      <c r="U20" s="1040">
        <v>40</v>
      </c>
      <c r="V20" s="1040">
        <v>-2.0000000000000002E-5</v>
      </c>
      <c r="W20" s="1040">
        <v>1E-4</v>
      </c>
      <c r="X20" s="1697"/>
      <c r="Y20" s="450"/>
      <c r="Z20">
        <f>Trazabilidad!E15</f>
        <v>45</v>
      </c>
      <c r="AA20">
        <f>Trazabilidad!L15</f>
        <v>2.0000000000000002E-5</v>
      </c>
      <c r="AB20">
        <f>Trazabilidad!P15</f>
        <v>1.2999999999999999E-4</v>
      </c>
      <c r="AE20" s="155">
        <v>40</v>
      </c>
      <c r="AF20" s="155" t="s">
        <v>513</v>
      </c>
      <c r="AG20" s="155" t="s">
        <v>514</v>
      </c>
      <c r="AH20" s="155"/>
    </row>
    <row r="21" spans="2:34" x14ac:dyDescent="0.2">
      <c r="B21" s="163">
        <v>4</v>
      </c>
      <c r="C21" s="418">
        <v>20</v>
      </c>
      <c r="D21" s="1078" t="str">
        <f t="shared" si="0"/>
        <v>g</v>
      </c>
      <c r="H21" s="1083">
        <v>4</v>
      </c>
      <c r="I21" s="418">
        <v>49.999969999999998</v>
      </c>
      <c r="J21" s="1078" t="str">
        <f t="shared" si="1"/>
        <v>g</v>
      </c>
      <c r="Q21" s="90">
        <v>500</v>
      </c>
      <c r="R21" s="90">
        <f>0.83/1000</f>
        <v>8.3000000000000001E-4</v>
      </c>
      <c r="S21" s="90" t="s">
        <v>67</v>
      </c>
      <c r="U21" s="1040">
        <v>50</v>
      </c>
      <c r="V21" s="1040">
        <v>3.1000000000000001E-5</v>
      </c>
      <c r="W21" s="1040">
        <v>9.1000000000000003E-5</v>
      </c>
      <c r="X21" s="1697"/>
      <c r="Y21" s="450"/>
      <c r="Z21">
        <f>Trazabilidad!E16</f>
        <v>50</v>
      </c>
      <c r="AA21">
        <f>Trazabilidad!L16</f>
        <v>2.0000000000000002E-5</v>
      </c>
      <c r="AB21">
        <f>Trazabilidad!P16</f>
        <v>9.0000000000000006E-5</v>
      </c>
      <c r="AE21" s="155">
        <v>45</v>
      </c>
      <c r="AF21" s="155" t="s">
        <v>515</v>
      </c>
      <c r="AG21" s="155" t="s">
        <v>516</v>
      </c>
      <c r="AH21" s="155"/>
    </row>
    <row r="22" spans="2:34" x14ac:dyDescent="0.2">
      <c r="B22" s="163">
        <v>5</v>
      </c>
      <c r="C22" s="418">
        <v>20.00001</v>
      </c>
      <c r="D22" s="1078" t="str">
        <f t="shared" si="0"/>
        <v>g</v>
      </c>
      <c r="G22" s="152"/>
      <c r="H22" s="1083">
        <v>5</v>
      </c>
      <c r="I22" s="418">
        <v>50.000010000000003</v>
      </c>
      <c r="J22" s="1078" t="str">
        <f t="shared" si="1"/>
        <v>g</v>
      </c>
      <c r="Q22" s="90">
        <v>1000</v>
      </c>
      <c r="R22" s="90">
        <f>1.7/1000</f>
        <v>1.6999999999999999E-3</v>
      </c>
      <c r="S22" s="90" t="s">
        <v>67</v>
      </c>
      <c r="U22" s="1040"/>
      <c r="V22" s="1040"/>
      <c r="W22" s="1040"/>
      <c r="X22" s="1698"/>
      <c r="Y22" s="450"/>
      <c r="AE22" s="155">
        <v>50</v>
      </c>
      <c r="AF22" s="155" t="s">
        <v>517</v>
      </c>
      <c r="AG22" s="155" t="s">
        <v>518</v>
      </c>
      <c r="AH22" s="155"/>
    </row>
    <row r="23" spans="2:34" x14ac:dyDescent="0.2">
      <c r="B23" s="158" t="s">
        <v>142</v>
      </c>
      <c r="C23" s="159" t="str">
        <f>IF($D$12&lt;=80,FIXED(AVERAGE($C$18:$C$22),$F$17),IF($D$12&gt;80,FIXED(AVERAGE($C$18:$C$22),$F$18),"OJO"))</f>
        <v>19,99999</v>
      </c>
      <c r="D23" s="1078" t="str">
        <f t="shared" si="0"/>
        <v>g</v>
      </c>
      <c r="H23" s="158" t="s">
        <v>142</v>
      </c>
      <c r="I23" s="159" t="str">
        <f>IF($D$13&lt;=80,FIXED(AVERAGE($I$18:$I$22),$F$17),IF($D$13&gt;80,FIXED(AVERAGE($I$18:$I$22),$F$18),"OJO"))</f>
        <v>49,99999</v>
      </c>
      <c r="J23" s="1078" t="str">
        <f t="shared" si="1"/>
        <v>g</v>
      </c>
      <c r="Q23" s="90">
        <v>5000</v>
      </c>
      <c r="R23" s="90">
        <f>8.3/1000</f>
        <v>8.3000000000000001E-3</v>
      </c>
      <c r="S23" s="90" t="s">
        <v>67</v>
      </c>
      <c r="U23" s="1040">
        <v>51</v>
      </c>
      <c r="V23" s="1040">
        <v>6.9999999999999994E-5</v>
      </c>
      <c r="W23" s="1040">
        <v>1.1E-4</v>
      </c>
      <c r="X23" s="1696" t="str">
        <f>H6</f>
        <v>TM464-25A</v>
      </c>
      <c r="Z23">
        <f>Trazabilidad!E21</f>
        <v>51.000039999999998</v>
      </c>
      <c r="AA23">
        <f>Trazabilidad!L21</f>
        <v>-4.0000000000000003E-5</v>
      </c>
      <c r="AB23">
        <f>Trazabilidad!P21</f>
        <v>1.2E-4</v>
      </c>
      <c r="AE23" s="155">
        <v>0</v>
      </c>
      <c r="AF23" s="155">
        <v>0</v>
      </c>
      <c r="AG23" s="155">
        <v>2.8E-5</v>
      </c>
      <c r="AH23" s="155" t="s">
        <v>497</v>
      </c>
    </row>
    <row r="24" spans="2:34" x14ac:dyDescent="0.2">
      <c r="B24" s="158" t="s">
        <v>143</v>
      </c>
      <c r="C24" s="160" t="str">
        <f>IF($D$12&lt;=80,FIXED(STDEVA($C$18:$C$22),$F$17),IF($D$12&gt;80,FIXED(STDEVA($C$18:$C$22),$F$18),"OJO"))</f>
        <v>0,00002</v>
      </c>
      <c r="D24" s="1078" t="str">
        <f t="shared" si="0"/>
        <v>g</v>
      </c>
      <c r="H24" s="158" t="s">
        <v>143</v>
      </c>
      <c r="I24" s="160" t="str">
        <f>IF($D$13&lt;=80,FIXED(STDEVA($I$18:$I$22),$F$17),IF($D$13&gt;80,FIXED(STDEVA($I$18:$I$22),$F$18),"OJO"))</f>
        <v>0,00002</v>
      </c>
      <c r="J24" s="1078" t="str">
        <f t="shared" si="1"/>
        <v>g</v>
      </c>
      <c r="Q24" s="90">
        <v>10000</v>
      </c>
      <c r="R24" s="90">
        <f>17/1000</f>
        <v>1.7000000000000001E-2</v>
      </c>
      <c r="S24" s="90" t="s">
        <v>67</v>
      </c>
      <c r="U24" s="1040">
        <v>55</v>
      </c>
      <c r="V24" s="1040">
        <v>6.0000000000000002E-5</v>
      </c>
      <c r="W24" s="1040">
        <v>1.2E-4</v>
      </c>
      <c r="X24" s="1697"/>
      <c r="Z24">
        <f>Trazabilidad!E22</f>
        <v>65.000050000000002</v>
      </c>
      <c r="AA24">
        <f>Trazabilidad!L22</f>
        <v>-5.0000000000000002E-5</v>
      </c>
      <c r="AB24">
        <f>Trazabilidad!P22</f>
        <v>1.4999999999999999E-4</v>
      </c>
      <c r="AE24" s="155">
        <v>1E-3</v>
      </c>
      <c r="AF24" s="155">
        <v>1.0000000000000001E-5</v>
      </c>
      <c r="AG24" s="155">
        <v>2.8E-5</v>
      </c>
      <c r="AH24" s="155"/>
    </row>
    <row r="25" spans="2:34" ht="13.5" thickBot="1" x14ac:dyDescent="0.25">
      <c r="Q25" s="90">
        <v>20000</v>
      </c>
      <c r="R25" s="90">
        <f>33/1000</f>
        <v>3.3000000000000002E-2</v>
      </c>
      <c r="S25" s="90" t="s">
        <v>67</v>
      </c>
      <c r="U25" s="1040">
        <v>60</v>
      </c>
      <c r="V25" s="1040">
        <v>6.0000000000000002E-5</v>
      </c>
      <c r="W25" s="1040">
        <v>1.2999999999999999E-4</v>
      </c>
      <c r="X25" s="1697"/>
      <c r="Z25">
        <f>Trazabilidad!E23</f>
        <v>85.000050000000002</v>
      </c>
      <c r="AA25">
        <f>Trazabilidad!L23</f>
        <v>-5.0000000000000002E-5</v>
      </c>
      <c r="AB25">
        <f>Trazabilidad!P23</f>
        <v>2.0000000000000001E-4</v>
      </c>
      <c r="AE25" s="155">
        <v>20</v>
      </c>
      <c r="AF25" s="155" t="s">
        <v>519</v>
      </c>
      <c r="AG25" s="155" t="s">
        <v>520</v>
      </c>
      <c r="AH25" s="155"/>
    </row>
    <row r="26" spans="2:34" ht="13.5" thickBot="1" x14ac:dyDescent="0.25">
      <c r="B26" s="1670" t="s">
        <v>277</v>
      </c>
      <c r="C26" s="1671"/>
      <c r="D26" s="1672"/>
      <c r="H26" s="1670" t="s">
        <v>277</v>
      </c>
      <c r="I26" s="1671"/>
      <c r="J26" s="1672"/>
      <c r="L26" s="1664" t="s">
        <v>288</v>
      </c>
      <c r="M26" s="1665"/>
      <c r="N26" s="1665"/>
      <c r="O26" s="1666"/>
      <c r="U26" s="1040">
        <v>70</v>
      </c>
      <c r="V26" s="1040">
        <v>2.3000000000000001E-4</v>
      </c>
      <c r="W26" s="1040">
        <v>1.2999999999999999E-4</v>
      </c>
      <c r="X26" s="1697"/>
      <c r="Z26">
        <f>Trazabilidad!E24</f>
        <v>99.999989999999997</v>
      </c>
      <c r="AA26">
        <f>Trazabilidad!L24</f>
        <v>1.0000000000000001E-5</v>
      </c>
      <c r="AB26">
        <f>Trazabilidad!P24</f>
        <v>1.6000000000000001E-4</v>
      </c>
      <c r="AE26" s="155">
        <v>40</v>
      </c>
      <c r="AF26" s="155" t="s">
        <v>521</v>
      </c>
      <c r="AG26" s="155" t="s">
        <v>522</v>
      </c>
      <c r="AH26" s="155"/>
    </row>
    <row r="27" spans="2:34" ht="15" x14ac:dyDescent="0.25">
      <c r="B27" s="1673" t="s">
        <v>139</v>
      </c>
      <c r="C27" s="1674"/>
      <c r="D27" s="1675"/>
      <c r="F27" s="154"/>
      <c r="H27" s="1667" t="s">
        <v>140</v>
      </c>
      <c r="I27" s="1668"/>
      <c r="J27" s="1669"/>
      <c r="L27" s="1653" t="s">
        <v>276</v>
      </c>
      <c r="M27" s="1654"/>
      <c r="N27" s="1654"/>
      <c r="O27" s="1655"/>
      <c r="U27" s="1040">
        <v>100</v>
      </c>
      <c r="V27" s="1040">
        <v>2.0000000000000001E-4</v>
      </c>
      <c r="W27" s="1040">
        <v>1.3999999999999999E-4</v>
      </c>
      <c r="X27" s="1697"/>
      <c r="Z27">
        <f>Trazabilidad!E25</f>
        <v>119.99999</v>
      </c>
      <c r="AA27">
        <f>Trazabilidad!L25</f>
        <v>1.1E-4</v>
      </c>
      <c r="AB27">
        <f>Trazabilidad!P25</f>
        <v>2.0000000000000001E-4</v>
      </c>
      <c r="AE27" s="155">
        <v>60</v>
      </c>
      <c r="AF27" s="155" t="s">
        <v>523</v>
      </c>
      <c r="AG27" s="155" t="s">
        <v>524</v>
      </c>
      <c r="AH27" s="155"/>
    </row>
    <row r="28" spans="2:34" x14ac:dyDescent="0.2">
      <c r="B28" s="1081" t="s">
        <v>281</v>
      </c>
      <c r="C28" s="161" t="s">
        <v>134</v>
      </c>
      <c r="D28" s="162" t="s">
        <v>275</v>
      </c>
      <c r="H28" s="1081" t="s">
        <v>281</v>
      </c>
      <c r="I28" s="161" t="s">
        <v>134</v>
      </c>
      <c r="J28" s="162" t="s">
        <v>275</v>
      </c>
      <c r="L28" s="1653" t="s">
        <v>282</v>
      </c>
      <c r="M28" s="1655"/>
      <c r="N28" s="1653" t="s">
        <v>283</v>
      </c>
      <c r="O28" s="1655"/>
      <c r="U28" s="1040">
        <v>105</v>
      </c>
      <c r="V28" s="1040">
        <v>9.0000000000000006E-5</v>
      </c>
      <c r="W28" s="1040">
        <v>1.6000000000000001E-4</v>
      </c>
      <c r="X28" s="1697"/>
      <c r="Z28">
        <f>Trazabilidad!E26</f>
        <v>130.00002000000001</v>
      </c>
      <c r="AA28">
        <f>Trazabilidad!L26</f>
        <v>-2.0000000000000002E-5</v>
      </c>
      <c r="AB28">
        <f>Trazabilidad!P26</f>
        <v>2.3000000000000001E-4</v>
      </c>
      <c r="AE28" s="155">
        <v>80</v>
      </c>
      <c r="AF28" s="155" t="s">
        <v>519</v>
      </c>
      <c r="AG28" s="155" t="s">
        <v>522</v>
      </c>
      <c r="AH28" s="155"/>
    </row>
    <row r="29" spans="2:34" x14ac:dyDescent="0.2">
      <c r="B29" s="163">
        <v>1</v>
      </c>
      <c r="C29" s="418">
        <v>19.999980000000001</v>
      </c>
      <c r="D29" s="1078" t="str">
        <f>IF(ISBLANK($E$12),"OJO",$E$12)</f>
        <v>g</v>
      </c>
      <c r="H29" s="1083">
        <v>1</v>
      </c>
      <c r="I29" s="418">
        <v>49.999980000000001</v>
      </c>
      <c r="J29" s="1078" t="str">
        <f>IF(ISBLANK($E$12),"OJO",$E$12)</f>
        <v>g</v>
      </c>
      <c r="L29" s="56">
        <f>A5</f>
        <v>1E-4</v>
      </c>
      <c r="M29" s="164">
        <f>C23-K12</f>
        <v>-9.9999999996214228E-6</v>
      </c>
      <c r="N29" s="56">
        <f>C5</f>
        <v>1E-4</v>
      </c>
      <c r="O29" s="164">
        <f>I23-K13</f>
        <v>-1.0000000003174137E-5</v>
      </c>
      <c r="U29" s="1040">
        <v>110</v>
      </c>
      <c r="V29" s="1040">
        <v>1.9000000000000001E-4</v>
      </c>
      <c r="W29" s="1040">
        <v>1.6000000000000001E-4</v>
      </c>
      <c r="X29" s="1697"/>
      <c r="Z29">
        <f>Trazabilidad!E27</f>
        <v>150.00002000000001</v>
      </c>
      <c r="AA29">
        <f>Trazabilidad!L27</f>
        <v>8.0000000000000007E-5</v>
      </c>
      <c r="AB29">
        <f>Trazabilidad!P27</f>
        <v>2.3000000000000001E-4</v>
      </c>
      <c r="AE29" s="155">
        <v>100</v>
      </c>
      <c r="AF29" s="155" t="s">
        <v>525</v>
      </c>
      <c r="AG29" s="155" t="s">
        <v>526</v>
      </c>
      <c r="AH29" s="155"/>
    </row>
    <row r="30" spans="2:34" x14ac:dyDescent="0.2">
      <c r="B30" s="163">
        <v>2</v>
      </c>
      <c r="C30" s="418">
        <v>20</v>
      </c>
      <c r="D30" s="1078" t="str">
        <f t="shared" ref="D30:D35" si="2">IF(ISBLANK($E$12),"OJO",$E$12)</f>
        <v>g</v>
      </c>
      <c r="H30" s="1083">
        <v>2</v>
      </c>
      <c r="I30" s="418">
        <v>49.999989999999997</v>
      </c>
      <c r="J30" s="1078" t="str">
        <f t="shared" ref="J30:J35" si="3">IF(ISBLANK($E$12),"OJO",$E$12)</f>
        <v>g</v>
      </c>
      <c r="L30" s="90" t="s">
        <v>287</v>
      </c>
      <c r="M30" s="56" t="str">
        <f>IF(M29&lt;=L29,"CONTINUE","AJUSTE")</f>
        <v>CONTINUE</v>
      </c>
      <c r="N30" s="90" t="s">
        <v>287</v>
      </c>
      <c r="O30" s="56" t="str">
        <f>IF(O29&lt;=N29,"CONTINUE","AJUSTE")</f>
        <v>CONTINUE</v>
      </c>
      <c r="U30" s="1040">
        <v>120</v>
      </c>
      <c r="V30" s="1040">
        <v>2.5999999999999998E-4</v>
      </c>
      <c r="W30" s="1040">
        <v>1.8000000000000001E-4</v>
      </c>
      <c r="X30" s="1697"/>
      <c r="Z30">
        <f>Trazabilidad!E28</f>
        <v>170.00003000000001</v>
      </c>
      <c r="AA30">
        <f>Trazabilidad!L28</f>
        <v>-3.0000000000000001E-5</v>
      </c>
      <c r="AB30">
        <f>Trazabilidad!P28</f>
        <v>2.7E-4</v>
      </c>
      <c r="AE30" s="155">
        <v>120</v>
      </c>
      <c r="AF30" s="155" t="s">
        <v>527</v>
      </c>
      <c r="AG30" s="155" t="s">
        <v>526</v>
      </c>
      <c r="AH30" s="155"/>
    </row>
    <row r="31" spans="2:34" x14ac:dyDescent="0.2">
      <c r="B31" s="163">
        <v>3</v>
      </c>
      <c r="C31" s="418">
        <v>19.999970000000001</v>
      </c>
      <c r="D31" s="1078" t="str">
        <f t="shared" si="2"/>
        <v>g</v>
      </c>
      <c r="H31" s="1083">
        <v>3</v>
      </c>
      <c r="I31" s="418">
        <v>50.000019999999999</v>
      </c>
      <c r="J31" s="1078" t="str">
        <f t="shared" si="3"/>
        <v>g</v>
      </c>
      <c r="L31" s="1653" t="s">
        <v>277</v>
      </c>
      <c r="M31" s="1654"/>
      <c r="N31" s="1654"/>
      <c r="O31" s="1655"/>
      <c r="U31" s="1040">
        <v>150</v>
      </c>
      <c r="V31" s="1040">
        <v>2.7E-4</v>
      </c>
      <c r="W31" s="1040">
        <v>2.0000000000000001E-4</v>
      </c>
      <c r="X31" s="1697"/>
      <c r="Z31">
        <f>Trazabilidad!E29</f>
        <v>180.00004999999999</v>
      </c>
      <c r="AA31">
        <f>Trazabilidad!L29</f>
        <v>5.0000000000000002E-5</v>
      </c>
      <c r="AB31">
        <f>Trazabilidad!P29</f>
        <v>2.9999999999999997E-4</v>
      </c>
      <c r="AE31" s="155">
        <v>150</v>
      </c>
      <c r="AF31" s="155" t="s">
        <v>528</v>
      </c>
      <c r="AG31" s="155" t="s">
        <v>529</v>
      </c>
      <c r="AH31" s="155"/>
    </row>
    <row r="32" spans="2:34" x14ac:dyDescent="0.2">
      <c r="B32" s="163">
        <v>4</v>
      </c>
      <c r="C32" s="418">
        <v>20</v>
      </c>
      <c r="D32" s="1078" t="str">
        <f t="shared" si="2"/>
        <v>g</v>
      </c>
      <c r="H32" s="1083">
        <v>4</v>
      </c>
      <c r="I32" s="418">
        <v>49.999969999999998</v>
      </c>
      <c r="J32" s="1078" t="str">
        <f t="shared" si="3"/>
        <v>g</v>
      </c>
      <c r="L32" s="1653" t="s">
        <v>282</v>
      </c>
      <c r="M32" s="1655"/>
      <c r="N32" s="1653" t="s">
        <v>283</v>
      </c>
      <c r="O32" s="1655"/>
      <c r="U32" s="1040">
        <v>200</v>
      </c>
      <c r="V32" s="1040">
        <v>2.4000000000000001E-4</v>
      </c>
      <c r="W32" s="1040">
        <v>2.4000000000000001E-4</v>
      </c>
      <c r="X32" s="1697"/>
      <c r="Z32">
        <f>Trazabilidad!E30</f>
        <v>209.99996999999999</v>
      </c>
      <c r="AA32">
        <f>Trazabilidad!L30</f>
        <v>-6.9999999999999994E-5</v>
      </c>
      <c r="AB32">
        <f>Trazabilidad!P30</f>
        <v>3.1E-4</v>
      </c>
      <c r="AE32" s="155">
        <v>170</v>
      </c>
      <c r="AF32" s="155" t="s">
        <v>530</v>
      </c>
      <c r="AG32" s="155" t="s">
        <v>531</v>
      </c>
      <c r="AH32" s="155"/>
    </row>
    <row r="33" spans="2:34" x14ac:dyDescent="0.2">
      <c r="B33" s="163">
        <v>5</v>
      </c>
      <c r="C33" s="418">
        <v>20.00001</v>
      </c>
      <c r="D33" s="1078" t="str">
        <f t="shared" si="2"/>
        <v>g</v>
      </c>
      <c r="H33" s="1083">
        <v>5</v>
      </c>
      <c r="I33" s="418">
        <v>50.000010000000003</v>
      </c>
      <c r="J33" s="1078" t="str">
        <f t="shared" si="3"/>
        <v>g</v>
      </c>
      <c r="L33" s="56">
        <f>A5</f>
        <v>1E-4</v>
      </c>
      <c r="M33" s="164">
        <f>C34-K12</f>
        <v>-9.9999999996214228E-6</v>
      </c>
      <c r="N33" s="56">
        <f>C5</f>
        <v>1E-4</v>
      </c>
      <c r="O33" s="164">
        <f>I34-K13</f>
        <v>-1.0000000003174137E-5</v>
      </c>
      <c r="U33" s="1040">
        <v>220</v>
      </c>
      <c r="V33" s="1040">
        <v>1E-4</v>
      </c>
      <c r="W33" s="1040">
        <v>2.7999999999999998E-4</v>
      </c>
      <c r="X33" s="1697"/>
      <c r="Z33">
        <f>Trazabilidad!E31</f>
        <v>219.99995999999999</v>
      </c>
      <c r="AA33">
        <f>Trazabilidad!L31</f>
        <v>-6.0000000000000002E-5</v>
      </c>
      <c r="AB33">
        <f>Trazabilidad!P31</f>
        <v>3.3E-4</v>
      </c>
      <c r="AE33" s="155">
        <v>190</v>
      </c>
      <c r="AF33" s="155" t="s">
        <v>528</v>
      </c>
      <c r="AG33" s="155" t="s">
        <v>532</v>
      </c>
      <c r="AH33" s="155"/>
    </row>
    <row r="34" spans="2:34" x14ac:dyDescent="0.2">
      <c r="B34" s="158" t="s">
        <v>142</v>
      </c>
      <c r="C34" s="159" t="str">
        <f>IF($D$12&lt;=80,FIXED(AVERAGE($C$29:$C$33),$F$17),IF($D$12&gt;80,FIXED(AVERAGE($C$29:$C$33),$F$18),"OJO"))</f>
        <v>19,99999</v>
      </c>
      <c r="D34" s="1078" t="str">
        <f t="shared" si="2"/>
        <v>g</v>
      </c>
      <c r="H34" s="158" t="s">
        <v>142</v>
      </c>
      <c r="I34" s="159" t="str">
        <f>IF($D$13&lt;=80,FIXED(AVERAGE($I$29:$I$33),$F$17),IF($D$13&gt;80,FIXED(AVERAGE($I$29:$I$33),$F$18),"OJO"))</f>
        <v>49,99999</v>
      </c>
      <c r="J34" s="1078" t="str">
        <f t="shared" si="3"/>
        <v>g</v>
      </c>
      <c r="L34" s="165" t="s">
        <v>287</v>
      </c>
      <c r="M34" s="56" t="str">
        <f>IF(M33&lt;=L33,"CONTINUE","AJUSTE")</f>
        <v>CONTINUE</v>
      </c>
      <c r="N34" s="165" t="s">
        <v>287</v>
      </c>
      <c r="O34" s="56" t="str">
        <f>IF(O33&lt;=N33,"CONTINUE","AJUSTE")</f>
        <v>CONTINUE</v>
      </c>
      <c r="U34" s="1041"/>
      <c r="V34" s="1041"/>
      <c r="W34" s="1041"/>
      <c r="X34" s="1698"/>
      <c r="AE34" s="155">
        <v>210</v>
      </c>
      <c r="AF34" s="155" t="s">
        <v>533</v>
      </c>
      <c r="AG34" s="155" t="s">
        <v>529</v>
      </c>
      <c r="AH34" s="155"/>
    </row>
    <row r="35" spans="2:34" x14ac:dyDescent="0.2">
      <c r="B35" s="158" t="s">
        <v>143</v>
      </c>
      <c r="C35" s="160" t="str">
        <f>IF($D$12&lt;=80,FIXED(STDEVA($C$29:$C$33),$F$17),IF($D$12&gt;80,FIXED(STDEVA($C$29:$C$33),$F$18),"OJO"))</f>
        <v>0,00002</v>
      </c>
      <c r="D35" s="1078" t="str">
        <f t="shared" si="2"/>
        <v>g</v>
      </c>
      <c r="H35" s="158" t="s">
        <v>143</v>
      </c>
      <c r="I35" s="160" t="str">
        <f>IF($D$13&lt;=80,FIXED(STDEVA($I$29:$I$33),$F$17),IF($D$13&gt;80,FIXED(STDEVA($I$29:$I$33),$F$18),"OJO"))</f>
        <v>0,00002</v>
      </c>
      <c r="J35" s="1078" t="str">
        <f t="shared" si="3"/>
        <v>g</v>
      </c>
      <c r="U35" s="1040">
        <v>0</v>
      </c>
      <c r="V35" s="1040">
        <v>0</v>
      </c>
      <c r="W35" s="1040">
        <v>8.1999999999999998E-4</v>
      </c>
      <c r="X35" s="1696" t="str">
        <f>H7</f>
        <v>TM465-25A</v>
      </c>
      <c r="Z35">
        <f>Trazabilidad!E36</f>
        <v>0.1</v>
      </c>
      <c r="AA35">
        <f>Trazabilidad!L36</f>
        <v>0</v>
      </c>
      <c r="AB35">
        <f>Trazabilidad!P36</f>
        <v>1.2999999999999999E-3</v>
      </c>
      <c r="AE35" s="155">
        <v>0</v>
      </c>
      <c r="AF35" s="155">
        <v>1E-3</v>
      </c>
      <c r="AG35" s="155">
        <v>1.8E-3</v>
      </c>
      <c r="AH35" s="155" t="s">
        <v>498</v>
      </c>
    </row>
    <row r="36" spans="2:34" x14ac:dyDescent="0.2">
      <c r="U36" s="1040">
        <v>120</v>
      </c>
      <c r="V36" s="1040">
        <v>3.4000000000000002E-4</v>
      </c>
      <c r="W36" s="1040">
        <v>9.2000000000000003E-4</v>
      </c>
      <c r="X36" s="1697"/>
      <c r="Z36">
        <f>Trazabilidad!E37</f>
        <v>120</v>
      </c>
      <c r="AA36">
        <f>Trazabilidad!L37</f>
        <v>1E-3</v>
      </c>
      <c r="AB36">
        <f>Trazabilidad!P37</f>
        <v>1.4E-3</v>
      </c>
      <c r="AE36" s="155">
        <v>100</v>
      </c>
      <c r="AF36" s="155">
        <v>1E-3</v>
      </c>
      <c r="AG36" s="155">
        <v>1.8E-3</v>
      </c>
      <c r="AH36" s="155"/>
    </row>
    <row r="37" spans="2:34" x14ac:dyDescent="0.2">
      <c r="L37" s="1682" t="s">
        <v>292</v>
      </c>
      <c r="M37" s="1683"/>
      <c r="N37" s="1683"/>
      <c r="O37" s="1684"/>
      <c r="U37" s="1040">
        <v>250</v>
      </c>
      <c r="V37" s="1040">
        <v>2.0000000000000001E-4</v>
      </c>
      <c r="W37" s="1040">
        <v>1.1000000000000001E-3</v>
      </c>
      <c r="X37" s="1697"/>
      <c r="Z37">
        <f>Trazabilidad!E38</f>
        <v>249.9999</v>
      </c>
      <c r="AA37">
        <f>Trazabilidad!L38</f>
        <v>1E-4</v>
      </c>
      <c r="AB37">
        <f>Trazabilidad!P38</f>
        <v>1.5E-3</v>
      </c>
      <c r="AE37" s="155">
        <v>300</v>
      </c>
      <c r="AF37" s="155">
        <v>1E-3</v>
      </c>
      <c r="AG37" s="155">
        <v>1.8E-3</v>
      </c>
      <c r="AH37" s="155"/>
    </row>
    <row r="38" spans="2:34" x14ac:dyDescent="0.2">
      <c r="L38" s="1653" t="s">
        <v>276</v>
      </c>
      <c r="M38" s="1654"/>
      <c r="N38" s="1654"/>
      <c r="O38" s="1655"/>
      <c r="U38" s="1040">
        <v>350</v>
      </c>
      <c r="V38" s="1040">
        <v>-5.0000000000000001E-4</v>
      </c>
      <c r="W38" s="1040">
        <v>1.2999999999999999E-3</v>
      </c>
      <c r="X38" s="1697"/>
      <c r="Z38">
        <f>Trazabilidad!E39</f>
        <v>349.99990000000003</v>
      </c>
      <c r="AA38">
        <f>Trazabilidad!L39</f>
        <v>1E-4</v>
      </c>
      <c r="AB38">
        <f>Trazabilidad!P39</f>
        <v>1.6000000000000001E-3</v>
      </c>
      <c r="AE38" s="155">
        <v>400</v>
      </c>
      <c r="AF38" s="155">
        <v>0</v>
      </c>
      <c r="AG38" s="155">
        <v>1.9E-3</v>
      </c>
      <c r="AH38" s="155"/>
    </row>
    <row r="39" spans="2:34" x14ac:dyDescent="0.2">
      <c r="L39" s="1653" t="s">
        <v>282</v>
      </c>
      <c r="M39" s="1655"/>
      <c r="N39" s="1653" t="s">
        <v>283</v>
      </c>
      <c r="O39" s="1655"/>
      <c r="U39" s="1040">
        <v>500</v>
      </c>
      <c r="V39" s="1040">
        <v>1E-4</v>
      </c>
      <c r="W39" s="1040">
        <v>1.6000000000000001E-3</v>
      </c>
      <c r="X39" s="1697"/>
      <c r="Z39">
        <f>Trazabilidad!E40</f>
        <v>500</v>
      </c>
      <c r="AA39">
        <f>Trazabilidad!L40</f>
        <v>0</v>
      </c>
      <c r="AB39">
        <f>Trazabilidad!P40</f>
        <v>1.9E-3</v>
      </c>
      <c r="AE39" s="155">
        <v>500</v>
      </c>
      <c r="AF39" s="155">
        <v>0</v>
      </c>
      <c r="AG39" s="155">
        <v>1.9E-3</v>
      </c>
      <c r="AH39" s="155"/>
    </row>
    <row r="40" spans="2:34" x14ac:dyDescent="0.2">
      <c r="L40" s="56">
        <f>IF(D12&lt;=20,A9,C9)</f>
        <v>1E-4</v>
      </c>
      <c r="M40" s="164" t="str">
        <f>C24</f>
        <v>0,00002</v>
      </c>
      <c r="N40" s="56">
        <f>C9</f>
        <v>1E-4</v>
      </c>
      <c r="O40" s="164" t="str">
        <f>I24</f>
        <v>0,00002</v>
      </c>
      <c r="U40" s="1040">
        <v>600</v>
      </c>
      <c r="V40" s="1040">
        <v>4.0000000000000002E-4</v>
      </c>
      <c r="W40" s="1040">
        <v>1.9E-3</v>
      </c>
      <c r="X40" s="1697"/>
      <c r="Z40">
        <f>Trazabilidad!E41</f>
        <v>600.00009999999997</v>
      </c>
      <c r="AA40">
        <f>Trazabilidad!L41</f>
        <v>-1E-4</v>
      </c>
      <c r="AB40">
        <f>Trazabilidad!P41</f>
        <v>2.0999999999999999E-3</v>
      </c>
      <c r="AE40" s="155">
        <v>700</v>
      </c>
      <c r="AF40" s="155">
        <v>0</v>
      </c>
      <c r="AG40" s="155">
        <v>2E-3</v>
      </c>
      <c r="AH40" s="155"/>
    </row>
    <row r="41" spans="2:34" x14ac:dyDescent="0.2">
      <c r="L41" s="165" t="s">
        <v>287</v>
      </c>
      <c r="M41" s="56" t="str">
        <f>IF(M40&lt;=L40,"CONTINUE","AJUSTE")</f>
        <v>AJUSTE</v>
      </c>
      <c r="N41" s="90" t="s">
        <v>287</v>
      </c>
      <c r="O41" s="56" t="str">
        <f>IF(O40&lt;=N40,"CONTINUE","AJUSTE")</f>
        <v>AJUSTE</v>
      </c>
      <c r="U41" s="1040">
        <v>700</v>
      </c>
      <c r="V41" s="1040">
        <v>1.4E-3</v>
      </c>
      <c r="W41" s="1040">
        <v>2.2000000000000001E-3</v>
      </c>
      <c r="X41" s="1697"/>
      <c r="Z41">
        <f>Trazabilidad!E42</f>
        <v>700</v>
      </c>
      <c r="AA41">
        <f>Trazabilidad!L42</f>
        <v>0</v>
      </c>
      <c r="AB41">
        <f>Trazabilidad!P42</f>
        <v>2.3E-3</v>
      </c>
      <c r="AE41" s="155">
        <v>800</v>
      </c>
      <c r="AF41" s="155">
        <v>0</v>
      </c>
      <c r="AG41" s="155">
        <v>2E-3</v>
      </c>
      <c r="AH41" s="155"/>
    </row>
    <row r="42" spans="2:34" x14ac:dyDescent="0.2">
      <c r="L42" s="1653" t="s">
        <v>277</v>
      </c>
      <c r="M42" s="1654"/>
      <c r="N42" s="1654"/>
      <c r="O42" s="1655"/>
      <c r="U42" s="1040">
        <v>800</v>
      </c>
      <c r="V42" s="1040">
        <v>1.6000000000000001E-3</v>
      </c>
      <c r="W42" s="1040">
        <v>2.3999999999999998E-3</v>
      </c>
      <c r="X42" s="1697"/>
      <c r="Z42">
        <f>Trazabilidad!E43</f>
        <v>800</v>
      </c>
      <c r="AA42">
        <f>Trazabilidad!L43</f>
        <v>0</v>
      </c>
      <c r="AB42">
        <f>Trazabilidad!P43</f>
        <v>2.5999999999999999E-3</v>
      </c>
      <c r="AE42" s="155">
        <v>900</v>
      </c>
      <c r="AF42" s="155">
        <v>-1E-3</v>
      </c>
      <c r="AG42" s="155">
        <v>2.0999999999999999E-3</v>
      </c>
      <c r="AH42" s="155"/>
    </row>
    <row r="43" spans="2:34" x14ac:dyDescent="0.2">
      <c r="L43" s="1653" t="s">
        <v>282</v>
      </c>
      <c r="M43" s="1655"/>
      <c r="N43" s="1653" t="s">
        <v>283</v>
      </c>
      <c r="O43" s="1655"/>
      <c r="U43" s="1040">
        <v>1000</v>
      </c>
      <c r="V43" s="1040">
        <v>5.0000000000000001E-4</v>
      </c>
      <c r="W43" s="1040">
        <v>3.0000000000000001E-3</v>
      </c>
      <c r="X43" s="1697"/>
      <c r="Z43">
        <f>Trazabilidad!E44</f>
        <v>999.99929999999995</v>
      </c>
      <c r="AA43">
        <f>Trazabilidad!L44</f>
        <v>6.9999999999999999E-4</v>
      </c>
      <c r="AB43">
        <f>Trazabilidad!P44</f>
        <v>3.0999999999999999E-3</v>
      </c>
      <c r="AE43" s="155">
        <v>1010</v>
      </c>
      <c r="AF43" s="155">
        <v>0</v>
      </c>
      <c r="AG43" s="155">
        <v>2.3E-3</v>
      </c>
      <c r="AH43" s="155"/>
    </row>
    <row r="44" spans="2:34" x14ac:dyDescent="0.2">
      <c r="L44" s="56">
        <f>IF(D12&lt;=20,A9,C9)</f>
        <v>1E-4</v>
      </c>
      <c r="M44" s="164" t="str">
        <f>C35</f>
        <v>0,00002</v>
      </c>
      <c r="N44" s="56">
        <f>C9</f>
        <v>1E-4</v>
      </c>
      <c r="O44" s="164" t="str">
        <f>I35</f>
        <v>0,00002</v>
      </c>
      <c r="U44" s="1040">
        <v>1100</v>
      </c>
      <c r="V44" s="1040">
        <v>8.0000000000000004E-4</v>
      </c>
      <c r="W44" s="1040">
        <v>3.3E-3</v>
      </c>
      <c r="X44" s="1697"/>
      <c r="Z44">
        <f>Trazabilidad!E45</f>
        <v>1099.9992999999999</v>
      </c>
      <c r="AA44">
        <f>Trazabilidad!L45</f>
        <v>6.9999999999999999E-4</v>
      </c>
      <c r="AB44">
        <f>Trazabilidad!P45</f>
        <v>3.3999999999999998E-3</v>
      </c>
      <c r="AE44" s="155">
        <v>1200</v>
      </c>
      <c r="AF44" s="155">
        <v>-2E-3</v>
      </c>
      <c r="AG44" s="155">
        <v>2.3999999999999998E-3</v>
      </c>
      <c r="AH44" s="155"/>
    </row>
    <row r="45" spans="2:34" x14ac:dyDescent="0.2">
      <c r="L45" s="165" t="s">
        <v>287</v>
      </c>
      <c r="M45" s="56" t="str">
        <f>IF(M44&gt;=L44,"CONTINUE","AJUSTE")</f>
        <v>CONTINUE</v>
      </c>
      <c r="N45" s="165" t="s">
        <v>287</v>
      </c>
      <c r="O45" s="56" t="str">
        <f>IF(O44&gt;=N44,"CONTINUE","AJUSTE")</f>
        <v>CONTINUE</v>
      </c>
      <c r="U45" s="56">
        <v>1200</v>
      </c>
      <c r="V45" s="56">
        <v>-2.9999999999999997E-4</v>
      </c>
      <c r="W45" s="56">
        <v>3.5999999999999999E-3</v>
      </c>
      <c r="X45" s="1698"/>
      <c r="Z45">
        <f>Trazabilidad!E46</f>
        <v>1199.9992</v>
      </c>
      <c r="AA45">
        <f>Trazabilidad!L46</f>
        <v>-2.0000000000000001E-4</v>
      </c>
      <c r="AB45">
        <f>Trazabilidad!P46</f>
        <v>3.7000000000000002E-3</v>
      </c>
      <c r="AE45" s="155"/>
      <c r="AF45" s="155"/>
      <c r="AG45" s="155"/>
      <c r="AH45" s="155"/>
    </row>
  </sheetData>
  <sheetProtection password="CB3C" sheet="1" objects="1" scenarios="1"/>
  <mergeCells count="50">
    <mergeCell ref="X35:X45"/>
    <mergeCell ref="X11:X22"/>
    <mergeCell ref="X23:X34"/>
    <mergeCell ref="A1:O1"/>
    <mergeCell ref="A11:C11"/>
    <mergeCell ref="H11:J11"/>
    <mergeCell ref="K11:L11"/>
    <mergeCell ref="A12:C12"/>
    <mergeCell ref="K12:L12"/>
    <mergeCell ref="A3:D3"/>
    <mergeCell ref="A4:B4"/>
    <mergeCell ref="C4:D4"/>
    <mergeCell ref="A7:D7"/>
    <mergeCell ref="H3:J3"/>
    <mergeCell ref="L3:N3"/>
    <mergeCell ref="J5:J7"/>
    <mergeCell ref="B16:D16"/>
    <mergeCell ref="H16:J16"/>
    <mergeCell ref="L16:N16"/>
    <mergeCell ref="L37:O37"/>
    <mergeCell ref="H12:J12"/>
    <mergeCell ref="H13:J13"/>
    <mergeCell ref="L31:O31"/>
    <mergeCell ref="L32:M32"/>
    <mergeCell ref="N32:O32"/>
    <mergeCell ref="H26:J26"/>
    <mergeCell ref="L17:N19"/>
    <mergeCell ref="L42:O42"/>
    <mergeCell ref="L43:M43"/>
    <mergeCell ref="N43:O43"/>
    <mergeCell ref="Q11:S11"/>
    <mergeCell ref="A8:B8"/>
    <mergeCell ref="C8:D8"/>
    <mergeCell ref="L27:O27"/>
    <mergeCell ref="N28:O28"/>
    <mergeCell ref="L28:M28"/>
    <mergeCell ref="L26:O26"/>
    <mergeCell ref="H27:J27"/>
    <mergeCell ref="H15:J15"/>
    <mergeCell ref="B27:D27"/>
    <mergeCell ref="B15:D15"/>
    <mergeCell ref="B26:D26"/>
    <mergeCell ref="A13:C13"/>
    <mergeCell ref="P3:S3"/>
    <mergeCell ref="L38:O38"/>
    <mergeCell ref="L39:M39"/>
    <mergeCell ref="N39:O39"/>
    <mergeCell ref="K13:L13"/>
    <mergeCell ref="R5:R7"/>
    <mergeCell ref="N5:N7"/>
  </mergeCells>
  <conditionalFormatting sqref="C18:C22">
    <cfRule type="containsBlanks" dxfId="11" priority="7">
      <formula>LEN(TRIM(C18))=0</formula>
    </cfRule>
  </conditionalFormatting>
  <conditionalFormatting sqref="C29:C33">
    <cfRule type="containsBlanks" dxfId="10" priority="2">
      <formula>LEN(TRIM(C29))=0</formula>
    </cfRule>
  </conditionalFormatting>
  <conditionalFormatting sqref="D12:D13">
    <cfRule type="containsBlanks" dxfId="9" priority="12">
      <formula>LEN(TRIM(D12))=0</formula>
    </cfRule>
  </conditionalFormatting>
  <conditionalFormatting sqref="I18:I22">
    <cfRule type="containsBlanks" dxfId="8" priority="5">
      <formula>LEN(TRIM(I18))=0</formula>
    </cfRule>
  </conditionalFormatting>
  <conditionalFormatting sqref="I29:I33">
    <cfRule type="containsBlanks" dxfId="7" priority="1">
      <formula>LEN(TRIM(I29))=0</formula>
    </cfRule>
  </conditionalFormatting>
  <conditionalFormatting sqref="M34 O34 M45 O45">
    <cfRule type="containsText" dxfId="6" priority="9" operator="containsText" text="AJUSTE">
      <formula>NOT(ISERROR(SEARCH("AJUSTE",M34)))</formula>
    </cfRule>
    <cfRule type="containsText" dxfId="5" priority="10" operator="containsText" text="CONTINUE">
      <formula>NOT(ISERROR(SEARCH("CONTINUE",M34)))</formula>
    </cfRule>
  </conditionalFormatting>
  <conditionalFormatting sqref="N12:N13">
    <cfRule type="containsBlanks" dxfId="4" priority="8">
      <formula>LEN(TRIM(N12))=0</formula>
    </cfRule>
  </conditionalFormatting>
  <dataValidations count="1">
    <dataValidation type="list" allowBlank="1" showInputMessage="1" showErrorMessage="1" sqref="F12:F13" xr:uid="{00000000-0002-0000-0800-000000000000}">
      <formula1>$T$12:$T$14</formula1>
    </dataValidation>
  </dataValidations>
  <printOptions horizontalCentered="1" verticalCentered="1"/>
  <pageMargins left="0.23622047244094491" right="0.23622047244094491" top="0.74803149606299213" bottom="0.74803149606299213" header="0.31496062992125984" footer="0.31496062992125984"/>
  <pageSetup scale="50"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8"/>
  <sheetViews>
    <sheetView topLeftCell="A44" workbookViewId="0">
      <selection activeCell="B59" sqref="B59"/>
    </sheetView>
  </sheetViews>
  <sheetFormatPr baseColWidth="10" defaultRowHeight="12.75" x14ac:dyDescent="0.2"/>
  <cols>
    <col min="1" max="1" width="13.140625" customWidth="1"/>
    <col min="2" max="2" width="17.28515625" customWidth="1"/>
    <col min="6" max="6" width="13.140625" customWidth="1"/>
  </cols>
  <sheetData>
    <row r="1" spans="1:9" x14ac:dyDescent="0.2">
      <c r="A1" s="1733" t="s">
        <v>157</v>
      </c>
      <c r="B1" s="1733"/>
    </row>
    <row r="2" spans="1:9" x14ac:dyDescent="0.2">
      <c r="A2" s="170" t="s">
        <v>158</v>
      </c>
      <c r="B2" s="1737" t="s">
        <v>784</v>
      </c>
    </row>
    <row r="3" spans="1:9" x14ac:dyDescent="0.2">
      <c r="A3" s="170" t="s">
        <v>159</v>
      </c>
      <c r="B3" s="1737" t="s">
        <v>785</v>
      </c>
    </row>
    <row r="4" spans="1:9" x14ac:dyDescent="0.2">
      <c r="A4" s="170" t="s">
        <v>160</v>
      </c>
      <c r="B4" s="1738">
        <v>7450095101</v>
      </c>
    </row>
    <row r="5" spans="1:9" x14ac:dyDescent="0.2">
      <c r="A5" s="175" t="s">
        <v>296</v>
      </c>
      <c r="B5" s="1739" t="s">
        <v>786</v>
      </c>
    </row>
    <row r="7" spans="1:9" ht="15.75" x14ac:dyDescent="0.25">
      <c r="A7" s="156"/>
      <c r="B7" s="1714" t="s">
        <v>759</v>
      </c>
      <c r="C7" s="1714"/>
      <c r="D7" s="1714"/>
      <c r="E7" s="1714"/>
      <c r="F7" s="1714"/>
      <c r="G7" s="1714"/>
      <c r="H7" s="1714"/>
      <c r="I7" s="129"/>
    </row>
    <row r="8" spans="1:9" ht="23.25" customHeight="1" x14ac:dyDescent="0.2">
      <c r="A8" s="166" t="s">
        <v>148</v>
      </c>
      <c r="B8" s="167" t="s">
        <v>149</v>
      </c>
      <c r="C8" s="1726" t="s">
        <v>150</v>
      </c>
      <c r="D8" s="1726"/>
      <c r="E8" s="1726" t="s">
        <v>151</v>
      </c>
      <c r="F8" s="1726"/>
      <c r="G8" s="1727" t="s">
        <v>152</v>
      </c>
      <c r="H8" s="1727"/>
      <c r="I8" s="130"/>
    </row>
    <row r="9" spans="1:9" x14ac:dyDescent="0.2">
      <c r="A9" s="168" t="s">
        <v>153</v>
      </c>
      <c r="B9" s="169" t="s">
        <v>111</v>
      </c>
      <c r="C9" s="1728" t="s">
        <v>154</v>
      </c>
      <c r="D9" s="1728"/>
      <c r="E9" s="1728" t="s">
        <v>155</v>
      </c>
      <c r="F9" s="1728"/>
      <c r="G9" s="1728" t="s">
        <v>156</v>
      </c>
      <c r="H9" s="1728"/>
      <c r="I9" s="130"/>
    </row>
    <row r="10" spans="1:9" x14ac:dyDescent="0.2">
      <c r="A10" s="1741">
        <v>4.09</v>
      </c>
      <c r="B10" s="1742">
        <v>20.67</v>
      </c>
      <c r="C10" s="1723">
        <v>4.3600000000000003</v>
      </c>
      <c r="D10" s="1723"/>
      <c r="E10" s="1721">
        <f>C10-A10</f>
        <v>0.27000000000000046</v>
      </c>
      <c r="F10" s="1721"/>
      <c r="G10" s="1722" t="s">
        <v>294</v>
      </c>
      <c r="H10" s="1722"/>
      <c r="I10" s="131"/>
    </row>
    <row r="11" spans="1:9" x14ac:dyDescent="0.2">
      <c r="A11" s="1740">
        <v>4.09</v>
      </c>
      <c r="B11" s="1742">
        <v>20.67</v>
      </c>
      <c r="C11" s="1723">
        <v>4.3600000000000003</v>
      </c>
      <c r="D11" s="1723"/>
      <c r="E11" s="1721">
        <f>C11-A11</f>
        <v>0.27000000000000046</v>
      </c>
      <c r="F11" s="1721"/>
      <c r="G11" s="1722" t="s">
        <v>294</v>
      </c>
      <c r="H11" s="1722"/>
      <c r="I11" s="131"/>
    </row>
    <row r="12" spans="1:9" x14ac:dyDescent="0.2">
      <c r="A12" s="171"/>
      <c r="B12" s="172"/>
      <c r="C12" s="171"/>
      <c r="D12" s="171"/>
      <c r="E12" s="173"/>
      <c r="F12" s="173"/>
      <c r="G12" s="174"/>
      <c r="H12" s="174"/>
      <c r="I12" s="131"/>
    </row>
    <row r="13" spans="1:9" ht="27.75" customHeight="1" x14ac:dyDescent="0.2">
      <c r="A13" s="1045"/>
      <c r="B13" s="1045"/>
      <c r="C13" s="1045"/>
      <c r="D13" s="1045"/>
      <c r="E13" s="1045"/>
      <c r="F13" s="1045"/>
      <c r="G13" s="1045"/>
      <c r="H13" s="1045"/>
      <c r="I13" s="131"/>
    </row>
    <row r="14" spans="1:9" ht="15.75" x14ac:dyDescent="0.25">
      <c r="A14" s="156"/>
      <c r="B14" s="1714" t="s">
        <v>760</v>
      </c>
      <c r="C14" s="1714"/>
      <c r="D14" s="1714"/>
      <c r="E14" s="1714"/>
      <c r="F14" s="1714"/>
      <c r="G14" s="1714"/>
      <c r="H14" s="1714"/>
      <c r="I14" s="129"/>
    </row>
    <row r="15" spans="1:9" ht="23.25" customHeight="1" x14ac:dyDescent="0.2">
      <c r="A15" s="166" t="s">
        <v>148</v>
      </c>
      <c r="B15" s="167" t="s">
        <v>149</v>
      </c>
      <c r="C15" s="1726" t="s">
        <v>150</v>
      </c>
      <c r="D15" s="1726"/>
      <c r="E15" s="1726" t="s">
        <v>151</v>
      </c>
      <c r="F15" s="1726"/>
      <c r="G15" s="1727" t="s">
        <v>152</v>
      </c>
      <c r="H15" s="1727"/>
      <c r="I15" s="130"/>
    </row>
    <row r="16" spans="1:9" x14ac:dyDescent="0.2">
      <c r="A16" s="168" t="s">
        <v>153</v>
      </c>
      <c r="B16" s="169" t="s">
        <v>111</v>
      </c>
      <c r="C16" s="1728" t="s">
        <v>154</v>
      </c>
      <c r="D16" s="1728"/>
      <c r="E16" s="1728" t="s">
        <v>155</v>
      </c>
      <c r="F16" s="1728"/>
      <c r="G16" s="1728" t="s">
        <v>156</v>
      </c>
      <c r="H16" s="1728"/>
      <c r="I16" s="130"/>
    </row>
    <row r="17" spans="1:9" x14ac:dyDescent="0.2">
      <c r="A17" s="1744">
        <v>4.09</v>
      </c>
      <c r="B17" s="1745">
        <v>20.67</v>
      </c>
      <c r="C17" s="1723">
        <v>4.3600000000000003</v>
      </c>
      <c r="D17" s="1723"/>
      <c r="E17" s="1721">
        <f>C17-A17</f>
        <v>0.27000000000000046</v>
      </c>
      <c r="F17" s="1721"/>
      <c r="G17" s="1722" t="s">
        <v>294</v>
      </c>
      <c r="H17" s="1722"/>
      <c r="I17" s="131"/>
    </row>
    <row r="18" spans="1:9" x14ac:dyDescent="0.2">
      <c r="A18" s="1743">
        <v>4.09</v>
      </c>
      <c r="B18" s="1745">
        <v>20.67</v>
      </c>
      <c r="C18" s="1723">
        <v>4.3600000000000003</v>
      </c>
      <c r="D18" s="1723"/>
      <c r="E18" s="1721">
        <f>C18-A18</f>
        <v>0.27000000000000046</v>
      </c>
      <c r="F18" s="1721"/>
      <c r="G18" s="1722" t="s">
        <v>294</v>
      </c>
      <c r="H18" s="1722"/>
      <c r="I18" s="131"/>
    </row>
    <row r="20" spans="1:9" ht="24" customHeight="1" x14ac:dyDescent="0.2">
      <c r="A20" s="157" t="s">
        <v>149</v>
      </c>
      <c r="B20" s="1724" t="s">
        <v>150</v>
      </c>
      <c r="C20" s="1724"/>
      <c r="D20" s="1725" t="s">
        <v>295</v>
      </c>
      <c r="E20" s="1725"/>
    </row>
    <row r="21" spans="1:9" ht="13.5" thickBot="1" x14ac:dyDescent="0.25">
      <c r="A21" s="169" t="s">
        <v>111</v>
      </c>
      <c r="B21" s="1728" t="s">
        <v>154</v>
      </c>
      <c r="C21" s="1728"/>
      <c r="D21" s="1728" t="s">
        <v>156</v>
      </c>
      <c r="E21" s="1728"/>
    </row>
    <row r="22" spans="1:9" ht="13.5" thickBot="1" x14ac:dyDescent="0.25">
      <c r="A22" s="1746">
        <v>20.46</v>
      </c>
      <c r="B22" s="1731">
        <v>2</v>
      </c>
      <c r="C22" s="1732"/>
      <c r="D22" s="1729">
        <v>4</v>
      </c>
      <c r="E22" s="1730"/>
      <c r="F22" s="284" t="str">
        <f>IF(B22="","",IF(B22&gt;=D22,"Cambiar agua","SIGA"))</f>
        <v>SIGA</v>
      </c>
    </row>
    <row r="23" spans="1:9" ht="13.5" thickBot="1" x14ac:dyDescent="0.25">
      <c r="A23" s="1746">
        <v>20.46</v>
      </c>
      <c r="B23" s="1731">
        <v>2</v>
      </c>
      <c r="C23" s="1732"/>
      <c r="D23" s="1729">
        <v>4</v>
      </c>
      <c r="E23" s="1730"/>
      <c r="F23" s="284" t="str">
        <f>IF(B23="","",IF(B23&gt;=D23,"Cambiar agua","SIGA"))</f>
        <v>SIGA</v>
      </c>
    </row>
    <row r="42" spans="1:8" ht="15.75" x14ac:dyDescent="0.25">
      <c r="A42" s="156"/>
      <c r="B42" s="1714" t="s">
        <v>761</v>
      </c>
      <c r="C42" s="1714"/>
      <c r="D42" s="1714"/>
      <c r="E42" s="1714"/>
      <c r="F42" s="1714"/>
      <c r="G42" s="1714"/>
      <c r="H42" s="1714"/>
    </row>
    <row r="43" spans="1:8" ht="26.25" customHeight="1" x14ac:dyDescent="0.2">
      <c r="A43" s="166" t="s">
        <v>148</v>
      </c>
      <c r="B43" s="167" t="s">
        <v>149</v>
      </c>
      <c r="C43" s="1726" t="s">
        <v>150</v>
      </c>
      <c r="D43" s="1726"/>
      <c r="E43" s="1726" t="s">
        <v>151</v>
      </c>
      <c r="F43" s="1726"/>
      <c r="G43" s="1727" t="s">
        <v>152</v>
      </c>
      <c r="H43" s="1727"/>
    </row>
    <row r="44" spans="1:8" x14ac:dyDescent="0.2">
      <c r="A44" s="168" t="s">
        <v>431</v>
      </c>
      <c r="B44" s="169" t="s">
        <v>111</v>
      </c>
      <c r="C44" s="1719" t="s">
        <v>431</v>
      </c>
      <c r="D44" s="1720"/>
      <c r="E44" s="1728" t="s">
        <v>111</v>
      </c>
      <c r="F44" s="1728"/>
      <c r="G44" s="1728"/>
      <c r="H44" s="1728"/>
    </row>
    <row r="45" spans="1:8" x14ac:dyDescent="0.2">
      <c r="A45" s="1748">
        <v>7</v>
      </c>
      <c r="B45" s="1747">
        <v>20.329999999999998</v>
      </c>
      <c r="C45" s="1723">
        <v>6.9</v>
      </c>
      <c r="D45" s="1723"/>
      <c r="E45" s="1721">
        <f>C45-A45</f>
        <v>-9.9999999999999645E-2</v>
      </c>
      <c r="F45" s="1721"/>
      <c r="G45" s="1722" t="s">
        <v>432</v>
      </c>
      <c r="H45" s="1722"/>
    </row>
    <row r="46" spans="1:8" x14ac:dyDescent="0.2">
      <c r="A46" s="1748">
        <v>7</v>
      </c>
      <c r="B46" s="1747">
        <v>20.329999999999998</v>
      </c>
      <c r="C46" s="1723">
        <v>6.9</v>
      </c>
      <c r="D46" s="1723"/>
      <c r="E46" s="1721">
        <f>C46-A46</f>
        <v>-9.9999999999999645E-2</v>
      </c>
      <c r="F46" s="1721"/>
      <c r="G46" s="1722"/>
      <c r="H46" s="1722"/>
    </row>
    <row r="47" spans="1:8" ht="10.5" customHeight="1" x14ac:dyDescent="0.2"/>
    <row r="48" spans="1:8" ht="10.5" customHeight="1" x14ac:dyDescent="0.2"/>
    <row r="49" spans="1:8" ht="15.75" x14ac:dyDescent="0.25">
      <c r="A49" s="156"/>
      <c r="B49" s="1714" t="s">
        <v>762</v>
      </c>
      <c r="C49" s="1714"/>
      <c r="D49" s="1714"/>
      <c r="E49" s="1714"/>
      <c r="F49" s="1714"/>
      <c r="G49" s="1714"/>
      <c r="H49" s="1714"/>
    </row>
    <row r="50" spans="1:8" ht="26.25" customHeight="1" x14ac:dyDescent="0.2">
      <c r="A50" s="166" t="s">
        <v>148</v>
      </c>
      <c r="B50" s="167" t="s">
        <v>149</v>
      </c>
      <c r="C50" s="1715" t="s">
        <v>150</v>
      </c>
      <c r="D50" s="1716"/>
      <c r="E50" s="1715" t="s">
        <v>151</v>
      </c>
      <c r="F50" s="1716"/>
      <c r="G50" s="1717" t="s">
        <v>152</v>
      </c>
      <c r="H50" s="1718"/>
    </row>
    <row r="51" spans="1:8" x14ac:dyDescent="0.2">
      <c r="A51" s="168" t="s">
        <v>431</v>
      </c>
      <c r="B51" s="169" t="s">
        <v>111</v>
      </c>
      <c r="C51" s="1719" t="s">
        <v>431</v>
      </c>
      <c r="D51" s="1720"/>
      <c r="E51" s="1719" t="s">
        <v>111</v>
      </c>
      <c r="F51" s="1720"/>
      <c r="G51" s="1719"/>
      <c r="H51" s="1720"/>
    </row>
    <row r="52" spans="1:8" x14ac:dyDescent="0.2">
      <c r="A52" s="1750">
        <v>7</v>
      </c>
      <c r="B52" s="1749">
        <v>20.329999999999998</v>
      </c>
      <c r="C52" s="1723">
        <v>6.9</v>
      </c>
      <c r="D52" s="1723"/>
      <c r="E52" s="1710">
        <f>C52-A52</f>
        <v>-9.9999999999999645E-2</v>
      </c>
      <c r="F52" s="1711"/>
      <c r="G52" s="1712" t="s">
        <v>432</v>
      </c>
      <c r="H52" s="1713"/>
    </row>
    <row r="53" spans="1:8" x14ac:dyDescent="0.2">
      <c r="A53" s="1750">
        <v>7</v>
      </c>
      <c r="B53" s="1749">
        <v>20.329999999999998</v>
      </c>
      <c r="C53" s="1723">
        <v>6.9</v>
      </c>
      <c r="D53" s="1723"/>
      <c r="E53" s="1710">
        <f>C53-A53</f>
        <v>-9.9999999999999645E-2</v>
      </c>
      <c r="F53" s="1711"/>
      <c r="G53" s="1712"/>
      <c r="H53" s="1713"/>
    </row>
    <row r="55" spans="1:8" ht="25.5" customHeight="1" x14ac:dyDescent="0.2">
      <c r="A55" s="157" t="s">
        <v>433</v>
      </c>
      <c r="B55" s="1724" t="s">
        <v>434</v>
      </c>
      <c r="C55" s="1724"/>
      <c r="D55" s="1734"/>
      <c r="E55" s="1734"/>
    </row>
    <row r="56" spans="1:8" ht="13.5" thickBot="1" x14ac:dyDescent="0.25">
      <c r="A56" s="169" t="s">
        <v>431</v>
      </c>
      <c r="B56" s="1728" t="s">
        <v>431</v>
      </c>
      <c r="C56" s="1728"/>
      <c r="D56" s="1046"/>
      <c r="E56" s="1046"/>
    </row>
    <row r="57" spans="1:8" ht="13.5" thickBot="1" x14ac:dyDescent="0.25">
      <c r="A57" s="646" t="s">
        <v>435</v>
      </c>
      <c r="B57" s="1708">
        <v>5.9</v>
      </c>
      <c r="C57" s="1709"/>
      <c r="D57" s="284" t="str">
        <f>IF(B57="","",IF(OR(B57&gt;=7,B57&lt;5),"Cambiar agua","SIGA"))</f>
        <v>SIGA</v>
      </c>
      <c r="E57" s="1047"/>
    </row>
    <row r="58" spans="1:8" ht="13.5" thickBot="1" x14ac:dyDescent="0.25">
      <c r="A58" s="646" t="s">
        <v>435</v>
      </c>
      <c r="B58" s="1708">
        <v>5.9</v>
      </c>
      <c r="C58" s="1709"/>
      <c r="D58" s="284" t="str">
        <f>IF(B58="","",IF(OR(B58&gt;=7,B58&lt;5),"Cambiar agua","SIGA"))</f>
        <v>SIGA</v>
      </c>
      <c r="E58" s="1047"/>
    </row>
  </sheetData>
  <sheetProtection algorithmName="SHA-512" hashValue="JCGSPjDrQvonZKxxLgbHoyFv9ilj4UuHWmej9t6JR/JBuEx5YWTxfpoV9pmxLNl9BKRUJqAI61eaSBVM0ztiEQ==" saltValue="OBykdLoVBwIdxTlkqjHVuQ==" spinCount="100000" sheet="1" objects="1" scenarios="1"/>
  <mergeCells count="66">
    <mergeCell ref="C10:D10"/>
    <mergeCell ref="C11:D11"/>
    <mergeCell ref="C17:D17"/>
    <mergeCell ref="C18:D18"/>
    <mergeCell ref="B22:C22"/>
    <mergeCell ref="B58:C58"/>
    <mergeCell ref="B55:C55"/>
    <mergeCell ref="D55:E55"/>
    <mergeCell ref="B56:C56"/>
    <mergeCell ref="B57:C57"/>
    <mergeCell ref="E45:F45"/>
    <mergeCell ref="G45:H45"/>
    <mergeCell ref="E46:F46"/>
    <mergeCell ref="G46:H46"/>
    <mergeCell ref="C45:D45"/>
    <mergeCell ref="C46:D46"/>
    <mergeCell ref="B42:H42"/>
    <mergeCell ref="C43:D43"/>
    <mergeCell ref="E43:F43"/>
    <mergeCell ref="G43:H43"/>
    <mergeCell ref="C44:D44"/>
    <mergeCell ref="E44:F44"/>
    <mergeCell ref="G44:H44"/>
    <mergeCell ref="A1:B1"/>
    <mergeCell ref="C9:D9"/>
    <mergeCell ref="E9:F9"/>
    <mergeCell ref="G9:H9"/>
    <mergeCell ref="B7:H7"/>
    <mergeCell ref="C8:D8"/>
    <mergeCell ref="E8:F8"/>
    <mergeCell ref="G8:H8"/>
    <mergeCell ref="B21:C21"/>
    <mergeCell ref="D21:E21"/>
    <mergeCell ref="D22:E22"/>
    <mergeCell ref="D23:E23"/>
    <mergeCell ref="B23:C23"/>
    <mergeCell ref="B20:C20"/>
    <mergeCell ref="D20:E20"/>
    <mergeCell ref="E10:F10"/>
    <mergeCell ref="G10:H10"/>
    <mergeCell ref="E11:F11"/>
    <mergeCell ref="G11:H11"/>
    <mergeCell ref="B14:H14"/>
    <mergeCell ref="C15:D15"/>
    <mergeCell ref="E15:F15"/>
    <mergeCell ref="G15:H15"/>
    <mergeCell ref="C16:D16"/>
    <mergeCell ref="E16:F16"/>
    <mergeCell ref="G16:H16"/>
    <mergeCell ref="E17:F17"/>
    <mergeCell ref="G17:H17"/>
    <mergeCell ref="E18:F18"/>
    <mergeCell ref="G18:H18"/>
    <mergeCell ref="B49:H49"/>
    <mergeCell ref="C50:D50"/>
    <mergeCell ref="E50:F50"/>
    <mergeCell ref="G50:H50"/>
    <mergeCell ref="C51:D51"/>
    <mergeCell ref="E51:F51"/>
    <mergeCell ref="G51:H51"/>
    <mergeCell ref="E52:F52"/>
    <mergeCell ref="G52:H52"/>
    <mergeCell ref="E53:F53"/>
    <mergeCell ref="G53:H53"/>
    <mergeCell ref="C52:D52"/>
    <mergeCell ref="C53:D53"/>
  </mergeCells>
  <conditionalFormatting sqref="D57:D58">
    <cfRule type="containsText" dxfId="3" priority="1" operator="containsText" text="Cambiar agua">
      <formula>NOT(ISERROR(SEARCH("Cambiar agua",D57)))</formula>
    </cfRule>
    <cfRule type="containsText" dxfId="2" priority="2" operator="containsText" text="SIGA">
      <formula>NOT(ISERROR(SEARCH("SIGA",D57)))</formula>
    </cfRule>
  </conditionalFormatting>
  <conditionalFormatting sqref="F22:F23">
    <cfRule type="containsText" dxfId="1" priority="3" operator="containsText" text="Cambiar agua">
      <formula>NOT(ISERROR(SEARCH("Cambiar agua",F22)))</formula>
    </cfRule>
    <cfRule type="containsText" dxfId="0" priority="4" operator="containsText" text="SIGA">
      <formula>NOT(ISERROR(SEARCH("SIGA",F22)))</formula>
    </cfRule>
  </conditionalFormatting>
  <printOptions horizontalCentered="1" verticalCentered="1"/>
  <pageMargins left="0.23622047244094491" right="0.23622047244094491" top="0.74803149606299213" bottom="0.74803149606299213" header="0.31496062992125984" footer="0.31496062992125984"/>
  <pageSetup orientation="landscape"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W180"/>
  <sheetViews>
    <sheetView workbookViewId="0">
      <selection activeCell="AL20" sqref="AL20"/>
    </sheetView>
  </sheetViews>
  <sheetFormatPr baseColWidth="10" defaultRowHeight="12.75" x14ac:dyDescent="0.2"/>
  <cols>
    <col min="2" max="2" width="11.42578125" style="153" hidden="1" customWidth="1"/>
    <col min="3" max="3" width="41.42578125" style="153" hidden="1" customWidth="1"/>
    <col min="4" max="4" width="31" hidden="1" customWidth="1"/>
    <col min="5" max="12" width="11.42578125" style="989" hidden="1" customWidth="1"/>
    <col min="13" max="13" width="15.28515625" style="989" hidden="1" customWidth="1"/>
    <col min="14" max="14" width="20.42578125" hidden="1" customWidth="1"/>
    <col min="15" max="15" width="18.7109375" hidden="1" customWidth="1"/>
    <col min="16" max="16" width="12.42578125" style="989" hidden="1" customWidth="1"/>
    <col min="17" max="17" width="11.42578125" style="989" hidden="1" customWidth="1"/>
    <col min="20" max="20" width="24.42578125" bestFit="1" customWidth="1"/>
    <col min="21" max="21" width="12.42578125" bestFit="1" customWidth="1"/>
  </cols>
  <sheetData>
    <row r="2" spans="2:22" ht="18" x14ac:dyDescent="0.25">
      <c r="B2" s="153" t="s">
        <v>184</v>
      </c>
      <c r="C2" s="153" t="s">
        <v>381</v>
      </c>
      <c r="E2" s="989" t="s">
        <v>195</v>
      </c>
      <c r="F2" s="989" t="s">
        <v>185</v>
      </c>
      <c r="G2" s="989" t="s">
        <v>22</v>
      </c>
      <c r="H2" s="989" t="s">
        <v>187</v>
      </c>
      <c r="I2" s="989" t="s">
        <v>188</v>
      </c>
      <c r="J2" s="989" t="s">
        <v>340</v>
      </c>
      <c r="L2" s="989" t="s">
        <v>339</v>
      </c>
      <c r="N2" t="s">
        <v>193</v>
      </c>
      <c r="O2" t="s">
        <v>191</v>
      </c>
      <c r="P2" s="989" t="s">
        <v>192</v>
      </c>
      <c r="Q2" s="989" t="s">
        <v>194</v>
      </c>
      <c r="S2" s="990">
        <f>'[2]INCERTIDUMBRE DE LA MEDIDA'!Q8</f>
        <v>1</v>
      </c>
    </row>
    <row r="3" spans="2:22" x14ac:dyDescent="0.2">
      <c r="B3" s="153">
        <v>0</v>
      </c>
      <c r="C3" s="153" t="s">
        <v>196</v>
      </c>
      <c r="E3" s="989">
        <v>10</v>
      </c>
    </row>
    <row r="4" spans="2:22" x14ac:dyDescent="0.2">
      <c r="B4" s="153">
        <v>1</v>
      </c>
      <c r="C4" s="153" t="s">
        <v>197</v>
      </c>
      <c r="E4" s="989">
        <v>9.8220867213832715E-3</v>
      </c>
      <c r="S4">
        <f>B4</f>
        <v>1</v>
      </c>
      <c r="T4" t="str">
        <f>C4</f>
        <v>Masa de agua (g)</v>
      </c>
      <c r="U4" s="1">
        <f>SUM(O6:O14)</f>
        <v>7.2265332189130422E-9</v>
      </c>
      <c r="V4" s="991">
        <f>U4/$U$18</f>
        <v>2.2445587127321817E-5</v>
      </c>
    </row>
    <row r="5" spans="2:22" x14ac:dyDescent="0.2">
      <c r="B5" s="153" t="s">
        <v>200</v>
      </c>
      <c r="D5" t="s">
        <v>198</v>
      </c>
      <c r="E5" s="989">
        <v>25.344634261173887</v>
      </c>
      <c r="S5">
        <f>B15</f>
        <v>2</v>
      </c>
      <c r="T5" t="str">
        <f>D15</f>
        <v>densidad  del aire (g/cm³)</v>
      </c>
      <c r="U5">
        <f>SUM(O15:O30)</f>
        <v>1.2662499200660395E-9</v>
      </c>
      <c r="V5" s="991">
        <f t="shared" ref="V5:V16" si="0">U5/$U$18</f>
        <v>3.932967862296985E-6</v>
      </c>
    </row>
    <row r="6" spans="2:22" x14ac:dyDescent="0.2">
      <c r="D6" t="s">
        <v>182</v>
      </c>
      <c r="F6" s="989" t="s">
        <v>65</v>
      </c>
      <c r="G6" s="989" t="s">
        <v>67</v>
      </c>
      <c r="H6" s="989">
        <v>1.0000000000000001E-5</v>
      </c>
      <c r="I6" s="989" t="s">
        <v>228</v>
      </c>
      <c r="J6" s="989">
        <v>2.8867513459481293E-6</v>
      </c>
      <c r="L6" s="989" t="s">
        <v>228</v>
      </c>
      <c r="M6" s="989">
        <v>1.0111207016033477</v>
      </c>
      <c r="N6" s="992">
        <f>'INCERTIDUMBRE DE LA MEDIDA'!M12</f>
        <v>2.8940927831309544E-6</v>
      </c>
      <c r="O6" s="863">
        <f>'INCERTIDUMBRE DE LA MEDIDA'!N12</f>
        <v>8.3757730373706732E-12</v>
      </c>
      <c r="P6" s="989">
        <v>100</v>
      </c>
      <c r="Q6" s="989">
        <v>7.258544048065409E-25</v>
      </c>
      <c r="S6">
        <f>B31</f>
        <v>3</v>
      </c>
      <c r="T6" t="str">
        <f>C31</f>
        <v>Densidad  del agua (g/cm³)</v>
      </c>
      <c r="U6">
        <f>SUM(O31:O36)</f>
        <v>5.5974493079308077E-13</v>
      </c>
      <c r="V6" s="991">
        <f t="shared" si="0"/>
        <v>1.7385658146995364E-9</v>
      </c>
    </row>
    <row r="7" spans="2:22" x14ac:dyDescent="0.2">
      <c r="B7" s="153" t="s">
        <v>201</v>
      </c>
      <c r="D7" t="s">
        <v>199</v>
      </c>
      <c r="E7" s="989">
        <v>25.334895915630668</v>
      </c>
      <c r="N7" s="992">
        <f>'INCERTIDUMBRE DE LA MEDIDA'!M13</f>
        <v>0</v>
      </c>
      <c r="O7" s="863">
        <f>'INCERTIDUMBRE DE LA MEDIDA'!N13</f>
        <v>0</v>
      </c>
      <c r="S7">
        <f>B37</f>
        <v>4</v>
      </c>
      <c r="T7" t="str">
        <f>C37</f>
        <v>Densidad Masas (g/cm³)</v>
      </c>
      <c r="U7">
        <f>SUM(O37)</f>
        <v>1.4922754307205484E-14</v>
      </c>
      <c r="V7" s="991">
        <f t="shared" si="0"/>
        <v>4.6350023148773145E-11</v>
      </c>
    </row>
    <row r="8" spans="2:22" x14ac:dyDescent="0.2">
      <c r="D8" t="s">
        <v>182</v>
      </c>
      <c r="F8" s="989" t="s">
        <v>65</v>
      </c>
      <c r="G8" s="989" t="s">
        <v>67</v>
      </c>
      <c r="H8" s="989">
        <v>1.0000000000000001E-5</v>
      </c>
      <c r="I8" s="989" t="s">
        <v>228</v>
      </c>
      <c r="J8" s="989">
        <v>2.8867513459481293E-6</v>
      </c>
      <c r="L8" s="989" t="s">
        <v>228</v>
      </c>
      <c r="M8" s="989">
        <v>1.0111207016033477</v>
      </c>
      <c r="N8" s="992">
        <f>'INCERTIDUMBRE DE LA MEDIDA'!M14</f>
        <v>2.8940927831309544E-6</v>
      </c>
      <c r="O8" s="863">
        <f>'INCERTIDUMBRE DE LA MEDIDA'!N14</f>
        <v>8.3757730373706732E-12</v>
      </c>
      <c r="P8" s="989">
        <v>100</v>
      </c>
      <c r="Q8" s="989">
        <v>7.258544048065409E-25</v>
      </c>
      <c r="S8">
        <f>B38</f>
        <v>5</v>
      </c>
      <c r="T8" t="str">
        <f>C38</f>
        <v>Temperatura dispositivo (°C)</v>
      </c>
      <c r="U8" s="1">
        <f>SUM(O38:O42)</f>
        <v>1.856216508870073E-11</v>
      </c>
      <c r="V8" s="991">
        <f t="shared" si="0"/>
        <v>5.7654020420158121E-8</v>
      </c>
    </row>
    <row r="9" spans="2:22" x14ac:dyDescent="0.2">
      <c r="N9" s="992">
        <f>'INCERTIDUMBRE DE LA MEDIDA'!M15</f>
        <v>0</v>
      </c>
      <c r="O9" s="863">
        <f>'INCERTIDUMBRE DE LA MEDIDA'!N15</f>
        <v>0</v>
      </c>
      <c r="S9">
        <f>B43</f>
        <v>6</v>
      </c>
      <c r="T9" t="str">
        <f>C43</f>
        <v>Coef. Cubico de Expansión (1/°C)</v>
      </c>
      <c r="U9">
        <f>SUM(O43)</f>
        <v>2.2115029195501044E-13</v>
      </c>
      <c r="V9" s="991">
        <f t="shared" si="0"/>
        <v>6.8689204019952825E-10</v>
      </c>
    </row>
    <row r="10" spans="2:22" x14ac:dyDescent="0.2">
      <c r="B10" s="153">
        <v>1.3</v>
      </c>
      <c r="D10" t="s">
        <v>355</v>
      </c>
      <c r="F10" s="989" t="s">
        <v>66</v>
      </c>
      <c r="G10" s="989" t="s">
        <v>67</v>
      </c>
      <c r="H10" s="989" t="s">
        <v>520</v>
      </c>
      <c r="I10" s="989" t="s">
        <v>229</v>
      </c>
      <c r="J10" s="989">
        <v>1.1E-4</v>
      </c>
      <c r="L10" s="989" t="s">
        <v>741</v>
      </c>
      <c r="M10" s="989">
        <v>1.0111207016033477</v>
      </c>
      <c r="N10" s="992">
        <f>'INCERTIDUMBRE DE LA MEDIDA'!M16</f>
        <v>2.656739343366651E-5</v>
      </c>
      <c r="O10" s="863">
        <f>'INCERTIDUMBRE DE LA MEDIDA'!N16</f>
        <v>7.0582639385922643E-10</v>
      </c>
      <c r="P10" s="989">
        <v>50</v>
      </c>
      <c r="Q10" s="989">
        <v>3.0606434901424974E-18</v>
      </c>
      <c r="S10">
        <f t="shared" ref="S10:T16" si="1">B44</f>
        <v>7</v>
      </c>
      <c r="T10" t="str">
        <f t="shared" si="1"/>
        <v>Evaporizacion y salpicaduras</v>
      </c>
      <c r="U10">
        <f t="shared" ref="U10:U15" si="2">SUM(O44)</f>
        <v>7.5647386637287262E-11</v>
      </c>
      <c r="V10" s="991">
        <f t="shared" si="0"/>
        <v>2.3496052066537425E-7</v>
      </c>
    </row>
    <row r="11" spans="2:22" x14ac:dyDescent="0.2">
      <c r="B11" s="153">
        <v>1.4</v>
      </c>
      <c r="D11" t="s">
        <v>356</v>
      </c>
      <c r="F11" s="989" t="s">
        <v>66</v>
      </c>
      <c r="G11" s="989" t="s">
        <v>67</v>
      </c>
      <c r="H11" s="989" t="s">
        <v>522</v>
      </c>
      <c r="I11" s="989" t="s">
        <v>229</v>
      </c>
      <c r="J11" s="989">
        <v>1.15E-4</v>
      </c>
      <c r="L11" s="989" t="s">
        <v>741</v>
      </c>
      <c r="M11" s="989">
        <v>1.0111207016033477</v>
      </c>
      <c r="N11" s="992">
        <f>'INCERTIDUMBRE DE LA MEDIDA'!M17</f>
        <v>4.5615713254031178E-5</v>
      </c>
      <c r="O11" s="863">
        <f>'INCERTIDUMBRE DE LA MEDIDA'!N17</f>
        <v>2.0807932956739956E-9</v>
      </c>
      <c r="P11" s="989">
        <v>50</v>
      </c>
      <c r="Q11" s="989">
        <v>3.6562288049184094E-18</v>
      </c>
      <c r="S11">
        <f t="shared" si="1"/>
        <v>8</v>
      </c>
      <c r="T11" t="str">
        <f t="shared" si="1"/>
        <v>Incertidumbre estandar tipo A, (Repetibilidad)</v>
      </c>
      <c r="U11">
        <f t="shared" si="2"/>
        <v>8.1800438074825337E-9</v>
      </c>
      <c r="V11" s="991">
        <f t="shared" si="0"/>
        <v>2.5407187710094697E-5</v>
      </c>
    </row>
    <row r="12" spans="2:22" x14ac:dyDescent="0.2">
      <c r="B12" s="153">
        <v>1.5</v>
      </c>
      <c r="D12" t="s">
        <v>347</v>
      </c>
      <c r="F12" s="989" t="s">
        <v>349</v>
      </c>
      <c r="G12" s="989" t="s">
        <v>67</v>
      </c>
      <c r="H12" s="989">
        <v>2.0000000000000001E-4</v>
      </c>
      <c r="I12" s="989" t="s">
        <v>228</v>
      </c>
      <c r="J12" s="989">
        <v>1.1547005383792517E-4</v>
      </c>
      <c r="L12" s="989" t="s">
        <v>228</v>
      </c>
      <c r="M12" s="989">
        <v>1.0111207016033477</v>
      </c>
      <c r="N12" s="992">
        <f>'INCERTIDUMBRE DE LA MEDIDA'!M18</f>
        <v>5.7881855662619085E-5</v>
      </c>
      <c r="O12" s="863">
        <f>'INCERTIDUMBRE DE LA MEDIDA'!N18</f>
        <v>3.3503092149482691E-9</v>
      </c>
      <c r="P12" s="989">
        <v>50</v>
      </c>
      <c r="Q12" s="989">
        <v>3.7163745526094903E-18</v>
      </c>
      <c r="S12">
        <f t="shared" si="1"/>
        <v>9</v>
      </c>
      <c r="T12" t="str">
        <f t="shared" si="1"/>
        <v xml:space="preserve">Proceso de calibración y manejo </v>
      </c>
      <c r="U12">
        <f t="shared" si="2"/>
        <v>0</v>
      </c>
      <c r="V12" s="991">
        <f t="shared" si="0"/>
        <v>0</v>
      </c>
    </row>
    <row r="13" spans="2:22" x14ac:dyDescent="0.2">
      <c r="B13" s="153">
        <v>1.6</v>
      </c>
      <c r="D13" t="s">
        <v>348</v>
      </c>
      <c r="F13" s="989" t="s">
        <v>349</v>
      </c>
      <c r="G13" s="989" t="s">
        <v>67</v>
      </c>
      <c r="H13" s="989">
        <v>1E-4</v>
      </c>
      <c r="I13" s="989" t="s">
        <v>228</v>
      </c>
      <c r="J13" s="989">
        <v>2.8867513459481293E-5</v>
      </c>
      <c r="L13" s="989" t="s">
        <v>228</v>
      </c>
      <c r="M13" s="989">
        <v>1.0111207016033477</v>
      </c>
      <c r="N13" s="992">
        <f>'INCERTIDUMBRE DE LA MEDIDA'!M19</f>
        <v>2.8940927831309542E-5</v>
      </c>
      <c r="O13" s="863">
        <f>'INCERTIDUMBRE DE LA MEDIDA'!N19</f>
        <v>8.3757730373706726E-10</v>
      </c>
      <c r="P13" s="989">
        <v>50</v>
      </c>
      <c r="Q13" s="989">
        <v>1.4517088096130822E-20</v>
      </c>
      <c r="S13">
        <f t="shared" si="1"/>
        <v>10</v>
      </c>
      <c r="T13" t="str">
        <f t="shared" si="1"/>
        <v>Incertidumbre por resolución del instrumento</v>
      </c>
      <c r="U13">
        <f t="shared" si="2"/>
        <v>0</v>
      </c>
      <c r="V13" s="991">
        <f t="shared" si="0"/>
        <v>0</v>
      </c>
    </row>
    <row r="14" spans="2:22" x14ac:dyDescent="0.2">
      <c r="B14" s="153">
        <v>1.7</v>
      </c>
      <c r="D14" t="s">
        <v>352</v>
      </c>
      <c r="F14" s="989" t="s">
        <v>353</v>
      </c>
      <c r="G14" s="989" t="s">
        <v>67</v>
      </c>
      <c r="H14" s="989" t="s">
        <v>520</v>
      </c>
      <c r="I14" s="989" t="s">
        <v>228</v>
      </c>
      <c r="J14" s="989">
        <v>6.3508529610858846E-5</v>
      </c>
      <c r="L14" s="989" t="s">
        <v>228</v>
      </c>
      <c r="M14" s="989">
        <v>1.0111207016033477</v>
      </c>
      <c r="N14" s="992">
        <f>'INCERTIDUMBRE DE LA MEDIDA'!M20</f>
        <v>1.5338691750594057E-5</v>
      </c>
      <c r="O14" s="863">
        <f>'INCERTIDUMBRE DE LA MEDIDA'!N20</f>
        <v>2.3527546461974218E-10</v>
      </c>
      <c r="P14" s="989">
        <v>51</v>
      </c>
      <c r="Q14" s="989">
        <v>3.3340343029874745E-19</v>
      </c>
      <c r="S14">
        <f t="shared" si="1"/>
        <v>11</v>
      </c>
      <c r="T14" t="str">
        <f t="shared" si="1"/>
        <v>Incertidumbre por setting</v>
      </c>
      <c r="U14">
        <f t="shared" si="2"/>
        <v>8.3333333333333338E-8</v>
      </c>
      <c r="V14" s="991">
        <f t="shared" si="0"/>
        <v>2.5883304446012436E-4</v>
      </c>
    </row>
    <row r="15" spans="2:22" x14ac:dyDescent="0.2">
      <c r="B15" s="153">
        <v>2</v>
      </c>
      <c r="D15" t="s">
        <v>628</v>
      </c>
      <c r="E15" s="989">
        <v>1.0608443421826991E-3</v>
      </c>
      <c r="N15" s="992">
        <f>'INCERTIDUMBRE DE LA MEDIDA'!M21</f>
        <v>0</v>
      </c>
      <c r="O15" s="863">
        <f>'INCERTIDUMBRE DE LA MEDIDA'!N21</f>
        <v>0</v>
      </c>
      <c r="S15">
        <f t="shared" si="1"/>
        <v>12</v>
      </c>
      <c r="T15" t="str">
        <f t="shared" si="1"/>
        <v>Reproducibilidad</v>
      </c>
      <c r="U15">
        <f t="shared" si="2"/>
        <v>3.5427625977226285E-9</v>
      </c>
      <c r="V15" s="991">
        <f t="shared" si="0"/>
        <v>1.100380834761608E-5</v>
      </c>
    </row>
    <row r="16" spans="2:22" x14ac:dyDescent="0.2">
      <c r="C16" s="153" t="s">
        <v>346</v>
      </c>
      <c r="E16" s="989">
        <v>20.786416832831947</v>
      </c>
      <c r="N16" s="992">
        <f>'INCERTIDUMBRE DE LA MEDIDA'!M22</f>
        <v>0</v>
      </c>
      <c r="O16" s="863">
        <f>'INCERTIDUMBRE DE LA MEDIDA'!N22</f>
        <v>0</v>
      </c>
      <c r="S16">
        <f t="shared" si="1"/>
        <v>13</v>
      </c>
      <c r="T16" t="str">
        <f t="shared" si="1"/>
        <v>Colchon de aire</v>
      </c>
      <c r="U16">
        <f>SUM(O50:O53)</f>
        <v>1.2935969769244306E-11</v>
      </c>
      <c r="V16" s="991">
        <f t="shared" si="0"/>
        <v>4.0179077261011628E-8</v>
      </c>
    </row>
    <row r="17" spans="2:23" x14ac:dyDescent="0.2">
      <c r="N17" s="992">
        <f>'INCERTIDUMBRE DE LA MEDIDA'!M23</f>
        <v>0</v>
      </c>
      <c r="O17" s="863">
        <f>'INCERTIDUMBRE DE LA MEDIDA'!N23</f>
        <v>0</v>
      </c>
    </row>
    <row r="18" spans="2:23" x14ac:dyDescent="0.2">
      <c r="B18" s="153" t="s">
        <v>206</v>
      </c>
      <c r="D18" t="s">
        <v>202</v>
      </c>
      <c r="E18" s="989">
        <v>6.8000000000000005E-4</v>
      </c>
      <c r="F18" s="989" t="s">
        <v>636</v>
      </c>
      <c r="G18" s="989" t="s">
        <v>171</v>
      </c>
      <c r="H18" s="989">
        <v>7.2137415268423547E-7</v>
      </c>
      <c r="I18" s="989" t="s">
        <v>255</v>
      </c>
      <c r="J18" s="989">
        <v>3.9259818304894555E-4</v>
      </c>
      <c r="M18" s="989">
        <v>8.6387058622899617E-3</v>
      </c>
      <c r="N18" s="992">
        <f>'INCERTIDUMBRE DE LA MEDIDA'!M24</f>
        <v>3.5510898444401894E-5</v>
      </c>
      <c r="O18" s="863">
        <f>'INCERTIDUMBRE DE LA MEDIDA'!N24</f>
        <v>1.2610239083286248E-9</v>
      </c>
      <c r="P18" s="989">
        <v>100</v>
      </c>
      <c r="Q18" s="989">
        <v>1.3230854379375529E-24</v>
      </c>
      <c r="S18" t="str">
        <f>'[2]INCERTIDUMBRE DE LA MEDIDA'!B61</f>
        <v>Incertidumbre estandar combinada</v>
      </c>
      <c r="T18" s="993">
        <f>'[2]INCERTIDUMBRE DE LA MEDIDA'!M61</f>
        <v>1.3741270495484006E-4</v>
      </c>
      <c r="U18" s="37">
        <f>SQRT(SUM(U4:U17))</f>
        <v>3.2195786093367851E-4</v>
      </c>
    </row>
    <row r="19" spans="2:23" x14ac:dyDescent="0.2">
      <c r="B19" s="153" t="s">
        <v>207</v>
      </c>
      <c r="D19" t="s">
        <v>203</v>
      </c>
      <c r="N19" s="992">
        <f>'INCERTIDUMBRE DE LA MEDIDA'!M25</f>
        <v>0</v>
      </c>
      <c r="O19" s="863">
        <f>'INCERTIDUMBRE DE LA MEDIDA'!N25</f>
        <v>0</v>
      </c>
    </row>
    <row r="20" spans="2:23" x14ac:dyDescent="0.2">
      <c r="D20" t="s">
        <v>204</v>
      </c>
      <c r="F20" s="989" t="s">
        <v>66</v>
      </c>
      <c r="G20" s="989" t="s">
        <v>23</v>
      </c>
      <c r="H20" s="989">
        <v>0.27981562539672206</v>
      </c>
      <c r="I20" s="989" t="s">
        <v>229</v>
      </c>
      <c r="J20" s="989">
        <v>0.13990781269836103</v>
      </c>
      <c r="L20" s="989">
        <v>0</v>
      </c>
      <c r="M20" s="989">
        <v>-1.5610476524476017E-6</v>
      </c>
      <c r="N20" s="992">
        <f>'INCERTIDUMBRE DE LA MEDIDA'!M26</f>
        <v>-2.2385327506543167E-6</v>
      </c>
      <c r="O20" s="863">
        <f>'INCERTIDUMBRE DE LA MEDIDA'!N26</f>
        <v>5.0110288757519816E-12</v>
      </c>
      <c r="P20" s="989">
        <v>50</v>
      </c>
      <c r="Q20" s="989">
        <v>4.5505354862815258E-29</v>
      </c>
      <c r="T20" t="str">
        <f>T4</f>
        <v>Masa de agua (g)</v>
      </c>
    </row>
    <row r="21" spans="2:23" x14ac:dyDescent="0.2">
      <c r="D21" t="s">
        <v>213</v>
      </c>
      <c r="F21" s="989" t="s">
        <v>220</v>
      </c>
      <c r="G21" s="989" t="s">
        <v>23</v>
      </c>
      <c r="H21" s="989">
        <v>0</v>
      </c>
      <c r="I21" s="989" t="s">
        <v>228</v>
      </c>
      <c r="J21" s="989">
        <v>0</v>
      </c>
      <c r="L21" s="989">
        <v>0</v>
      </c>
      <c r="M21" s="989">
        <v>-1.5610476524476017E-6</v>
      </c>
      <c r="N21" s="992">
        <f>'INCERTIDUMBRE DE LA MEDIDA'!M27</f>
        <v>0</v>
      </c>
      <c r="O21" s="863">
        <f>'INCERTIDUMBRE DE LA MEDIDA'!N27</f>
        <v>0</v>
      </c>
      <c r="P21" s="989">
        <v>100</v>
      </c>
      <c r="Q21" s="989">
        <v>0</v>
      </c>
      <c r="T21" t="str">
        <f>CONCATENATE(D5," ",D6)</f>
        <v>Lectura recipiente lleno Resolucion</v>
      </c>
      <c r="U21">
        <f>O6</f>
        <v>8.3757730373706732E-12</v>
      </c>
      <c r="V21" s="994">
        <f>U21/$U$29</f>
        <v>1.1590305868171863E-3</v>
      </c>
      <c r="W21" s="995">
        <f>U21/$U$18</f>
        <v>2.6015122019636087E-8</v>
      </c>
    </row>
    <row r="22" spans="2:23" x14ac:dyDescent="0.2">
      <c r="D22" t="s">
        <v>182</v>
      </c>
      <c r="F22" s="989" t="s">
        <v>221</v>
      </c>
      <c r="G22" s="989" t="s">
        <v>23</v>
      </c>
      <c r="H22" s="989">
        <v>0.1</v>
      </c>
      <c r="I22" s="989" t="s">
        <v>228</v>
      </c>
      <c r="J22" s="989">
        <v>2.8867513459481291E-2</v>
      </c>
      <c r="L22" s="989">
        <v>0</v>
      </c>
      <c r="M22" s="989">
        <v>-1.5610476524476017E-6</v>
      </c>
      <c r="N22" s="992">
        <f>'INCERTIDUMBRE DE LA MEDIDA'!M28</f>
        <v>-4.620064368254212E-7</v>
      </c>
      <c r="O22" s="863">
        <f>'INCERTIDUMBRE DE LA MEDIDA'!N28</f>
        <v>2.134499476681219E-13</v>
      </c>
      <c r="P22" s="989">
        <v>100</v>
      </c>
      <c r="Q22" s="989">
        <v>4.1238432580521713E-32</v>
      </c>
      <c r="T22" t="str">
        <f>CONCATENATE(D7," ",D8)</f>
        <v>Lectura recipiente vacio Resolucion</v>
      </c>
      <c r="U22">
        <f>O8</f>
        <v>8.3757730373706732E-12</v>
      </c>
      <c r="V22" s="994">
        <f t="shared" ref="V22:V27" si="3">U22/$U$29</f>
        <v>1.1590305868171863E-3</v>
      </c>
      <c r="W22" s="995">
        <f t="shared" ref="W22:W27" si="4">U22/$U$18</f>
        <v>2.6015122019636087E-8</v>
      </c>
    </row>
    <row r="23" spans="2:23" x14ac:dyDescent="0.2">
      <c r="B23" s="153" t="s">
        <v>208</v>
      </c>
      <c r="C23" s="153" t="s">
        <v>205</v>
      </c>
      <c r="E23" s="989">
        <v>55.868611792591778</v>
      </c>
      <c r="N23" s="992">
        <f>'INCERTIDUMBRE DE LA MEDIDA'!M29</f>
        <v>0</v>
      </c>
      <c r="O23" s="863">
        <f>'INCERTIDUMBRE DE LA MEDIDA'!N29</f>
        <v>0</v>
      </c>
      <c r="T23" t="str">
        <f>D10</f>
        <v>Calibracion  recipiente vacio</v>
      </c>
      <c r="U23">
        <f>O10</f>
        <v>7.0582639385922643E-10</v>
      </c>
      <c r="V23" s="994">
        <f t="shared" si="3"/>
        <v>9.7671507551084252E-2</v>
      </c>
      <c r="W23" s="995">
        <f t="shared" si="4"/>
        <v>2.1922943325947327E-6</v>
      </c>
    </row>
    <row r="24" spans="2:23" x14ac:dyDescent="0.2">
      <c r="D24" t="s">
        <v>204</v>
      </c>
      <c r="F24" s="989" t="s">
        <v>66</v>
      </c>
      <c r="G24" s="989" t="s">
        <v>226</v>
      </c>
      <c r="H24" s="989">
        <v>0.76540417769372193</v>
      </c>
      <c r="I24" s="989" t="s">
        <v>229</v>
      </c>
      <c r="J24" s="989">
        <v>0.38270208884686097</v>
      </c>
      <c r="L24" s="989" t="s">
        <v>742</v>
      </c>
      <c r="M24" s="989">
        <v>-9.3458601045697219E-10</v>
      </c>
      <c r="N24" s="992">
        <f>'INCERTIDUMBRE DE LA MEDIDA'!M30</f>
        <v>-3.7792399967934441E-9</v>
      </c>
      <c r="O24" s="863">
        <f>'INCERTIDUMBRE DE LA MEDIDA'!N30</f>
        <v>1.4282654953363311E-17</v>
      </c>
      <c r="P24" s="989">
        <v>50</v>
      </c>
      <c r="Q24" s="989">
        <v>3.2730333463565239E-40</v>
      </c>
      <c r="T24" t="str">
        <f>D11</f>
        <v>Calibracion  recipiente lleno</v>
      </c>
      <c r="U24">
        <f>O11</f>
        <v>2.0807932956739956E-9</v>
      </c>
      <c r="V24" s="994">
        <f t="shared" si="3"/>
        <v>0.28793796868299348</v>
      </c>
      <c r="W24" s="995">
        <f t="shared" si="4"/>
        <v>6.4629367633381907E-6</v>
      </c>
    </row>
    <row r="25" spans="2:23" x14ac:dyDescent="0.2">
      <c r="D25" t="s">
        <v>212</v>
      </c>
      <c r="F25" s="989" t="s">
        <v>222</v>
      </c>
      <c r="G25" s="989" t="s">
        <v>226</v>
      </c>
      <c r="H25" s="989">
        <v>-0.6426358186057044</v>
      </c>
      <c r="I25" s="989" t="s">
        <v>228</v>
      </c>
      <c r="J25" s="989">
        <v>-0.18551298143144948</v>
      </c>
      <c r="L25" s="989" t="s">
        <v>742</v>
      </c>
      <c r="M25" s="989">
        <v>-9.3458601045697219E-10</v>
      </c>
      <c r="N25" s="992">
        <f>'INCERTIDUMBRE DE LA MEDIDA'!M31</f>
        <v>2.4627809206804429E-9</v>
      </c>
      <c r="O25" s="863">
        <f>'INCERTIDUMBRE DE LA MEDIDA'!N31</f>
        <v>6.0652898632676105E-18</v>
      </c>
      <c r="P25" s="989">
        <v>100</v>
      </c>
      <c r="Q25" s="989">
        <v>9.035960509599269E-42</v>
      </c>
      <c r="T25" t="str">
        <f>D12</f>
        <v>linealidad</v>
      </c>
      <c r="U25">
        <f>O12</f>
        <v>3.3503092149482691E-9</v>
      </c>
      <c r="V25" s="994">
        <f t="shared" si="3"/>
        <v>0.46361223472687446</v>
      </c>
      <c r="W25" s="995">
        <f t="shared" si="4"/>
        <v>1.0406048807854434E-5</v>
      </c>
    </row>
    <row r="26" spans="2:23" x14ac:dyDescent="0.2">
      <c r="D26" t="s">
        <v>182</v>
      </c>
      <c r="F26" s="989" t="s">
        <v>221</v>
      </c>
      <c r="G26" s="989" t="s">
        <v>226</v>
      </c>
      <c r="H26" s="989">
        <v>0.1</v>
      </c>
      <c r="I26" s="989" t="s">
        <v>228</v>
      </c>
      <c r="J26" s="989">
        <v>2.8867513459481291E-2</v>
      </c>
      <c r="L26" s="989" t="s">
        <v>742</v>
      </c>
      <c r="M26" s="989">
        <v>-9.3458601045697219E-10</v>
      </c>
      <c r="N26" s="992">
        <f>'INCERTIDUMBRE DE LA MEDIDA'!M32</f>
        <v>-2.8669397075701153E-10</v>
      </c>
      <c r="O26" s="863">
        <f>'INCERTIDUMBRE DE LA MEDIDA'!N32</f>
        <v>8.2193432868422184E-20</v>
      </c>
      <c r="P26" s="989">
        <v>100</v>
      </c>
      <c r="Q26" s="989">
        <v>5.2980324202457771E-45</v>
      </c>
      <c r="T26" t="str">
        <f>D13</f>
        <v>desviacion estandar</v>
      </c>
      <c r="U26">
        <f>O13</f>
        <v>8.3757730373706726E-10</v>
      </c>
      <c r="V26" s="994">
        <f t="shared" si="3"/>
        <v>0.11590305868171862</v>
      </c>
      <c r="W26" s="995">
        <f t="shared" si="4"/>
        <v>2.6015122019636085E-6</v>
      </c>
    </row>
    <row r="27" spans="2:23" x14ac:dyDescent="0.2">
      <c r="B27" s="153" t="s">
        <v>209</v>
      </c>
      <c r="C27" s="153" t="s">
        <v>210</v>
      </c>
      <c r="E27" s="989">
        <v>900.00400007801363</v>
      </c>
      <c r="N27" s="992">
        <f>'INCERTIDUMBRE DE LA MEDIDA'!M33</f>
        <v>0</v>
      </c>
      <c r="O27" s="863">
        <f>'INCERTIDUMBRE DE LA MEDIDA'!N33</f>
        <v>0</v>
      </c>
      <c r="T27" t="str">
        <f>D14</f>
        <v>deriva</v>
      </c>
      <c r="U27">
        <f>O14</f>
        <v>2.3527546461974218E-10</v>
      </c>
      <c r="V27" s="994">
        <f t="shared" si="3"/>
        <v>3.2557169183694758E-2</v>
      </c>
      <c r="W27" s="995">
        <f t="shared" si="4"/>
        <v>7.3076477753157763E-7</v>
      </c>
    </row>
    <row r="28" spans="2:23" x14ac:dyDescent="0.2">
      <c r="D28" t="s">
        <v>204</v>
      </c>
      <c r="F28" s="989" t="s">
        <v>66</v>
      </c>
      <c r="G28" s="989" t="s">
        <v>61</v>
      </c>
      <c r="H28" s="989">
        <v>1.6000000000721559</v>
      </c>
      <c r="I28" s="989" t="s">
        <v>229</v>
      </c>
      <c r="J28" s="989">
        <v>0.80000000003607796</v>
      </c>
      <c r="L28" s="989" t="s">
        <v>743</v>
      </c>
      <c r="M28" s="989">
        <v>1.0240550330884E-8</v>
      </c>
      <c r="N28" s="992">
        <f>'INCERTIDUMBRE DE LA MEDIDA'!M34</f>
        <v>2.3573291048215702E-8</v>
      </c>
      <c r="O28" s="863">
        <f>'INCERTIDUMBRE DE LA MEDIDA'!N34</f>
        <v>5.5570005084388654E-16</v>
      </c>
      <c r="P28" s="989">
        <v>50</v>
      </c>
      <c r="Q28" s="989">
        <v>9.0091357171261689E-35</v>
      </c>
    </row>
    <row r="29" spans="2:23" x14ac:dyDescent="0.2">
      <c r="D29" t="s">
        <v>211</v>
      </c>
      <c r="F29" s="989" t="s">
        <v>222</v>
      </c>
      <c r="G29" s="989" t="s">
        <v>61</v>
      </c>
      <c r="H29" s="989">
        <v>0</v>
      </c>
      <c r="I29" s="989" t="s">
        <v>228</v>
      </c>
      <c r="J29" s="989">
        <v>0</v>
      </c>
      <c r="L29" s="989" t="s">
        <v>743</v>
      </c>
      <c r="M29" s="989">
        <v>1.0240550330884E-8</v>
      </c>
      <c r="N29" s="992">
        <f>'INCERTIDUMBRE DE LA MEDIDA'!M35</f>
        <v>0</v>
      </c>
      <c r="O29" s="863">
        <f>'INCERTIDUMBRE DE LA MEDIDA'!N35</f>
        <v>0</v>
      </c>
      <c r="P29" s="989">
        <v>100</v>
      </c>
      <c r="Q29" s="989">
        <v>0</v>
      </c>
      <c r="U29">
        <f>SUM(U21:U28)</f>
        <v>7.2265332189130422E-9</v>
      </c>
    </row>
    <row r="30" spans="2:23" x14ac:dyDescent="0.2">
      <c r="D30" t="s">
        <v>182</v>
      </c>
      <c r="F30" s="989" t="s">
        <v>221</v>
      </c>
      <c r="G30" s="989" t="s">
        <v>61</v>
      </c>
      <c r="H30" s="989">
        <v>1</v>
      </c>
      <c r="I30" s="989" t="s">
        <v>228</v>
      </c>
      <c r="J30" s="989">
        <v>0.28867513459481292</v>
      </c>
      <c r="L30" s="989" t="s">
        <v>743</v>
      </c>
      <c r="M30" s="989">
        <v>1.0240550330884E-8</v>
      </c>
      <c r="N30" s="992">
        <f>'INCERTIDUMBRE DE LA MEDIDA'!M36</f>
        <v>3.0931922110266786E-8</v>
      </c>
      <c r="O30" s="863">
        <f>'INCERTIDUMBRE DE LA MEDIDA'!N36</f>
        <v>9.567838054356112E-16</v>
      </c>
      <c r="P30" s="989">
        <v>100</v>
      </c>
      <c r="Q30" s="989">
        <v>7.6371389732369416E-37</v>
      </c>
    </row>
    <row r="31" spans="2:23" x14ac:dyDescent="0.2">
      <c r="B31" s="153">
        <v>3</v>
      </c>
      <c r="C31" s="153" t="s">
        <v>744</v>
      </c>
      <c r="E31" s="989">
        <v>0.99809975412346685</v>
      </c>
      <c r="N31" s="992">
        <f>'INCERTIDUMBRE DE LA MEDIDA'!M37</f>
        <v>0</v>
      </c>
      <c r="O31" s="863">
        <f>'INCERTIDUMBRE DE LA MEDIDA'!N37</f>
        <v>0</v>
      </c>
    </row>
    <row r="32" spans="2:23" x14ac:dyDescent="0.2">
      <c r="B32" s="153" t="s">
        <v>215</v>
      </c>
      <c r="D32" t="s">
        <v>214</v>
      </c>
      <c r="F32" s="989" t="s">
        <v>630</v>
      </c>
      <c r="G32" s="989" t="s">
        <v>171</v>
      </c>
      <c r="H32" s="989">
        <v>8.2999999999999999E-7</v>
      </c>
      <c r="I32" s="989" t="s">
        <v>228</v>
      </c>
      <c r="J32" s="989">
        <v>4.15E-7</v>
      </c>
      <c r="L32" s="989" t="s">
        <v>745</v>
      </c>
      <c r="M32" s="989">
        <v>-9.8758861680491895E-3</v>
      </c>
      <c r="N32" s="992">
        <f>'INCERTIDUMBRE DE LA MEDIDA'!M38</f>
        <v>-4.2912743551570884E-8</v>
      </c>
      <c r="O32" s="863">
        <f>'INCERTIDUMBRE DE LA MEDIDA'!N38</f>
        <v>1.8415035591228886E-15</v>
      </c>
      <c r="P32" s="989">
        <v>100</v>
      </c>
      <c r="Q32" s="989">
        <v>2.8216080705117091E-36</v>
      </c>
    </row>
    <row r="33" spans="2:17" x14ac:dyDescent="0.2">
      <c r="D33" t="s">
        <v>238</v>
      </c>
      <c r="E33" s="989">
        <v>20.511476085913507</v>
      </c>
      <c r="N33" s="992">
        <f>'INCERTIDUMBRE DE LA MEDIDA'!M39</f>
        <v>0</v>
      </c>
      <c r="O33" s="863">
        <f>'INCERTIDUMBRE DE LA MEDIDA'!N39</f>
        <v>0</v>
      </c>
    </row>
    <row r="34" spans="2:17" x14ac:dyDescent="0.2">
      <c r="D34" t="s">
        <v>204</v>
      </c>
      <c r="F34" s="989" t="s">
        <v>66</v>
      </c>
      <c r="G34" s="989" t="s">
        <v>23</v>
      </c>
      <c r="H34" s="989">
        <v>1.0000000000000005E-2</v>
      </c>
      <c r="I34" s="989" t="s">
        <v>229</v>
      </c>
      <c r="J34" s="989">
        <v>5.0000000000000027E-3</v>
      </c>
      <c r="L34" s="989" t="s">
        <v>745</v>
      </c>
      <c r="M34" s="989">
        <v>2.092259889019527E-6</v>
      </c>
      <c r="N34" s="992">
        <f>'INCERTIDUMBRE DE LA MEDIDA'!M40</f>
        <v>5.9574706008065151E-7</v>
      </c>
      <c r="O34" s="863">
        <f>'INCERTIDUMBRE DE LA MEDIDA'!N40</f>
        <v>3.5491455959473939E-13</v>
      </c>
      <c r="P34" s="989">
        <v>50</v>
      </c>
      <c r="Q34" s="989">
        <v>2.3953695797328092E-34</v>
      </c>
    </row>
    <row r="35" spans="2:17" x14ac:dyDescent="0.2">
      <c r="D35" t="s">
        <v>213</v>
      </c>
      <c r="F35" s="989" t="s">
        <v>222</v>
      </c>
      <c r="G35" s="989" t="s">
        <v>23</v>
      </c>
      <c r="H35" s="989">
        <v>-3.0000391621619826E-2</v>
      </c>
      <c r="I35" s="989" t="s">
        <v>228</v>
      </c>
      <c r="J35" s="989">
        <v>-8.6603670892682009E-3</v>
      </c>
      <c r="L35" s="989" t="s">
        <v>745</v>
      </c>
      <c r="M35" s="989">
        <v>2.092259889019527E-6</v>
      </c>
      <c r="N35" s="992">
        <f>'INCERTIDUMBRE DE LA MEDIDA'!M41</f>
        <v>-4.4601768340295669E-7</v>
      </c>
      <c r="O35" s="863">
        <f>'INCERTIDUMBRE DE LA MEDIDA'!N41</f>
        <v>1.989317739081401E-13</v>
      </c>
      <c r="P35" s="989">
        <v>100</v>
      </c>
      <c r="Q35" s="989">
        <v>1.0779725966927808E-33</v>
      </c>
    </row>
    <row r="36" spans="2:17" x14ac:dyDescent="0.2">
      <c r="D36" t="s">
        <v>182</v>
      </c>
      <c r="F36" s="989" t="s">
        <v>221</v>
      </c>
      <c r="G36" s="989" t="s">
        <v>23</v>
      </c>
      <c r="H36" s="989">
        <v>0.01</v>
      </c>
      <c r="I36" s="989" t="s">
        <v>228</v>
      </c>
      <c r="J36" s="989">
        <v>2.886751345948129E-3</v>
      </c>
      <c r="L36" s="989" t="s">
        <v>745</v>
      </c>
      <c r="M36" s="989">
        <v>2.092259889019527E-6</v>
      </c>
      <c r="N36" s="992">
        <f>'INCERTIDUMBRE DE LA MEDIDA'!M42</f>
        <v>6.3695319538239325E-8</v>
      </c>
      <c r="O36" s="863">
        <f>'INCERTIDUMBRE DE LA MEDIDA'!N42</f>
        <v>4.0570937310784122E-15</v>
      </c>
      <c r="P36" s="989">
        <v>100</v>
      </c>
      <c r="Q36" s="989">
        <v>1.3307608776293361E-35</v>
      </c>
    </row>
    <row r="37" spans="2:17" x14ac:dyDescent="0.2">
      <c r="B37" s="153">
        <v>4</v>
      </c>
      <c r="C37" s="153" t="s">
        <v>746</v>
      </c>
      <c r="E37" s="989">
        <v>7.96</v>
      </c>
      <c r="F37" s="989" t="s">
        <v>223</v>
      </c>
      <c r="H37" s="989">
        <v>0.14000000000000001</v>
      </c>
      <c r="I37" s="989" t="s">
        <v>230</v>
      </c>
      <c r="J37" s="989">
        <v>7.0000000000000007E-2</v>
      </c>
      <c r="L37" s="989" t="s">
        <v>747</v>
      </c>
      <c r="M37" s="989">
        <v>1.6488137281715307E-7</v>
      </c>
      <c r="N37" s="992">
        <f>'INCERTIDUMBRE DE LA MEDIDA'!M43</f>
        <v>1.2215872587418995E-7</v>
      </c>
      <c r="O37" s="863">
        <f>'INCERTIDUMBRE DE LA MEDIDA'!N43</f>
        <v>1.4922754307205484E-14</v>
      </c>
      <c r="P37" s="989">
        <v>100</v>
      </c>
      <c r="Q37" s="989">
        <v>1.774510359589353E-34</v>
      </c>
    </row>
    <row r="38" spans="2:17" x14ac:dyDescent="0.2">
      <c r="B38" s="153">
        <v>5</v>
      </c>
      <c r="C38" s="153" t="s">
        <v>217</v>
      </c>
      <c r="E38" s="989">
        <v>20.786416832831947</v>
      </c>
      <c r="N38" s="992">
        <f>'INCERTIDUMBRE DE LA MEDIDA'!M44</f>
        <v>0</v>
      </c>
      <c r="O38" s="863">
        <f>'INCERTIDUMBRE DE LA MEDIDA'!N44</f>
        <v>0</v>
      </c>
    </row>
    <row r="39" spans="2:17" x14ac:dyDescent="0.2">
      <c r="D39" t="s">
        <v>204</v>
      </c>
      <c r="F39" s="989" t="s">
        <v>66</v>
      </c>
      <c r="G39" s="989" t="s">
        <v>23</v>
      </c>
      <c r="H39" s="989">
        <v>0.27981562539672206</v>
      </c>
      <c r="I39" s="989" t="s">
        <v>229</v>
      </c>
      <c r="J39" s="989">
        <v>0.13990781269836103</v>
      </c>
      <c r="L39" s="989" t="s">
        <v>745</v>
      </c>
      <c r="M39" s="989">
        <v>2.092259889019527E-6</v>
      </c>
      <c r="N39" s="992">
        <f>'INCERTIDUMBRE DE LA MEDIDA'!M45</f>
        <v>3.0861920415974399E-6</v>
      </c>
      <c r="O39" s="863">
        <f>'INCERTIDUMBRE DE LA MEDIDA'!N45</f>
        <v>9.5245813176193749E-12</v>
      </c>
      <c r="P39" s="989">
        <v>50</v>
      </c>
      <c r="Q39" s="989">
        <v>1.4684541139101725E-28</v>
      </c>
    </row>
    <row r="40" spans="2:17" x14ac:dyDescent="0.2">
      <c r="D40" t="s">
        <v>218</v>
      </c>
      <c r="F40" s="989" t="s">
        <v>222</v>
      </c>
      <c r="G40" s="989" t="s">
        <v>23</v>
      </c>
      <c r="H40" s="989">
        <v>0.27494074691843906</v>
      </c>
      <c r="I40" s="989" t="s">
        <v>228</v>
      </c>
      <c r="J40" s="989">
        <v>7.9368557122278791E-2</v>
      </c>
      <c r="L40" s="989" t="s">
        <v>745</v>
      </c>
      <c r="M40" s="989">
        <v>2.092259889019527E-6</v>
      </c>
      <c r="N40" s="992">
        <f>'INCERTIDUMBRE DE LA MEDIDA'!M46</f>
        <v>2.0686131539929667E-6</v>
      </c>
      <c r="O40" s="863">
        <f>'INCERTIDUMBRE DE LA MEDIDA'!N46</f>
        <v>4.279160380872729E-12</v>
      </c>
      <c r="P40" s="989">
        <v>100</v>
      </c>
      <c r="Q40" s="989">
        <v>7.6042512427545756E-30</v>
      </c>
    </row>
    <row r="41" spans="2:17" x14ac:dyDescent="0.2">
      <c r="D41" t="s">
        <v>182</v>
      </c>
      <c r="F41" s="989" t="s">
        <v>221</v>
      </c>
      <c r="G41" s="989" t="s">
        <v>23</v>
      </c>
      <c r="H41" s="989">
        <v>0.1</v>
      </c>
      <c r="I41" s="989" t="s">
        <v>228</v>
      </c>
      <c r="J41" s="989">
        <v>2.8867513459481291E-2</v>
      </c>
      <c r="L41" s="989" t="s">
        <v>745</v>
      </c>
      <c r="M41" s="989">
        <v>2.092259889019527E-6</v>
      </c>
      <c r="N41" s="992">
        <f>'INCERTIDUMBRE DE LA MEDIDA'!M47</f>
        <v>6.3695319538239317E-7</v>
      </c>
      <c r="O41" s="863">
        <f>'INCERTIDUMBRE DE LA MEDIDA'!N47</f>
        <v>4.0570937310784115E-13</v>
      </c>
      <c r="P41" s="989">
        <v>100</v>
      </c>
      <c r="Q41" s="989">
        <v>1.3307608776293356E-31</v>
      </c>
    </row>
    <row r="42" spans="2:17" x14ac:dyDescent="0.2">
      <c r="D42" t="s">
        <v>547</v>
      </c>
      <c r="E42" s="989">
        <v>-0.01</v>
      </c>
      <c r="G42" s="989" t="s">
        <v>23</v>
      </c>
      <c r="H42" s="989">
        <v>-0.01</v>
      </c>
      <c r="I42" s="989" t="s">
        <v>255</v>
      </c>
      <c r="J42" s="989">
        <v>-5.773502691896258E-3</v>
      </c>
      <c r="M42" s="989">
        <v>2.3438317441440005E-6</v>
      </c>
      <c r="N42" s="992">
        <f>'INCERTIDUMBRE DE LA MEDIDA'!M48</f>
        <v>-2.0863158958079161E-6</v>
      </c>
      <c r="O42" s="863">
        <f>'INCERTIDUMBRE DE LA MEDIDA'!N48</f>
        <v>4.3527140171007873E-12</v>
      </c>
      <c r="P42" s="989">
        <v>100</v>
      </c>
      <c r="Q42" s="989">
        <v>3.3532290368307914E-34</v>
      </c>
    </row>
    <row r="43" spans="2:17" x14ac:dyDescent="0.2">
      <c r="B43" s="153">
        <v>6</v>
      </c>
      <c r="C43" s="153" t="s">
        <v>219</v>
      </c>
      <c r="E43" s="989">
        <v>2.4000000000000001E-4</v>
      </c>
      <c r="F43" s="989" t="s">
        <v>224</v>
      </c>
      <c r="H43" s="989">
        <v>2.4000000000000001E-5</v>
      </c>
      <c r="I43" s="989" t="s">
        <v>228</v>
      </c>
      <c r="J43" s="989">
        <v>6.9282032302755094E-6</v>
      </c>
      <c r="L43" s="989" t="s">
        <v>745</v>
      </c>
      <c r="M43" s="989">
        <v>-5.0369406134599774E-3</v>
      </c>
      <c r="N43" s="992">
        <f>'INCERTIDUMBRE DE LA MEDIDA'!M49</f>
        <v>-4.7026619265583023E-7</v>
      </c>
      <c r="O43" s="863">
        <f>'INCERTIDUMBRE DE LA MEDIDA'!N49</f>
        <v>2.2115029195501044E-13</v>
      </c>
      <c r="P43" s="989">
        <v>100</v>
      </c>
      <c r="Q43" s="989">
        <v>1.4830295227093576E-32</v>
      </c>
    </row>
    <row r="44" spans="2:17" x14ac:dyDescent="0.2">
      <c r="B44" s="153">
        <v>7</v>
      </c>
      <c r="C44" s="153" t="s">
        <v>254</v>
      </c>
      <c r="F44" s="989" t="s">
        <v>220</v>
      </c>
      <c r="G44" s="989" t="s">
        <v>256</v>
      </c>
      <c r="H44" s="989">
        <v>3.0052770464246936E-5</v>
      </c>
      <c r="I44" s="989" t="s">
        <v>255</v>
      </c>
      <c r="J44" s="989">
        <v>8.6754875587135026E-6</v>
      </c>
      <c r="L44" s="989" t="s">
        <v>351</v>
      </c>
      <c r="M44" s="989">
        <v>1.0111207016033477</v>
      </c>
      <c r="N44" s="992">
        <f>'INCERTIDUMBRE DE LA MEDIDA'!M50</f>
        <v>-8.6975506113668153E-6</v>
      </c>
      <c r="O44" s="863">
        <f>'INCERTIDUMBRE DE LA MEDIDA'!N50</f>
        <v>7.5647386637287262E-11</v>
      </c>
      <c r="P44" s="989">
        <v>100</v>
      </c>
      <c r="Q44" s="989">
        <v>5.920897925161446E-23</v>
      </c>
    </row>
    <row r="45" spans="2:17" x14ac:dyDescent="0.2">
      <c r="B45" s="153">
        <v>8</v>
      </c>
      <c r="C45" s="153" t="s">
        <v>545</v>
      </c>
      <c r="G45" s="989" t="s">
        <v>351</v>
      </c>
      <c r="H45" s="989">
        <v>3.0191423397951515E-5</v>
      </c>
      <c r="I45" s="989" t="s">
        <v>232</v>
      </c>
      <c r="J45" s="989">
        <v>9.5473663740026966E-6</v>
      </c>
      <c r="L45" s="989" t="s">
        <v>351</v>
      </c>
      <c r="M45" s="989">
        <v>1</v>
      </c>
      <c r="N45" s="992">
        <f>'INCERTIDUMBRE DE LA MEDIDA'!M51</f>
        <v>9.0443594618317408E-5</v>
      </c>
      <c r="O45" s="863">
        <f>'INCERTIDUMBRE DE LA MEDIDA'!N51</f>
        <v>8.1800438074825337E-9</v>
      </c>
      <c r="P45" s="989">
        <v>9</v>
      </c>
      <c r="Q45" s="989">
        <v>9.2319160199133878E-22</v>
      </c>
    </row>
    <row r="46" spans="2:17" x14ac:dyDescent="0.2">
      <c r="B46" s="153">
        <v>9</v>
      </c>
      <c r="C46" s="153" t="s">
        <v>448</v>
      </c>
      <c r="E46" s="989">
        <v>0.01</v>
      </c>
      <c r="G46" s="989" t="s">
        <v>351</v>
      </c>
      <c r="H46" s="989">
        <v>0</v>
      </c>
      <c r="I46" s="989" t="s">
        <v>255</v>
      </c>
      <c r="J46" s="989">
        <v>0</v>
      </c>
      <c r="L46" s="989" t="s">
        <v>351</v>
      </c>
      <c r="M46" s="989">
        <v>1</v>
      </c>
      <c r="N46" s="992">
        <f>'INCERTIDUMBRE DE LA MEDIDA'!M52</f>
        <v>0</v>
      </c>
      <c r="O46" s="863">
        <f>'INCERTIDUMBRE DE LA MEDIDA'!N52</f>
        <v>0</v>
      </c>
      <c r="P46" s="989">
        <v>100</v>
      </c>
      <c r="Q46" s="989">
        <v>0</v>
      </c>
    </row>
    <row r="47" spans="2:17" x14ac:dyDescent="0.2">
      <c r="B47" s="153">
        <v>10</v>
      </c>
      <c r="C47" s="153" t="s">
        <v>449</v>
      </c>
      <c r="E47" s="989">
        <v>1E-4</v>
      </c>
      <c r="G47" s="989" t="s">
        <v>351</v>
      </c>
      <c r="H47" s="989">
        <v>0</v>
      </c>
      <c r="I47" s="989" t="s">
        <v>255</v>
      </c>
      <c r="J47" s="989">
        <v>0</v>
      </c>
      <c r="L47" s="989" t="s">
        <v>351</v>
      </c>
      <c r="M47" s="989">
        <v>1</v>
      </c>
      <c r="N47" s="992">
        <f>'INCERTIDUMBRE DE LA MEDIDA'!M53</f>
        <v>0</v>
      </c>
      <c r="O47" s="863">
        <f>'INCERTIDUMBRE DE LA MEDIDA'!N53</f>
        <v>0</v>
      </c>
      <c r="P47" s="989">
        <v>100</v>
      </c>
      <c r="Q47" s="989">
        <v>0</v>
      </c>
    </row>
    <row r="48" spans="2:17" x14ac:dyDescent="0.2">
      <c r="B48" s="153">
        <v>11</v>
      </c>
      <c r="C48" s="153" t="s">
        <v>582</v>
      </c>
      <c r="E48" s="989">
        <v>1E-4</v>
      </c>
      <c r="G48" s="989" t="s">
        <v>351</v>
      </c>
      <c r="H48" s="989">
        <v>1E-4</v>
      </c>
      <c r="I48" s="989" t="s">
        <v>255</v>
      </c>
      <c r="J48" s="989">
        <v>2.8867513459481293E-5</v>
      </c>
      <c r="L48" s="989" t="s">
        <v>351</v>
      </c>
      <c r="M48" s="989">
        <v>1</v>
      </c>
      <c r="N48" s="992">
        <f>'INCERTIDUMBRE DE LA MEDIDA'!M54</f>
        <v>2.886751345948129E-4</v>
      </c>
      <c r="O48" s="863">
        <f>'INCERTIDUMBRE DE LA MEDIDA'!N54</f>
        <v>8.3333333333333338E-8</v>
      </c>
      <c r="P48" s="989">
        <v>100</v>
      </c>
      <c r="Q48" s="989">
        <v>6.9444444444444486E-21</v>
      </c>
    </row>
    <row r="49" spans="2:19" x14ac:dyDescent="0.2">
      <c r="B49" s="153">
        <v>12</v>
      </c>
      <c r="C49" s="153" t="s">
        <v>450</v>
      </c>
      <c r="E49" s="989">
        <v>0</v>
      </c>
      <c r="G49" s="989" t="s">
        <v>351</v>
      </c>
      <c r="H49" s="989">
        <v>0</v>
      </c>
      <c r="I49" s="989" t="s">
        <v>232</v>
      </c>
      <c r="J49" s="989">
        <v>0</v>
      </c>
      <c r="L49" s="989" t="s">
        <v>351</v>
      </c>
      <c r="M49" s="989">
        <v>1</v>
      </c>
      <c r="N49" s="992">
        <f>'INCERTIDUMBRE DE LA MEDIDA'!M55</f>
        <v>5.9521110521584094E-5</v>
      </c>
      <c r="O49" s="863">
        <f>'INCERTIDUMBRE DE LA MEDIDA'!N55</f>
        <v>3.5427625977226285E-9</v>
      </c>
      <c r="P49" s="989">
        <v>39</v>
      </c>
      <c r="Q49" s="989">
        <v>0</v>
      </c>
    </row>
    <row r="50" spans="2:19" x14ac:dyDescent="0.2">
      <c r="B50" s="153">
        <v>13</v>
      </c>
      <c r="C50" s="153" t="s">
        <v>546</v>
      </c>
      <c r="N50" s="992">
        <f>'INCERTIDUMBRE DE LA MEDIDA'!M56</f>
        <v>0</v>
      </c>
      <c r="O50" s="863">
        <f>'INCERTIDUMBRE DE LA MEDIDA'!N56</f>
        <v>0</v>
      </c>
    </row>
    <row r="51" spans="2:19" x14ac:dyDescent="0.2">
      <c r="C51" s="153" t="s">
        <v>542</v>
      </c>
      <c r="E51" s="989">
        <v>0.27494074691843906</v>
      </c>
      <c r="G51" s="989" t="s">
        <v>23</v>
      </c>
      <c r="H51" s="989">
        <v>0.27494074691843906</v>
      </c>
      <c r="I51" s="989" t="s">
        <v>255</v>
      </c>
      <c r="J51" s="989">
        <v>0.15873711424455758</v>
      </c>
      <c r="M51" s="989">
        <v>-1.804042226030338E-6</v>
      </c>
      <c r="N51" s="992">
        <f>'INCERTIDUMBRE DE LA MEDIDA'!M57</f>
        <v>-3.4713864173864745E-6</v>
      </c>
      <c r="O51" s="863">
        <f>'INCERTIDUMBRE DE LA MEDIDA'!N57</f>
        <v>1.2050523658815302E-11</v>
      </c>
      <c r="P51" s="989">
        <v>100</v>
      </c>
      <c r="Q51" s="989">
        <v>6.7251305204338531E-29</v>
      </c>
    </row>
    <row r="52" spans="2:19" x14ac:dyDescent="0.2">
      <c r="C52" s="153" t="s">
        <v>540</v>
      </c>
      <c r="E52" s="989">
        <v>55.868611792591778</v>
      </c>
      <c r="G52" s="989" t="s">
        <v>226</v>
      </c>
      <c r="H52" s="989">
        <v>-0.6426358186057044</v>
      </c>
      <c r="I52" s="989" t="s">
        <v>255</v>
      </c>
      <c r="J52" s="989">
        <v>-0.37102596286289896</v>
      </c>
      <c r="M52" s="989">
        <v>6.2838638764257618E-10</v>
      </c>
      <c r="N52" s="992">
        <f>'INCERTIDUMBRE DE LA MEDIDA'!M58</f>
        <v>-3.24196622724419E-9</v>
      </c>
      <c r="O52" s="863">
        <f>'INCERTIDUMBRE DE LA MEDIDA'!N58</f>
        <v>1.0510345018591928E-17</v>
      </c>
      <c r="P52" s="989">
        <v>100</v>
      </c>
      <c r="Q52" s="989">
        <v>2.9547740599299234E-41</v>
      </c>
    </row>
    <row r="53" spans="2:19" x14ac:dyDescent="0.2">
      <c r="C53" s="153" t="s">
        <v>541</v>
      </c>
      <c r="E53" s="989">
        <v>900.00400007801363</v>
      </c>
      <c r="G53" s="989" t="s">
        <v>61</v>
      </c>
      <c r="H53" s="989">
        <v>20</v>
      </c>
      <c r="I53" s="989" t="s">
        <v>544</v>
      </c>
      <c r="J53" s="989">
        <v>8.1649658092772608</v>
      </c>
      <c r="M53" s="989">
        <v>1.1008764096039177E-8</v>
      </c>
      <c r="N53" s="992">
        <f>'INCERTIDUMBRE DE LA MEDIDA'!M59</f>
        <v>9.4097587646229557E-7</v>
      </c>
      <c r="O53" s="863">
        <f>'INCERTIDUMBRE DE LA MEDIDA'!N59</f>
        <v>8.8543560008398528E-13</v>
      </c>
      <c r="P53" s="989">
        <v>100</v>
      </c>
      <c r="Q53" s="989">
        <v>6.5278737069098501E-31</v>
      </c>
    </row>
    <row r="54" spans="2:19" x14ac:dyDescent="0.2">
      <c r="N54" s="992">
        <f>'INCERTIDUMBRE DE LA MEDIDA'!M60</f>
        <v>0</v>
      </c>
      <c r="O54" s="863">
        <f>'INCERTIDUMBRE DE LA MEDIDA'!N60</f>
        <v>0</v>
      </c>
    </row>
    <row r="55" spans="2:19" x14ac:dyDescent="0.2">
      <c r="C55" s="153" t="s">
        <v>239</v>
      </c>
      <c r="F55" s="989">
        <v>2.1337449124158054E-4</v>
      </c>
      <c r="G55" s="989" t="s">
        <v>351</v>
      </c>
      <c r="I55" s="989" t="s">
        <v>231</v>
      </c>
      <c r="L55" s="989" t="s">
        <v>351</v>
      </c>
      <c r="N55" s="992">
        <f>'INCERTIDUMBRE DE LA MEDIDA'!M61</f>
        <v>3.2195786093367851E-4</v>
      </c>
      <c r="O55" s="863">
        <f>'INCERTIDUMBRE DE LA MEDIDA'!N61</f>
        <v>0</v>
      </c>
      <c r="P55" s="989" t="s">
        <v>244</v>
      </c>
      <c r="Q55" s="989">
        <v>192.1254498386231</v>
      </c>
    </row>
    <row r="56" spans="2:19" x14ac:dyDescent="0.2">
      <c r="C56" s="153" t="s">
        <v>68</v>
      </c>
      <c r="F56" s="989">
        <v>0.42954560000000003</v>
      </c>
      <c r="G56" s="989" t="s">
        <v>351</v>
      </c>
      <c r="I56" s="989" t="s">
        <v>231</v>
      </c>
      <c r="L56" s="989" t="s">
        <v>351</v>
      </c>
      <c r="N56" s="992">
        <f>'INCERTIDUMBRE DE LA MEDIDA'!M62</f>
        <v>6.4980122399480652E-4</v>
      </c>
      <c r="O56" s="863">
        <f>'INCERTIDUMBRE DE LA MEDIDA'!N62</f>
        <v>0</v>
      </c>
      <c r="Q56" s="989">
        <v>2.013106799991434</v>
      </c>
    </row>
    <row r="57" spans="2:19" x14ac:dyDescent="0.2">
      <c r="C57" s="153" t="s">
        <v>68</v>
      </c>
      <c r="F57" s="989">
        <v>4.2954560000000006</v>
      </c>
      <c r="G57" s="989" t="s">
        <v>226</v>
      </c>
      <c r="I57" s="989" t="s">
        <v>231</v>
      </c>
      <c r="L57" s="989" t="s">
        <v>226</v>
      </c>
      <c r="N57" s="992">
        <f>'INCERTIDUMBRE DE LA MEDIDA'!M63</f>
        <v>0.64980120000000008</v>
      </c>
      <c r="O57" s="863">
        <f>'INCERTIDUMBRE DE LA MEDIDA'!N63</f>
        <v>0</v>
      </c>
      <c r="P57" s="989" t="s">
        <v>245</v>
      </c>
      <c r="Q57" s="989">
        <v>0.42954560000000003</v>
      </c>
    </row>
    <row r="58" spans="2:19" x14ac:dyDescent="0.2">
      <c r="C58" s="153" t="s">
        <v>244</v>
      </c>
      <c r="D58">
        <v>192.1254498386231</v>
      </c>
      <c r="E58" s="989" t="s">
        <v>495</v>
      </c>
      <c r="F58" s="989">
        <v>2.013106799991434</v>
      </c>
      <c r="N58" s="992">
        <f>'INCERTIDUMBRE DE LA MEDIDA'!M64</f>
        <v>0</v>
      </c>
      <c r="O58" s="863">
        <f>'INCERTIDUMBRE DE LA MEDIDA'!N64</f>
        <v>0</v>
      </c>
    </row>
    <row r="59" spans="2:19" x14ac:dyDescent="0.2">
      <c r="D59">
        <v>2.9999999999999997E-5</v>
      </c>
      <c r="F59" s="989">
        <v>18</v>
      </c>
      <c r="H59" s="989">
        <v>20</v>
      </c>
      <c r="J59" s="989">
        <v>50</v>
      </c>
      <c r="L59" s="989">
        <v>806</v>
      </c>
      <c r="N59" s="992">
        <f>'INCERTIDUMBRE DE LA MEDIDA'!M65</f>
        <v>9.5288719036776888E-4</v>
      </c>
      <c r="O59" s="863">
        <f>'INCERTIDUMBRE DE LA MEDIDA'!N65</f>
        <v>0</v>
      </c>
      <c r="P59" s="989">
        <v>0.99859836137731894</v>
      </c>
    </row>
    <row r="63" spans="2:19" ht="18" x14ac:dyDescent="0.25">
      <c r="B63" s="153" t="s">
        <v>184</v>
      </c>
      <c r="C63" s="153" t="s">
        <v>186</v>
      </c>
      <c r="E63" s="989" t="s">
        <v>195</v>
      </c>
      <c r="F63" s="989" t="s">
        <v>185</v>
      </c>
      <c r="G63" s="989" t="s">
        <v>22</v>
      </c>
      <c r="H63" s="989" t="s">
        <v>187</v>
      </c>
      <c r="I63" s="989" t="s">
        <v>188</v>
      </c>
      <c r="J63" s="989" t="s">
        <v>189</v>
      </c>
      <c r="L63" s="989" t="s">
        <v>190</v>
      </c>
      <c r="N63" t="s">
        <v>193</v>
      </c>
      <c r="O63" t="s">
        <v>191</v>
      </c>
      <c r="P63" s="989" t="s">
        <v>192</v>
      </c>
      <c r="Q63" s="989" t="s">
        <v>194</v>
      </c>
      <c r="S63" s="990">
        <f>'[2]INCERTIDUMBRE DE LA MEDIDA'!Q69</f>
        <v>2</v>
      </c>
    </row>
    <row r="64" spans="2:19" x14ac:dyDescent="0.2">
      <c r="B64" s="153">
        <v>0</v>
      </c>
      <c r="C64" s="153" t="s">
        <v>196</v>
      </c>
      <c r="E64" s="989">
        <v>50</v>
      </c>
    </row>
    <row r="65" spans="2:22" x14ac:dyDescent="0.2">
      <c r="B65" s="153">
        <v>1</v>
      </c>
      <c r="C65" s="153" t="s">
        <v>197</v>
      </c>
      <c r="E65" s="989">
        <v>4.9583441203613535E-2</v>
      </c>
      <c r="S65">
        <f>B65</f>
        <v>1</v>
      </c>
      <c r="T65" t="str">
        <f>C65</f>
        <v>Masa de agua (g)</v>
      </c>
      <c r="U65" s="1">
        <f>SUM(O67:O75)</f>
        <v>7.2291548637357711E-9</v>
      </c>
      <c r="V65" s="991">
        <f>U65/$U$18</f>
        <v>2.245372994705334E-5</v>
      </c>
    </row>
    <row r="66" spans="2:22" x14ac:dyDescent="0.2">
      <c r="B66" s="153" t="s">
        <v>200</v>
      </c>
      <c r="D66" t="s">
        <v>198</v>
      </c>
      <c r="E66" s="989">
        <v>25.615007402762849</v>
      </c>
      <c r="S66">
        <f>B76</f>
        <v>2</v>
      </c>
      <c r="T66" t="str">
        <f>D76</f>
        <v>densidad  del aire (g/cm³)</v>
      </c>
      <c r="U66">
        <f>SUM(O76:O91)</f>
        <v>3.0198593160016929E-8</v>
      </c>
      <c r="V66" s="991">
        <f t="shared" ref="V66:V77" si="5">U66/$U$18</f>
        <v>9.3796725672238413E-5</v>
      </c>
    </row>
    <row r="67" spans="2:22" x14ac:dyDescent="0.2">
      <c r="D67" t="s">
        <v>182</v>
      </c>
      <c r="F67" s="989" t="s">
        <v>65</v>
      </c>
      <c r="G67" s="989" t="s">
        <v>67</v>
      </c>
      <c r="H67" s="989">
        <v>1.0000000000000001E-5</v>
      </c>
      <c r="I67" s="989" t="s">
        <v>228</v>
      </c>
      <c r="J67" s="989">
        <v>2.8867513459481293E-6</v>
      </c>
      <c r="L67" s="989" t="s">
        <v>228</v>
      </c>
      <c r="M67" s="989">
        <v>1.0026647606064594</v>
      </c>
      <c r="N67" s="992">
        <f>'INCERTIDUMBRE DE LA MEDIDA'!M73</f>
        <v>2.8946176956392686E-6</v>
      </c>
      <c r="O67" s="863">
        <f>'INCERTIDUMBRE DE LA MEDIDA'!N73</f>
        <v>8.378811603907989E-12</v>
      </c>
      <c r="P67" s="989">
        <v>100</v>
      </c>
      <c r="Q67" s="989">
        <v>7.0187619712508183E-25</v>
      </c>
      <c r="S67">
        <f>B92</f>
        <v>3</v>
      </c>
      <c r="T67" t="str">
        <f>C92</f>
        <v>temperatura densidad  del agua (g/cm³)</v>
      </c>
      <c r="U67">
        <f>SUM(O92:O97)</f>
        <v>1.4658919059445978E-11</v>
      </c>
      <c r="V67" s="991">
        <f t="shared" si="5"/>
        <v>4.5530551783811339E-8</v>
      </c>
    </row>
    <row r="68" spans="2:22" x14ac:dyDescent="0.2">
      <c r="B68" s="153" t="s">
        <v>201</v>
      </c>
      <c r="D68" t="s">
        <v>199</v>
      </c>
      <c r="E68" s="989">
        <v>25.565423961559233</v>
      </c>
      <c r="N68" s="992">
        <f>'INCERTIDUMBRE DE LA MEDIDA'!M74</f>
        <v>0</v>
      </c>
      <c r="O68" s="863">
        <f>'INCERTIDUMBRE DE LA MEDIDA'!N74</f>
        <v>0</v>
      </c>
      <c r="S68">
        <f>B98</f>
        <v>4</v>
      </c>
      <c r="T68" t="str">
        <f>C98</f>
        <v>Densidad Masas (g/cm³)</v>
      </c>
      <c r="U68">
        <f>SUM(O98)</f>
        <v>1.1870347960163066E-11</v>
      </c>
      <c r="V68" s="991">
        <f t="shared" si="5"/>
        <v>3.6869259615960398E-8</v>
      </c>
    </row>
    <row r="69" spans="2:22" x14ac:dyDescent="0.2">
      <c r="D69" t="s">
        <v>182</v>
      </c>
      <c r="F69" s="989" t="s">
        <v>65</v>
      </c>
      <c r="G69" s="989" t="s">
        <v>67</v>
      </c>
      <c r="H69" s="989">
        <v>1.0000000000000001E-5</v>
      </c>
      <c r="I69" s="989" t="s">
        <v>228</v>
      </c>
      <c r="J69" s="989">
        <v>2.8867513459481293E-6</v>
      </c>
      <c r="L69" s="989" t="s">
        <v>228</v>
      </c>
      <c r="M69" s="989">
        <v>1.0026647606064594</v>
      </c>
      <c r="N69" s="992">
        <f>'INCERTIDUMBRE DE LA MEDIDA'!M75</f>
        <v>2.8946176956392686E-6</v>
      </c>
      <c r="O69" s="863">
        <f>'INCERTIDUMBRE DE LA MEDIDA'!N75</f>
        <v>8.378811603907989E-12</v>
      </c>
      <c r="P69" s="989">
        <v>100</v>
      </c>
      <c r="Q69" s="989">
        <v>7.0187619712508183E-25</v>
      </c>
      <c r="S69">
        <f>B99</f>
        <v>5</v>
      </c>
      <c r="T69" t="str">
        <f>C99</f>
        <v>Temperatura dispositivo (°C)</v>
      </c>
      <c r="U69" s="1">
        <f>SUM(O99:O103)</f>
        <v>4.398771259478734E-10</v>
      </c>
      <c r="V69" s="991">
        <f t="shared" si="5"/>
        <v>1.3662568283694915E-6</v>
      </c>
    </row>
    <row r="70" spans="2:22" x14ac:dyDescent="0.2">
      <c r="N70" s="992">
        <f>'INCERTIDUMBRE DE LA MEDIDA'!M76</f>
        <v>0</v>
      </c>
      <c r="O70" s="863">
        <f>'INCERTIDUMBRE DE LA MEDIDA'!N76</f>
        <v>0</v>
      </c>
      <c r="S70">
        <f>B104</f>
        <v>6</v>
      </c>
      <c r="T70" t="str">
        <f>C104</f>
        <v>Coef. Cubico de Expansión (1/°C)</v>
      </c>
      <c r="U70">
        <f>SUM(O104)</f>
        <v>3.8063242738415605E-12</v>
      </c>
      <c r="V70" s="991">
        <f t="shared" si="5"/>
        <v>1.1822430000010598E-8</v>
      </c>
    </row>
    <row r="71" spans="2:22" x14ac:dyDescent="0.2">
      <c r="B71" s="153">
        <v>1.3</v>
      </c>
      <c r="D71" t="s">
        <v>355</v>
      </c>
      <c r="F71" s="989" t="s">
        <v>66</v>
      </c>
      <c r="G71" s="989" t="s">
        <v>67</v>
      </c>
      <c r="H71" s="989" t="s">
        <v>520</v>
      </c>
      <c r="I71" s="989" t="s">
        <v>229</v>
      </c>
      <c r="J71" s="989">
        <v>1.1E-4</v>
      </c>
      <c r="L71" s="989" t="s">
        <v>741</v>
      </c>
      <c r="M71" s="989">
        <v>1.0026647606064594</v>
      </c>
      <c r="N71" s="992">
        <f>'INCERTIDUMBRE DE LA MEDIDA'!M77</f>
        <v>2.6572212061876332E-5</v>
      </c>
      <c r="O71" s="863">
        <f>'INCERTIDUMBRE DE LA MEDIDA'!N77</f>
        <v>7.06082453861326E-10</v>
      </c>
      <c r="P71" s="989">
        <v>50</v>
      </c>
      <c r="Q71" s="989">
        <v>2.9595367878071951E-18</v>
      </c>
      <c r="S71">
        <f t="shared" ref="S71:T77" si="6">B105</f>
        <v>7</v>
      </c>
      <c r="T71" t="str">
        <f t="shared" si="6"/>
        <v>Evaporizacion y salpicaduras</v>
      </c>
      <c r="U71">
        <f t="shared" ref="U71:U76" si="7">SUM(O105)</f>
        <v>7.5674830028678809E-11</v>
      </c>
      <c r="V71" s="991">
        <f t="shared" si="5"/>
        <v>2.3504575974390449E-7</v>
      </c>
    </row>
    <row r="72" spans="2:22" x14ac:dyDescent="0.2">
      <c r="B72" s="153">
        <v>1.4</v>
      </c>
      <c r="D72" t="s">
        <v>356</v>
      </c>
      <c r="F72" s="989" t="s">
        <v>66</v>
      </c>
      <c r="G72" s="989" t="s">
        <v>67</v>
      </c>
      <c r="H72" s="989" t="s">
        <v>522</v>
      </c>
      <c r="I72" s="989" t="s">
        <v>229</v>
      </c>
      <c r="J72" s="989">
        <v>1.15E-4</v>
      </c>
      <c r="L72" s="989" t="s">
        <v>741</v>
      </c>
      <c r="M72" s="989">
        <v>1.0026647606064594</v>
      </c>
      <c r="N72" s="992">
        <f>'INCERTIDUMBRE DE LA MEDIDA'!M78</f>
        <v>4.5623986747749929E-5</v>
      </c>
      <c r="O72" s="863">
        <f>'INCERTIDUMBRE DE LA MEDIDA'!N78</f>
        <v>2.0815481667588611E-9</v>
      </c>
      <c r="P72" s="989">
        <v>50</v>
      </c>
      <c r="Q72" s="989">
        <v>3.5354472638342376E-18</v>
      </c>
      <c r="S72">
        <f t="shared" si="6"/>
        <v>8</v>
      </c>
      <c r="T72" t="str">
        <f t="shared" si="6"/>
        <v>Incertidumbre estandar tipo A, (Repetibilidad)</v>
      </c>
      <c r="U72">
        <f t="shared" si="7"/>
        <v>1.0888378920757252E-8</v>
      </c>
      <c r="V72" s="991">
        <f t="shared" si="5"/>
        <v>3.3819267183540506E-5</v>
      </c>
    </row>
    <row r="73" spans="2:22" x14ac:dyDescent="0.2">
      <c r="B73" s="153">
        <v>1.5</v>
      </c>
      <c r="D73" t="s">
        <v>347</v>
      </c>
      <c r="F73" s="989" t="s">
        <v>349</v>
      </c>
      <c r="G73" s="989" t="s">
        <v>67</v>
      </c>
      <c r="H73" s="989">
        <v>2.0000000000000001E-4</v>
      </c>
      <c r="I73" s="989" t="s">
        <v>228</v>
      </c>
      <c r="J73" s="989">
        <v>1.1547005383792517E-4</v>
      </c>
      <c r="L73" s="989" t="s">
        <v>228</v>
      </c>
      <c r="M73" s="989">
        <v>1.0026647606064594</v>
      </c>
      <c r="N73" s="992">
        <f>'INCERTIDUMBRE DE LA MEDIDA'!M79</f>
        <v>5.7892353912785363E-5</v>
      </c>
      <c r="O73" s="863">
        <f>'INCERTIDUMBRE DE LA MEDIDA'!N79</f>
        <v>3.3515246415631948E-9</v>
      </c>
      <c r="P73" s="989">
        <v>50</v>
      </c>
      <c r="Q73" s="989">
        <v>3.593606129280418E-18</v>
      </c>
      <c r="S73">
        <f t="shared" si="6"/>
        <v>0</v>
      </c>
      <c r="T73" t="str">
        <f t="shared" si="6"/>
        <v xml:space="preserve">Proceso de calibración y manejo </v>
      </c>
      <c r="U73">
        <f t="shared" si="7"/>
        <v>0</v>
      </c>
      <c r="V73" s="991">
        <f t="shared" si="5"/>
        <v>0</v>
      </c>
    </row>
    <row r="74" spans="2:22" x14ac:dyDescent="0.2">
      <c r="B74" s="153">
        <v>1.6</v>
      </c>
      <c r="D74" t="s">
        <v>348</v>
      </c>
      <c r="F74" s="989" t="s">
        <v>349</v>
      </c>
      <c r="G74" s="989" t="s">
        <v>67</v>
      </c>
      <c r="H74" s="989">
        <v>1E-4</v>
      </c>
      <c r="I74" s="989" t="s">
        <v>228</v>
      </c>
      <c r="J74" s="989">
        <v>2.8867513459481293E-5</v>
      </c>
      <c r="L74" s="989" t="s">
        <v>228</v>
      </c>
      <c r="M74" s="989">
        <v>1.0026647606064594</v>
      </c>
      <c r="N74" s="992">
        <f>'INCERTIDUMBRE DE LA MEDIDA'!M80</f>
        <v>2.8946176956392682E-5</v>
      </c>
      <c r="O74" s="863">
        <f>'INCERTIDUMBRE DE LA MEDIDA'!N80</f>
        <v>8.3788116039079869E-10</v>
      </c>
      <c r="P74" s="989">
        <v>50</v>
      </c>
      <c r="Q74" s="989">
        <v>1.4037523942501633E-20</v>
      </c>
      <c r="S74">
        <f t="shared" si="6"/>
        <v>0</v>
      </c>
      <c r="T74" t="str">
        <f t="shared" si="6"/>
        <v>Incertidumbre por resolución del instrumento</v>
      </c>
      <c r="U74">
        <f t="shared" si="7"/>
        <v>0</v>
      </c>
      <c r="V74" s="991">
        <f t="shared" si="5"/>
        <v>0</v>
      </c>
    </row>
    <row r="75" spans="2:22" x14ac:dyDescent="0.2">
      <c r="B75" s="153">
        <v>1.7</v>
      </c>
      <c r="D75" t="s">
        <v>352</v>
      </c>
      <c r="F75" s="989" t="s">
        <v>353</v>
      </c>
      <c r="G75" s="989" t="s">
        <v>67</v>
      </c>
      <c r="H75" s="989" t="s">
        <v>520</v>
      </c>
      <c r="I75" s="989" t="s">
        <v>228</v>
      </c>
      <c r="J75" s="989">
        <v>6.3508529610858846E-5</v>
      </c>
      <c r="L75" s="989" t="s">
        <v>228</v>
      </c>
      <c r="M75" s="989">
        <v>1.0026647606064594</v>
      </c>
      <c r="N75" s="992">
        <f>'INCERTIDUMBRE DE LA MEDIDA'!M81</f>
        <v>1.5341473786888121E-5</v>
      </c>
      <c r="O75" s="863">
        <f>'INCERTIDUMBRE DE LA MEDIDA'!N81</f>
        <v>2.3536081795377533E-10</v>
      </c>
      <c r="P75" s="989">
        <v>51</v>
      </c>
      <c r="Q75" s="989">
        <v>3.2238962830143775E-19</v>
      </c>
      <c r="S75">
        <f t="shared" si="6"/>
        <v>0</v>
      </c>
      <c r="T75" t="str">
        <f t="shared" si="6"/>
        <v>Incertidumbre por setting</v>
      </c>
      <c r="U75">
        <f t="shared" si="7"/>
        <v>8.3333333333333338E-8</v>
      </c>
      <c r="V75" s="991">
        <f t="shared" si="5"/>
        <v>2.5883304446012436E-4</v>
      </c>
    </row>
    <row r="76" spans="2:22" x14ac:dyDescent="0.2">
      <c r="B76" s="153">
        <v>2</v>
      </c>
      <c r="D76" t="s">
        <v>628</v>
      </c>
      <c r="E76" s="989">
        <v>1.0608907336756108E-3</v>
      </c>
      <c r="N76" s="992">
        <f>'INCERTIDUMBRE DE LA MEDIDA'!M82</f>
        <v>0</v>
      </c>
      <c r="O76" s="863">
        <f>'INCERTIDUMBRE DE LA MEDIDA'!N82</f>
        <v>0</v>
      </c>
      <c r="S76">
        <f t="shared" si="6"/>
        <v>0</v>
      </c>
      <c r="T76" t="str">
        <f t="shared" si="6"/>
        <v>Reproducibilidad</v>
      </c>
      <c r="U76">
        <f t="shared" si="7"/>
        <v>8.4487912962293624E-8</v>
      </c>
      <c r="V76" s="991">
        <f t="shared" si="5"/>
        <v>2.6241916478534949E-4</v>
      </c>
    </row>
    <row r="77" spans="2:22" x14ac:dyDescent="0.2">
      <c r="C77" s="153" t="s">
        <v>346</v>
      </c>
      <c r="E77" s="989">
        <v>20.786416832831947</v>
      </c>
      <c r="N77" s="992">
        <f>'INCERTIDUMBRE DE LA MEDIDA'!M83</f>
        <v>0</v>
      </c>
      <c r="O77" s="863">
        <f>'INCERTIDUMBRE DE LA MEDIDA'!N83</f>
        <v>0</v>
      </c>
      <c r="S77">
        <f t="shared" si="6"/>
        <v>0</v>
      </c>
      <c r="T77" t="str">
        <f t="shared" si="6"/>
        <v>Colchon de aire</v>
      </c>
      <c r="U77">
        <f>SUM(O111:O114)</f>
        <v>3.1502865475610296E-10</v>
      </c>
      <c r="V77" s="991">
        <f t="shared" si="5"/>
        <v>9.7847790963239464E-7</v>
      </c>
    </row>
    <row r="78" spans="2:22" x14ac:dyDescent="0.2">
      <c r="N78" s="992">
        <f>'INCERTIDUMBRE DE LA MEDIDA'!M84</f>
        <v>0</v>
      </c>
      <c r="O78" s="863">
        <f>'INCERTIDUMBRE DE LA MEDIDA'!N84</f>
        <v>0</v>
      </c>
    </row>
    <row r="79" spans="2:22" x14ac:dyDescent="0.2">
      <c r="B79" s="153" t="s">
        <v>206</v>
      </c>
      <c r="D79" t="s">
        <v>202</v>
      </c>
      <c r="E79" s="989">
        <v>6.8000000000000005E-4</v>
      </c>
      <c r="F79" s="989" t="s">
        <v>636</v>
      </c>
      <c r="G79" s="989" t="s">
        <v>171</v>
      </c>
      <c r="H79" s="989">
        <v>7.2140569889941538E-7</v>
      </c>
      <c r="I79" s="989" t="s">
        <v>255</v>
      </c>
      <c r="J79" s="989">
        <v>3.9259818304894555E-4</v>
      </c>
      <c r="M79" s="989">
        <v>4.3616343463532936E-2</v>
      </c>
      <c r="N79" s="992">
        <f>'INCERTIDUMBRE DE LA MEDIDA'!M85</f>
        <v>1.7341138207681357E-4</v>
      </c>
      <c r="O79" s="863">
        <f>'INCERTIDUMBRE DE LA MEDIDA'!N85</f>
        <v>3.0071507433790617E-8</v>
      </c>
      <c r="P79" s="989">
        <v>100</v>
      </c>
      <c r="Q79" s="989">
        <v>8.5978558140790034E-22</v>
      </c>
      <c r="S79" t="str">
        <f>'[2]INCERTIDUMBRE DE LA MEDIDA'!B122</f>
        <v>Incertidumbre estandar combinada</v>
      </c>
      <c r="T79" s="993">
        <f>'[2]INCERTIDUMBRE DE LA MEDIDA'!M122</f>
        <v>1.3903762183136616E-4</v>
      </c>
      <c r="U79" s="37">
        <f>SQRT(SUM(U65:U78))</f>
        <v>4.6583075192838336E-4</v>
      </c>
    </row>
    <row r="80" spans="2:22" x14ac:dyDescent="0.2">
      <c r="B80" s="153" t="s">
        <v>207</v>
      </c>
      <c r="D80" t="s">
        <v>203</v>
      </c>
      <c r="N80" s="992">
        <f>'INCERTIDUMBRE DE LA MEDIDA'!M86</f>
        <v>0</v>
      </c>
      <c r="O80" s="863">
        <f>'INCERTIDUMBRE DE LA MEDIDA'!N86</f>
        <v>0</v>
      </c>
    </row>
    <row r="81" spans="2:23" x14ac:dyDescent="0.2">
      <c r="D81" t="s">
        <v>204</v>
      </c>
      <c r="F81" s="989" t="s">
        <v>66</v>
      </c>
      <c r="G81" s="989" t="s">
        <v>23</v>
      </c>
      <c r="H81" s="989">
        <v>0.27981562539672206</v>
      </c>
      <c r="I81" s="989" t="s">
        <v>229</v>
      </c>
      <c r="J81" s="989">
        <v>0.13990781269836103</v>
      </c>
      <c r="L81" s="989">
        <v>0</v>
      </c>
      <c r="M81" s="989">
        <v>-7.8223629273717125E-6</v>
      </c>
      <c r="N81" s="992">
        <f>'INCERTIDUMBRE DE LA MEDIDA'!M87</f>
        <v>-1.1039004327205188E-5</v>
      </c>
      <c r="O81" s="863">
        <f>'INCERTIDUMBRE DE LA MEDIDA'!N87</f>
        <v>1.2185961653605488E-10</v>
      </c>
      <c r="P81" s="989">
        <v>50</v>
      </c>
      <c r="Q81" s="989">
        <v>2.8691265880982407E-26</v>
      </c>
      <c r="T81" t="str">
        <f>T65</f>
        <v>Masa de agua (g)</v>
      </c>
    </row>
    <row r="82" spans="2:23" x14ac:dyDescent="0.2">
      <c r="D82" t="s">
        <v>213</v>
      </c>
      <c r="F82" s="989" t="s">
        <v>220</v>
      </c>
      <c r="G82" s="989" t="s">
        <v>23</v>
      </c>
      <c r="H82" s="989">
        <v>0</v>
      </c>
      <c r="I82" s="989" t="s">
        <v>228</v>
      </c>
      <c r="J82" s="989">
        <v>0</v>
      </c>
      <c r="L82" s="989">
        <v>0</v>
      </c>
      <c r="M82" s="989">
        <v>-7.8223629273717125E-6</v>
      </c>
      <c r="N82" s="992">
        <f>'INCERTIDUMBRE DE LA MEDIDA'!M88</f>
        <v>0</v>
      </c>
      <c r="O82" s="863">
        <f>'INCERTIDUMBRE DE LA MEDIDA'!N88</f>
        <v>0</v>
      </c>
      <c r="P82" s="989">
        <v>100</v>
      </c>
      <c r="Q82" s="989">
        <v>0</v>
      </c>
      <c r="T82" t="str">
        <f>CONCATENATE(D66," ",D67)</f>
        <v>Lectura recipiente lleno Resolucion</v>
      </c>
      <c r="U82">
        <f>O67</f>
        <v>8.378811603907989E-12</v>
      </c>
      <c r="V82" s="994">
        <f>U82/$U$29</f>
        <v>1.1594510604309189E-3</v>
      </c>
      <c r="W82" s="995">
        <f>U82/$U$18</f>
        <v>2.6024559796767866E-8</v>
      </c>
    </row>
    <row r="83" spans="2:23" x14ac:dyDescent="0.2">
      <c r="D83" t="s">
        <v>182</v>
      </c>
      <c r="F83" s="989" t="s">
        <v>221</v>
      </c>
      <c r="G83" s="989" t="s">
        <v>23</v>
      </c>
      <c r="H83" s="989">
        <v>0.1</v>
      </c>
      <c r="I83" s="989" t="s">
        <v>228</v>
      </c>
      <c r="J83" s="989">
        <v>2.8867513459481291E-2</v>
      </c>
      <c r="L83" s="989">
        <v>0</v>
      </c>
      <c r="M83" s="989">
        <v>-7.8223629273717125E-6</v>
      </c>
      <c r="N83" s="992">
        <f>'INCERTIDUMBRE DE LA MEDIDA'!M89</f>
        <v>-2.2780040635922836E-6</v>
      </c>
      <c r="O83" s="863">
        <f>'INCERTIDUMBRE DE LA MEDIDA'!N89</f>
        <v>5.1893025137429572E-12</v>
      </c>
      <c r="P83" s="989">
        <v>100</v>
      </c>
      <c r="Q83" s="989">
        <v>2.6000958288308055E-29</v>
      </c>
      <c r="T83" t="str">
        <f>CONCATENATE(D68," ",D69)</f>
        <v>Lectura recipiente vacio Resolucion</v>
      </c>
      <c r="U83">
        <f>O69</f>
        <v>8.378811603907989E-12</v>
      </c>
      <c r="V83" s="994">
        <f t="shared" ref="V83:V88" si="8">U83/$U$29</f>
        <v>1.1594510604309189E-3</v>
      </c>
      <c r="W83" s="995">
        <f t="shared" ref="W83:W88" si="9">U83/$U$18</f>
        <v>2.6024559796767866E-8</v>
      </c>
    </row>
    <row r="84" spans="2:23" x14ac:dyDescent="0.2">
      <c r="B84" s="153" t="s">
        <v>208</v>
      </c>
      <c r="C84" s="153" t="s">
        <v>205</v>
      </c>
      <c r="E84" s="989">
        <v>55.439798973553408</v>
      </c>
      <c r="N84" s="992">
        <f>'INCERTIDUMBRE DE LA MEDIDA'!M90</f>
        <v>0</v>
      </c>
      <c r="O84" s="863">
        <f>'INCERTIDUMBRE DE LA MEDIDA'!N90</f>
        <v>0</v>
      </c>
      <c r="T84" t="str">
        <f>D71</f>
        <v>Calibracion  recipiente vacio</v>
      </c>
      <c r="U84">
        <f>O71</f>
        <v>7.06082453861326E-10</v>
      </c>
      <c r="V84" s="994">
        <f t="shared" si="8"/>
        <v>9.7706940862513511E-2</v>
      </c>
      <c r="W84" s="995">
        <f t="shared" si="9"/>
        <v>2.1930896540736272E-6</v>
      </c>
    </row>
    <row r="85" spans="2:23" x14ac:dyDescent="0.2">
      <c r="D85" t="s">
        <v>204</v>
      </c>
      <c r="F85" s="989" t="s">
        <v>66</v>
      </c>
      <c r="G85" s="989" t="s">
        <v>226</v>
      </c>
      <c r="H85" s="989">
        <v>0.76376113814305402</v>
      </c>
      <c r="I85" s="989" t="s">
        <v>229</v>
      </c>
      <c r="J85" s="989">
        <v>0.38188056907152701</v>
      </c>
      <c r="L85" s="989" t="s">
        <v>742</v>
      </c>
      <c r="M85" s="989">
        <v>-4.7186725741231226E-9</v>
      </c>
      <c r="N85" s="992">
        <f>'INCERTIDUMBRE DE LA MEDIDA'!M91</f>
        <v>-1.8366724305473661E-8</v>
      </c>
      <c r="O85" s="863">
        <f>'INCERTIDUMBRE DE LA MEDIDA'!N91</f>
        <v>3.3733656171327691E-16</v>
      </c>
      <c r="P85" s="989">
        <v>50</v>
      </c>
      <c r="Q85" s="989">
        <v>2.1087233729856085E-37</v>
      </c>
      <c r="T85" t="str">
        <f>D72</f>
        <v>Calibracion  recipiente lleno</v>
      </c>
      <c r="U85">
        <f>O72</f>
        <v>2.0815481667588611E-9</v>
      </c>
      <c r="V85" s="994">
        <f t="shared" si="8"/>
        <v>0.28804242694285309</v>
      </c>
      <c r="W85" s="995">
        <f t="shared" si="9"/>
        <v>6.4652813903110392E-6</v>
      </c>
    </row>
    <row r="86" spans="2:23" x14ac:dyDescent="0.2">
      <c r="D86" t="s">
        <v>212</v>
      </c>
      <c r="F86" s="989" t="s">
        <v>222</v>
      </c>
      <c r="G86" s="989" t="s">
        <v>226</v>
      </c>
      <c r="H86" s="989">
        <v>-1.3935047896884925</v>
      </c>
      <c r="I86" s="989" t="s">
        <v>228</v>
      </c>
      <c r="J86" s="989">
        <v>-0.40227018272184201</v>
      </c>
      <c r="L86" s="989" t="s">
        <v>742</v>
      </c>
      <c r="M86" s="989">
        <v>-4.7186725741231226E-9</v>
      </c>
      <c r="N86" s="992">
        <f>'INCERTIDUMBRE DE LA MEDIDA'!M92</f>
        <v>1.9384100404970243E-8</v>
      </c>
      <c r="O86" s="863">
        <f>'INCERTIDUMBRE DE LA MEDIDA'!N92</f>
        <v>3.7574334850996753E-16</v>
      </c>
      <c r="P86" s="989">
        <v>100</v>
      </c>
      <c r="Q86" s="989">
        <v>1.2982273159690815E-37</v>
      </c>
      <c r="T86" t="str">
        <f>D73</f>
        <v>linealidad</v>
      </c>
      <c r="U86">
        <f>O73</f>
        <v>3.3515246415631948E-9</v>
      </c>
      <c r="V86" s="994">
        <f t="shared" si="8"/>
        <v>0.46378042417236748</v>
      </c>
      <c r="W86" s="995">
        <f t="shared" si="9"/>
        <v>1.0409823918707143E-5</v>
      </c>
    </row>
    <row r="87" spans="2:23" x14ac:dyDescent="0.2">
      <c r="D87" t="s">
        <v>182</v>
      </c>
      <c r="F87" s="989" t="s">
        <v>221</v>
      </c>
      <c r="G87" s="989" t="s">
        <v>226</v>
      </c>
      <c r="H87" s="989">
        <v>0.1</v>
      </c>
      <c r="I87" s="989" t="s">
        <v>228</v>
      </c>
      <c r="J87" s="989">
        <v>2.8867513459481291E-2</v>
      </c>
      <c r="L87" s="989" t="s">
        <v>742</v>
      </c>
      <c r="M87" s="989">
        <v>-4.7186725741231226E-9</v>
      </c>
      <c r="N87" s="992">
        <f>'INCERTIDUMBRE DE LA MEDIDA'!M93</f>
        <v>-1.3897474697554765E-9</v>
      </c>
      <c r="O87" s="863">
        <f>'INCERTIDUMBRE DE LA MEDIDA'!N93</f>
        <v>1.931398029691749E-18</v>
      </c>
      <c r="P87" s="989">
        <v>100</v>
      </c>
      <c r="Q87" s="989">
        <v>3.442840314121814E-42</v>
      </c>
      <c r="T87" t="str">
        <f>D74</f>
        <v>desviacion estandar</v>
      </c>
      <c r="U87">
        <f>O74</f>
        <v>8.3788116039079869E-10</v>
      </c>
      <c r="V87" s="994">
        <f t="shared" si="8"/>
        <v>0.11594510604309187</v>
      </c>
      <c r="W87" s="995">
        <f t="shared" si="9"/>
        <v>2.6024559796767858E-6</v>
      </c>
    </row>
    <row r="88" spans="2:23" x14ac:dyDescent="0.2">
      <c r="B88" s="153" t="s">
        <v>209</v>
      </c>
      <c r="C88" s="153" t="s">
        <v>210</v>
      </c>
      <c r="E88" s="989">
        <v>900.00400007801363</v>
      </c>
      <c r="N88" s="992">
        <f>'INCERTIDUMBRE DE LA MEDIDA'!M94</f>
        <v>0</v>
      </c>
      <c r="O88" s="863">
        <f>'INCERTIDUMBRE DE LA MEDIDA'!N94</f>
        <v>0</v>
      </c>
      <c r="T88" t="str">
        <f>D75</f>
        <v>deriva</v>
      </c>
      <c r="U88">
        <f>O75</f>
        <v>2.3536081795377533E-10</v>
      </c>
      <c r="V88" s="994">
        <f t="shared" si="8"/>
        <v>3.2568980287504504E-2</v>
      </c>
      <c r="W88" s="995">
        <f t="shared" si="9"/>
        <v>7.3102988469120912E-7</v>
      </c>
    </row>
    <row r="89" spans="2:23" x14ac:dyDescent="0.2">
      <c r="D89" t="s">
        <v>204</v>
      </c>
      <c r="F89" s="989" t="s">
        <v>66</v>
      </c>
      <c r="G89" s="989" t="s">
        <v>61</v>
      </c>
      <c r="H89" s="989">
        <v>1.6000000000721559</v>
      </c>
      <c r="I89" s="989" t="s">
        <v>229</v>
      </c>
      <c r="J89" s="989">
        <v>0.80000000003607796</v>
      </c>
      <c r="L89" s="989" t="s">
        <v>743</v>
      </c>
      <c r="M89" s="989">
        <v>5.1703966729228617E-8</v>
      </c>
      <c r="N89" s="992">
        <f>'INCERTIDUMBRE DE LA MEDIDA'!M95</f>
        <v>1.1515460570576614E-7</v>
      </c>
      <c r="O89" s="863">
        <f>'INCERTIDUMBRE DE LA MEDIDA'!N95</f>
        <v>1.3260583215250468E-14</v>
      </c>
      <c r="P89" s="989">
        <v>50</v>
      </c>
      <c r="Q89" s="989">
        <v>5.8544405133854955E-32</v>
      </c>
    </row>
    <row r="90" spans="2:23" x14ac:dyDescent="0.2">
      <c r="D90" t="s">
        <v>211</v>
      </c>
      <c r="F90" s="989" t="s">
        <v>222</v>
      </c>
      <c r="G90" s="989" t="s">
        <v>61</v>
      </c>
      <c r="H90" s="989">
        <v>0</v>
      </c>
      <c r="I90" s="989" t="s">
        <v>228</v>
      </c>
      <c r="J90" s="989">
        <v>0</v>
      </c>
      <c r="L90" s="989" t="s">
        <v>743</v>
      </c>
      <c r="M90" s="989">
        <v>5.1703966729228617E-8</v>
      </c>
      <c r="N90" s="992">
        <f>'INCERTIDUMBRE DE LA MEDIDA'!M96</f>
        <v>0</v>
      </c>
      <c r="O90" s="863">
        <f>'INCERTIDUMBRE DE LA MEDIDA'!N96</f>
        <v>0</v>
      </c>
      <c r="P90" s="989">
        <v>100</v>
      </c>
      <c r="Q90" s="989">
        <v>0</v>
      </c>
      <c r="U90">
        <f>SUM(U82:U89)</f>
        <v>7.2291548637357711E-9</v>
      </c>
    </row>
    <row r="91" spans="2:23" x14ac:dyDescent="0.2">
      <c r="D91" t="s">
        <v>182</v>
      </c>
      <c r="F91" s="989" t="s">
        <v>221</v>
      </c>
      <c r="G91" s="989" t="s">
        <v>61</v>
      </c>
      <c r="H91" s="989">
        <v>1</v>
      </c>
      <c r="I91" s="989" t="s">
        <v>228</v>
      </c>
      <c r="J91" s="989">
        <v>0.28867513459481292</v>
      </c>
      <c r="L91" s="989" t="s">
        <v>743</v>
      </c>
      <c r="M91" s="989">
        <v>5.1703966729228617E-8</v>
      </c>
      <c r="N91" s="992">
        <f>'INCERTIDUMBRE DE LA MEDIDA'!M97</f>
        <v>1.5110123092459976E-7</v>
      </c>
      <c r="O91" s="863">
        <f>'INCERTIDUMBRE DE LA MEDIDA'!N97</f>
        <v>2.2831581986929223E-14</v>
      </c>
      <c r="P91" s="989">
        <v>100</v>
      </c>
      <c r="Q91" s="989">
        <v>4.9628707142549443E-34</v>
      </c>
    </row>
    <row r="92" spans="2:23" x14ac:dyDescent="0.2">
      <c r="B92" s="153">
        <v>3</v>
      </c>
      <c r="C92" s="153" t="s">
        <v>748</v>
      </c>
      <c r="E92" s="989">
        <v>0.99810716263704369</v>
      </c>
      <c r="N92" s="992">
        <f>'INCERTIDUMBRE DE LA MEDIDA'!M98</f>
        <v>0</v>
      </c>
      <c r="O92" s="863">
        <f>'INCERTIDUMBRE DE LA MEDIDA'!N98</f>
        <v>0</v>
      </c>
    </row>
    <row r="93" spans="2:23" x14ac:dyDescent="0.2">
      <c r="B93" s="153" t="s">
        <v>215</v>
      </c>
      <c r="D93" t="s">
        <v>214</v>
      </c>
      <c r="F93" s="989" t="s">
        <v>630</v>
      </c>
      <c r="G93" s="989" t="s">
        <v>171</v>
      </c>
      <c r="H93" s="989">
        <v>8.2999999999999999E-7</v>
      </c>
      <c r="I93" s="989" t="s">
        <v>228</v>
      </c>
      <c r="J93" s="989">
        <v>4.15E-7</v>
      </c>
      <c r="L93" s="989" t="s">
        <v>745</v>
      </c>
      <c r="M93" s="989">
        <v>-4.9862850506988764E-2</v>
      </c>
      <c r="N93" s="992">
        <f>'INCERTIDUMBRE DE LA MEDIDA'!M99</f>
        <v>-2.095576484996993E-7</v>
      </c>
      <c r="O93" s="863">
        <f>'INCERTIDUMBRE DE LA MEDIDA'!N99</f>
        <v>4.3914408044723523E-14</v>
      </c>
      <c r="P93" s="989">
        <v>100</v>
      </c>
      <c r="Q93" s="989">
        <v>1.8335839362606778E-33</v>
      </c>
    </row>
    <row r="94" spans="2:23" x14ac:dyDescent="0.2">
      <c r="D94" t="s">
        <v>238</v>
      </c>
      <c r="E94" s="989">
        <v>20.476475662956744</v>
      </c>
      <c r="N94" s="992">
        <f>'INCERTIDUMBRE DE LA MEDIDA'!M100</f>
        <v>0</v>
      </c>
      <c r="O94" s="863">
        <f>'INCERTIDUMBRE DE LA MEDIDA'!N100</f>
        <v>0</v>
      </c>
    </row>
    <row r="95" spans="2:23" x14ac:dyDescent="0.2">
      <c r="D95" t="s">
        <v>204</v>
      </c>
      <c r="F95" s="989" t="s">
        <v>66</v>
      </c>
      <c r="G95" s="989" t="s">
        <v>23</v>
      </c>
      <c r="H95" s="989">
        <v>1.0000000000000005E-2</v>
      </c>
      <c r="I95" s="989" t="s">
        <v>229</v>
      </c>
      <c r="J95" s="989">
        <v>5.0000000000000027E-3</v>
      </c>
      <c r="L95" s="989" t="s">
        <v>745</v>
      </c>
      <c r="M95" s="989">
        <v>1.0545520919968017E-5</v>
      </c>
      <c r="N95" s="992">
        <f>'INCERTIDUMBRE DE LA MEDIDA'!M101</f>
        <v>2.8951953578054477E-6</v>
      </c>
      <c r="O95" s="863">
        <f>'INCERTIDUMBRE DE LA MEDIDA'!N101</f>
        <v>8.3821561598582142E-12</v>
      </c>
      <c r="P95" s="989">
        <v>50</v>
      </c>
      <c r="Q95" s="989">
        <v>1.5459027269857969E-31</v>
      </c>
    </row>
    <row r="96" spans="2:23" x14ac:dyDescent="0.2">
      <c r="D96" t="s">
        <v>213</v>
      </c>
      <c r="F96" s="989" t="s">
        <v>222</v>
      </c>
      <c r="G96" s="989" t="s">
        <v>23</v>
      </c>
      <c r="H96" s="989">
        <v>-3.0000335837840453E-2</v>
      </c>
      <c r="I96" s="989" t="s">
        <v>228</v>
      </c>
      <c r="J96" s="989">
        <v>-8.6603509858781819E-3</v>
      </c>
      <c r="L96" s="989" t="s">
        <v>745</v>
      </c>
      <c r="M96" s="989">
        <v>1.0545520919968017E-5</v>
      </c>
      <c r="N96" s="992">
        <f>'INCERTIDUMBRE DE LA MEDIDA'!M102</f>
        <v>-2.4773030738878112E-6</v>
      </c>
      <c r="O96" s="863">
        <f>'INCERTIDUMBRE DE LA MEDIDA'!N102</f>
        <v>6.1370305198939983E-12</v>
      </c>
      <c r="P96" s="989">
        <v>100</v>
      </c>
      <c r="Q96" s="989">
        <v>6.9568737802468776E-31</v>
      </c>
    </row>
    <row r="97" spans="2:17" x14ac:dyDescent="0.2">
      <c r="D97" t="s">
        <v>182</v>
      </c>
      <c r="F97" s="989" t="s">
        <v>221</v>
      </c>
      <c r="G97" s="989" t="s">
        <v>23</v>
      </c>
      <c r="H97" s="989">
        <v>0.01</v>
      </c>
      <c r="I97" s="989" t="s">
        <v>228</v>
      </c>
      <c r="J97" s="989">
        <v>2.886751345948129E-3</v>
      </c>
      <c r="L97" s="989" t="s">
        <v>745</v>
      </c>
      <c r="M97" s="989">
        <v>1.0545520919968017E-5</v>
      </c>
      <c r="N97" s="992">
        <f>'INCERTIDUMBRE DE LA MEDIDA'!M103</f>
        <v>3.0954478133065375E-7</v>
      </c>
      <c r="O97" s="863">
        <f>'INCERTIDUMBRE DE LA MEDIDA'!N103</f>
        <v>9.5817971649042247E-14</v>
      </c>
      <c r="P97" s="989">
        <v>100</v>
      </c>
      <c r="Q97" s="989">
        <v>8.5883484832544121E-33</v>
      </c>
    </row>
    <row r="98" spans="2:17" x14ac:dyDescent="0.2">
      <c r="B98" s="153">
        <v>4</v>
      </c>
      <c r="C98" s="153" t="s">
        <v>746</v>
      </c>
      <c r="E98" s="989">
        <v>7.96</v>
      </c>
      <c r="F98" s="989" t="s">
        <v>223</v>
      </c>
      <c r="H98" s="989">
        <v>1.4</v>
      </c>
      <c r="I98" s="989" t="s">
        <v>230</v>
      </c>
      <c r="J98" s="989">
        <v>0.40414518843273806</v>
      </c>
      <c r="L98" s="989" t="s">
        <v>747</v>
      </c>
      <c r="M98" s="989">
        <v>8.3252028143740184E-7</v>
      </c>
      <c r="N98" s="992">
        <f>'INCERTIDUMBRE DE LA MEDIDA'!M104</f>
        <v>3.4453371330195057E-6</v>
      </c>
      <c r="O98" s="863">
        <f>'INCERTIDUMBRE DE LA MEDIDA'!N104</f>
        <v>1.1870347960163066E-11</v>
      </c>
      <c r="P98" s="989">
        <v>100</v>
      </c>
      <c r="Q98" s="989">
        <v>1.2815304804884355E-28</v>
      </c>
    </row>
    <row r="99" spans="2:17" x14ac:dyDescent="0.2">
      <c r="B99" s="153">
        <v>5</v>
      </c>
      <c r="C99" s="153" t="s">
        <v>217</v>
      </c>
      <c r="E99" s="989">
        <v>20.786416832831947</v>
      </c>
      <c r="N99" s="992">
        <f>'INCERTIDUMBRE DE LA MEDIDA'!M105</f>
        <v>0</v>
      </c>
      <c r="O99" s="863">
        <f>'INCERTIDUMBRE DE LA MEDIDA'!N105</f>
        <v>0</v>
      </c>
    </row>
    <row r="100" spans="2:17" x14ac:dyDescent="0.2">
      <c r="D100" t="s">
        <v>204</v>
      </c>
      <c r="F100" s="989" t="s">
        <v>66</v>
      </c>
      <c r="G100" s="989" t="s">
        <v>23</v>
      </c>
      <c r="H100" s="989">
        <v>0.27981562539672206</v>
      </c>
      <c r="I100" s="989" t="s">
        <v>229</v>
      </c>
      <c r="J100" s="989">
        <v>0.13990781269836103</v>
      </c>
      <c r="L100" s="989" t="s">
        <v>745</v>
      </c>
      <c r="M100" s="989">
        <v>1.0545520919968017E-5</v>
      </c>
      <c r="N100" s="992">
        <f>'INCERTIDUMBRE DE LA MEDIDA'!M106</f>
        <v>1.5000263762411164E-5</v>
      </c>
      <c r="O100" s="863">
        <f>'INCERTIDUMBRE DE LA MEDIDA'!N106</f>
        <v>2.2500791294190554E-10</v>
      </c>
      <c r="P100" s="989">
        <v>50</v>
      </c>
      <c r="Q100" s="989">
        <v>9.4769810819776059E-26</v>
      </c>
    </row>
    <row r="101" spans="2:17" x14ac:dyDescent="0.2">
      <c r="D101" t="s">
        <v>218</v>
      </c>
      <c r="F101" s="989" t="s">
        <v>222</v>
      </c>
      <c r="G101" s="989" t="s">
        <v>23</v>
      </c>
      <c r="H101" s="989">
        <v>0.30994116987520215</v>
      </c>
      <c r="I101" s="989" t="s">
        <v>228</v>
      </c>
      <c r="J101" s="989">
        <v>8.9472308930197753E-2</v>
      </c>
      <c r="L101" s="989" t="s">
        <v>745</v>
      </c>
      <c r="M101" s="989">
        <v>1.0545520919968017E-5</v>
      </c>
      <c r="N101" s="992">
        <f>'INCERTIDUMBRE DE LA MEDIDA'!M107</f>
        <v>1.0075997456195611E-5</v>
      </c>
      <c r="O101" s="863">
        <f>'INCERTIDUMBRE DE LA MEDIDA'!N107</f>
        <v>1.0152572473726043E-10</v>
      </c>
      <c r="P101" s="989">
        <v>100</v>
      </c>
      <c r="Q101" s="989">
        <v>7.9255010891254147E-27</v>
      </c>
    </row>
    <row r="102" spans="2:17" x14ac:dyDescent="0.2">
      <c r="D102" t="s">
        <v>182</v>
      </c>
      <c r="F102" s="989" t="s">
        <v>221</v>
      </c>
      <c r="G102" s="989" t="s">
        <v>23</v>
      </c>
      <c r="H102" s="989">
        <v>0.1</v>
      </c>
      <c r="I102" s="989" t="s">
        <v>228</v>
      </c>
      <c r="J102" s="989">
        <v>2.8867513459481291E-2</v>
      </c>
      <c r="L102" s="989" t="s">
        <v>745</v>
      </c>
      <c r="M102" s="989">
        <v>1.0545520919968017E-5</v>
      </c>
      <c r="N102" s="992">
        <f>'INCERTIDUMBRE DE LA MEDIDA'!M108</f>
        <v>3.0954478133065376E-6</v>
      </c>
      <c r="O102" s="863">
        <f>'INCERTIDUMBRE DE LA MEDIDA'!N108</f>
        <v>9.5817971649042253E-12</v>
      </c>
      <c r="P102" s="989">
        <v>100</v>
      </c>
      <c r="Q102" s="989">
        <v>8.5883484832544114E-29</v>
      </c>
    </row>
    <row r="103" spans="2:17" x14ac:dyDescent="0.2">
      <c r="D103" t="s">
        <v>547</v>
      </c>
      <c r="E103" s="989">
        <v>-0.01</v>
      </c>
      <c r="G103" s="989" t="s">
        <v>23</v>
      </c>
      <c r="H103" s="989">
        <v>-0.01</v>
      </c>
      <c r="I103" s="989" t="s">
        <v>255</v>
      </c>
      <c r="J103" s="989">
        <v>-5.773502691896258E-3</v>
      </c>
      <c r="M103" s="989">
        <v>1.1933688752189939E-5</v>
      </c>
      <c r="N103" s="992">
        <f>'INCERTIDUMBRE DE LA MEDIDA'!M109</f>
        <v>-1.0186348271279712E-5</v>
      </c>
      <c r="O103" s="863">
        <f>'INCERTIDUMBRE DE LA MEDIDA'!N109</f>
        <v>1.0376169110380318E-10</v>
      </c>
      <c r="P103" s="989">
        <v>100</v>
      </c>
      <c r="Q103" s="989">
        <v>2.2534935381553101E-31</v>
      </c>
    </row>
    <row r="104" spans="2:17" x14ac:dyDescent="0.2">
      <c r="B104" s="153">
        <v>6</v>
      </c>
      <c r="C104" s="153" t="s">
        <v>219</v>
      </c>
      <c r="E104" s="989">
        <v>2.4000000000000001E-4</v>
      </c>
      <c r="F104" s="989" t="s">
        <v>224</v>
      </c>
      <c r="H104" s="989">
        <v>2.4000000000000001E-5</v>
      </c>
      <c r="I104" s="989" t="s">
        <v>228</v>
      </c>
      <c r="J104" s="989">
        <v>6.9282032302755094E-6</v>
      </c>
      <c r="L104" s="989" t="s">
        <v>745</v>
      </c>
      <c r="M104" s="989">
        <v>-2.369096795669003E-2</v>
      </c>
      <c r="N104" s="992">
        <f>'INCERTIDUMBRE DE LA MEDIDA'!M110</f>
        <v>-1.9509803366106899E-6</v>
      </c>
      <c r="O104" s="863">
        <f>'INCERTIDUMBRE DE LA MEDIDA'!N110</f>
        <v>3.8063242738415605E-12</v>
      </c>
      <c r="P104" s="989">
        <v>100</v>
      </c>
      <c r="Q104" s="989">
        <v>7.2579453880739922E-30</v>
      </c>
    </row>
    <row r="105" spans="2:17" x14ac:dyDescent="0.2">
      <c r="B105" s="153">
        <v>7</v>
      </c>
      <c r="C105" s="153" t="s">
        <v>254</v>
      </c>
      <c r="F105" s="989" t="s">
        <v>220</v>
      </c>
      <c r="G105" s="989" t="s">
        <v>256</v>
      </c>
      <c r="H105" s="989">
        <v>3.0052770464246936E-5</v>
      </c>
      <c r="I105" s="989" t="s">
        <v>255</v>
      </c>
      <c r="J105" s="989">
        <v>8.6754875587135026E-6</v>
      </c>
      <c r="L105" s="989" t="s">
        <v>351</v>
      </c>
      <c r="M105" s="989">
        <v>1.0026647606064594</v>
      </c>
      <c r="N105" s="992">
        <f>'INCERTIDUMBRE DE LA MEDIDA'!M111</f>
        <v>-8.699128118879432E-6</v>
      </c>
      <c r="O105" s="863">
        <f>'INCERTIDUMBRE DE LA MEDIDA'!N111</f>
        <v>7.5674830028678809E-11</v>
      </c>
      <c r="P105" s="989">
        <v>100</v>
      </c>
      <c r="Q105" s="989">
        <v>5.7253042645456071E-23</v>
      </c>
    </row>
    <row r="106" spans="2:17" x14ac:dyDescent="0.2">
      <c r="B106" s="153">
        <v>8</v>
      </c>
      <c r="C106" s="153" t="s">
        <v>545</v>
      </c>
      <c r="G106" s="989" t="s">
        <v>351</v>
      </c>
      <c r="H106" s="989">
        <v>7.2168992626565095E-5</v>
      </c>
      <c r="I106" s="989" t="s">
        <v>232</v>
      </c>
      <c r="J106" s="989">
        <v>2.2821839313984328E-5</v>
      </c>
      <c r="L106" s="989" t="s">
        <v>351</v>
      </c>
      <c r="M106" s="989">
        <v>1</v>
      </c>
      <c r="N106" s="992">
        <f>'INCERTIDUMBRE DE LA MEDIDA'!M112</f>
        <v>1.0434739537121783E-4</v>
      </c>
      <c r="O106" s="863">
        <f>'INCERTIDUMBRE DE LA MEDIDA'!N112</f>
        <v>1.0888378920757252E-8</v>
      </c>
      <c r="P106" s="989">
        <v>9</v>
      </c>
      <c r="Q106" s="989">
        <v>3.0141167015669946E-20</v>
      </c>
    </row>
    <row r="107" spans="2:17" x14ac:dyDescent="0.2">
      <c r="C107" s="153" t="s">
        <v>448</v>
      </c>
      <c r="E107" s="989">
        <v>0.05</v>
      </c>
      <c r="G107" s="989" t="s">
        <v>351</v>
      </c>
      <c r="H107" s="989">
        <v>0</v>
      </c>
      <c r="I107" s="989" t="s">
        <v>255</v>
      </c>
      <c r="J107" s="989">
        <v>0</v>
      </c>
      <c r="L107" s="989" t="s">
        <v>351</v>
      </c>
      <c r="M107" s="989">
        <v>1</v>
      </c>
      <c r="N107" s="992">
        <f>'INCERTIDUMBRE DE LA MEDIDA'!M113</f>
        <v>0</v>
      </c>
      <c r="O107" s="863">
        <f>'INCERTIDUMBRE DE LA MEDIDA'!N113</f>
        <v>0</v>
      </c>
      <c r="P107" s="989">
        <v>100</v>
      </c>
      <c r="Q107" s="989">
        <v>0</v>
      </c>
    </row>
    <row r="108" spans="2:17" x14ac:dyDescent="0.2">
      <c r="C108" s="153" t="s">
        <v>449</v>
      </c>
      <c r="E108" s="989">
        <v>1E-4</v>
      </c>
      <c r="G108" s="989" t="s">
        <v>351</v>
      </c>
      <c r="H108" s="989">
        <v>0</v>
      </c>
      <c r="I108" s="989" t="s">
        <v>255</v>
      </c>
      <c r="J108" s="989">
        <v>0</v>
      </c>
      <c r="L108" s="989" t="s">
        <v>351</v>
      </c>
      <c r="M108" s="989">
        <v>1</v>
      </c>
      <c r="N108" s="992">
        <f>'INCERTIDUMBRE DE LA MEDIDA'!M114</f>
        <v>0</v>
      </c>
      <c r="O108" s="863">
        <f>'INCERTIDUMBRE DE LA MEDIDA'!N114</f>
        <v>0</v>
      </c>
      <c r="P108" s="989">
        <v>100</v>
      </c>
      <c r="Q108" s="989">
        <v>0</v>
      </c>
    </row>
    <row r="109" spans="2:17" x14ac:dyDescent="0.2">
      <c r="C109" s="153" t="s">
        <v>582</v>
      </c>
      <c r="E109" s="989">
        <v>1E-4</v>
      </c>
      <c r="G109" s="989" t="s">
        <v>351</v>
      </c>
      <c r="H109" s="989">
        <v>1E-4</v>
      </c>
      <c r="I109" s="989" t="s">
        <v>255</v>
      </c>
      <c r="J109" s="989">
        <v>2.8867513459481293E-5</v>
      </c>
      <c r="L109" s="989" t="s">
        <v>351</v>
      </c>
      <c r="M109" s="989">
        <v>1</v>
      </c>
      <c r="N109" s="992">
        <f>'INCERTIDUMBRE DE LA MEDIDA'!M115</f>
        <v>2.886751345948129E-4</v>
      </c>
      <c r="O109" s="863">
        <f>'INCERTIDUMBRE DE LA MEDIDA'!N115</f>
        <v>8.3333333333333338E-8</v>
      </c>
      <c r="P109" s="989">
        <v>100</v>
      </c>
      <c r="Q109" s="989">
        <v>6.9444444444444486E-21</v>
      </c>
    </row>
    <row r="110" spans="2:17" x14ac:dyDescent="0.2">
      <c r="C110" s="153" t="s">
        <v>450</v>
      </c>
      <c r="E110" s="989">
        <v>0</v>
      </c>
      <c r="G110" s="989" t="s">
        <v>351</v>
      </c>
      <c r="H110" s="989">
        <v>0</v>
      </c>
      <c r="I110" s="989" t="s">
        <v>232</v>
      </c>
      <c r="J110" s="989">
        <v>0</v>
      </c>
      <c r="L110" s="989" t="s">
        <v>351</v>
      </c>
      <c r="M110" s="989">
        <v>1</v>
      </c>
      <c r="N110" s="992">
        <f>'INCERTIDUMBRE DE LA MEDIDA'!M116</f>
        <v>2.9066804599455653E-4</v>
      </c>
      <c r="O110" s="863">
        <f>'INCERTIDUMBRE DE LA MEDIDA'!N116</f>
        <v>8.4487912962293624E-8</v>
      </c>
      <c r="P110" s="989">
        <v>39</v>
      </c>
      <c r="Q110" s="989">
        <v>0</v>
      </c>
    </row>
    <row r="111" spans="2:17" x14ac:dyDescent="0.2">
      <c r="C111" s="153" t="s">
        <v>546</v>
      </c>
      <c r="N111" s="992">
        <f>'INCERTIDUMBRE DE LA MEDIDA'!M117</f>
        <v>0</v>
      </c>
      <c r="O111" s="863">
        <f>'INCERTIDUMBRE DE LA MEDIDA'!N117</f>
        <v>0</v>
      </c>
    </row>
    <row r="112" spans="2:17" x14ac:dyDescent="0.2">
      <c r="C112" s="153" t="s">
        <v>542</v>
      </c>
      <c r="E112" s="989">
        <v>0.30994116987520215</v>
      </c>
      <c r="G112" s="989" t="s">
        <v>23</v>
      </c>
      <c r="H112" s="989">
        <v>0.30994116987520215</v>
      </c>
      <c r="I112" s="989" t="s">
        <v>255</v>
      </c>
      <c r="J112" s="989">
        <v>0.17894461786039551</v>
      </c>
      <c r="M112" s="989">
        <v>-9.037687511132199E-6</v>
      </c>
      <c r="N112" s="992">
        <f>'INCERTIDUMBRE DE LA MEDIDA'!M118</f>
        <v>-1.7143897374992384E-5</v>
      </c>
      <c r="O112" s="863">
        <f>'INCERTIDUMBRE DE LA MEDIDA'!N118</f>
        <v>2.9391321720427076E-10</v>
      </c>
      <c r="P112" s="989">
        <v>100</v>
      </c>
      <c r="Q112" s="989">
        <v>6.840752004619964E-26</v>
      </c>
    </row>
    <row r="113" spans="2:22" x14ac:dyDescent="0.2">
      <c r="C113" s="153" t="s">
        <v>540</v>
      </c>
      <c r="E113" s="989">
        <v>55.439798973553408</v>
      </c>
      <c r="G113" s="989" t="s">
        <v>226</v>
      </c>
      <c r="H113" s="989">
        <v>-1.3935047896884925</v>
      </c>
      <c r="I113" s="989" t="s">
        <v>255</v>
      </c>
      <c r="J113" s="989">
        <v>-0.80454036544368401</v>
      </c>
      <c r="M113" s="989">
        <v>3.1582137996681661E-9</v>
      </c>
      <c r="N113" s="992">
        <f>'INCERTIDUMBRE DE LA MEDIDA'!M119</f>
        <v>-2.5703047698080602E-8</v>
      </c>
      <c r="O113" s="863">
        <f>'INCERTIDUMBRE DE LA MEDIDA'!N119</f>
        <v>6.6064666096980657E-16</v>
      </c>
      <c r="P113" s="989">
        <v>100</v>
      </c>
      <c r="Q113" s="989">
        <v>4.1682855330573351E-37</v>
      </c>
    </row>
    <row r="114" spans="2:22" x14ac:dyDescent="0.2">
      <c r="C114" s="153" t="s">
        <v>541</v>
      </c>
      <c r="E114" s="989">
        <v>900.00400007801363</v>
      </c>
      <c r="G114" s="989" t="s">
        <v>61</v>
      </c>
      <c r="H114" s="989">
        <v>20</v>
      </c>
      <c r="I114" s="989" t="s">
        <v>544</v>
      </c>
      <c r="J114" s="989">
        <v>8.1649658092772608</v>
      </c>
      <c r="M114" s="989">
        <v>5.5575521048593066E-8</v>
      </c>
      <c r="N114" s="992">
        <f>'INCERTIDUMBRE DE LA MEDIDA'!M120</f>
        <v>4.5950818170268982E-6</v>
      </c>
      <c r="O114" s="863">
        <f>'INCERTIDUMBRE DE LA MEDIDA'!N120</f>
        <v>2.111477690517122E-11</v>
      </c>
      <c r="P114" s="989">
        <v>100</v>
      </c>
      <c r="Q114" s="989">
        <v>4.2398613465233572E-28</v>
      </c>
    </row>
    <row r="115" spans="2:22" x14ac:dyDescent="0.2">
      <c r="N115" s="992">
        <f>'INCERTIDUMBRE DE LA MEDIDA'!M121</f>
        <v>0</v>
      </c>
      <c r="O115" s="863">
        <f>'INCERTIDUMBRE DE LA MEDIDA'!N121</f>
        <v>0</v>
      </c>
    </row>
    <row r="116" spans="2:22" x14ac:dyDescent="0.2">
      <c r="C116" s="153" t="s">
        <v>239</v>
      </c>
      <c r="F116" s="989">
        <v>2.1331778567184581E-4</v>
      </c>
      <c r="G116" s="989" t="s">
        <v>351</v>
      </c>
      <c r="I116" s="989" t="s">
        <v>231</v>
      </c>
      <c r="L116" s="989" t="s">
        <v>351</v>
      </c>
      <c r="N116" s="992">
        <f>'INCERTIDUMBRE DE LA MEDIDA'!M122</f>
        <v>4.6583075192838336E-4</v>
      </c>
      <c r="O116" s="863">
        <f>'INCERTIDUMBRE DE LA MEDIDA'!N122</f>
        <v>0</v>
      </c>
      <c r="P116" s="989" t="s">
        <v>244</v>
      </c>
      <c r="Q116" s="989">
        <v>197.90243879149514</v>
      </c>
    </row>
    <row r="117" spans="2:22" x14ac:dyDescent="0.2">
      <c r="C117" s="153" t="s">
        <v>68</v>
      </c>
      <c r="F117" s="989">
        <v>0.42936009999999997</v>
      </c>
      <c r="G117" s="989" t="s">
        <v>351</v>
      </c>
      <c r="I117" s="989" t="s">
        <v>231</v>
      </c>
      <c r="L117" s="989" t="s">
        <v>351</v>
      </c>
      <c r="N117" s="992">
        <f>'INCERTIDUMBRE DE LA MEDIDA'!M123</f>
        <v>9.3572358047622109E-4</v>
      </c>
      <c r="O117" s="863">
        <f>'INCERTIDUMBRE DE LA MEDIDA'!N123</f>
        <v>0</v>
      </c>
      <c r="Q117" s="989">
        <v>2.0127721272766457</v>
      </c>
    </row>
    <row r="118" spans="2:22" x14ac:dyDescent="0.2">
      <c r="C118" s="153" t="s">
        <v>68</v>
      </c>
      <c r="F118" s="989">
        <v>0.85872019999999982</v>
      </c>
      <c r="G118" s="989" t="s">
        <v>226</v>
      </c>
      <c r="I118" s="989" t="s">
        <v>231</v>
      </c>
      <c r="L118" s="989" t="s">
        <v>226</v>
      </c>
      <c r="N118" s="992">
        <f>'INCERTIDUMBRE DE LA MEDIDA'!M124</f>
        <v>0.18714471999999999</v>
      </c>
      <c r="O118" s="863">
        <f>'INCERTIDUMBRE DE LA MEDIDA'!N124</f>
        <v>0</v>
      </c>
      <c r="P118" s="989" t="s">
        <v>245</v>
      </c>
      <c r="Q118" s="989">
        <v>0.42936009999999997</v>
      </c>
    </row>
    <row r="119" spans="2:22" x14ac:dyDescent="0.2">
      <c r="C119" s="153" t="s">
        <v>244</v>
      </c>
      <c r="D119">
        <v>197.90243879149514</v>
      </c>
      <c r="E119" s="989" t="s">
        <v>495</v>
      </c>
      <c r="F119" s="989">
        <v>2.0127721272766457</v>
      </c>
      <c r="N119" s="992">
        <f>'INCERTIDUMBRE DE LA MEDIDA'!M125</f>
        <v>0</v>
      </c>
      <c r="O119" s="863">
        <f>'INCERTIDUMBRE DE LA MEDIDA'!N125</f>
        <v>0</v>
      </c>
    </row>
    <row r="120" spans="2:22" x14ac:dyDescent="0.2">
      <c r="N120" s="992">
        <f>'INCERTIDUMBRE DE LA MEDIDA'!M126</f>
        <v>0</v>
      </c>
      <c r="O120" s="863">
        <f>'INCERTIDUMBRE DE LA MEDIDA'!N126</f>
        <v>0</v>
      </c>
    </row>
    <row r="122" spans="2:22" x14ac:dyDescent="0.2">
      <c r="D122" t="s">
        <v>389</v>
      </c>
    </row>
    <row r="124" spans="2:22" ht="18" x14ac:dyDescent="0.25">
      <c r="B124" s="153" t="s">
        <v>184</v>
      </c>
      <c r="C124" s="153" t="s">
        <v>186</v>
      </c>
      <c r="E124" s="989" t="s">
        <v>195</v>
      </c>
      <c r="F124" s="989" t="s">
        <v>185</v>
      </c>
      <c r="G124" s="989" t="s">
        <v>22</v>
      </c>
      <c r="H124" s="989" t="s">
        <v>187</v>
      </c>
      <c r="I124" s="989" t="s">
        <v>188</v>
      </c>
      <c r="J124" s="989" t="s">
        <v>189</v>
      </c>
      <c r="L124" s="989" t="s">
        <v>190</v>
      </c>
      <c r="N124" t="s">
        <v>193</v>
      </c>
      <c r="O124" t="s">
        <v>191</v>
      </c>
      <c r="P124" s="989" t="s">
        <v>192</v>
      </c>
      <c r="Q124" s="989" t="s">
        <v>194</v>
      </c>
      <c r="S124" s="990">
        <f>'[2]INCERTIDUMBRE DE LA MEDIDA'!Q130</f>
        <v>3</v>
      </c>
    </row>
    <row r="125" spans="2:22" x14ac:dyDescent="0.2">
      <c r="B125" s="153">
        <v>0</v>
      </c>
      <c r="C125" s="153" t="s">
        <v>196</v>
      </c>
      <c r="E125" s="989">
        <v>100</v>
      </c>
    </row>
    <row r="126" spans="2:22" x14ac:dyDescent="0.2">
      <c r="B126" s="153">
        <v>1</v>
      </c>
      <c r="C126" s="153" t="s">
        <v>197</v>
      </c>
      <c r="E126" s="989">
        <v>9.9443886260412742E-2</v>
      </c>
      <c r="S126">
        <f>B126</f>
        <v>1</v>
      </c>
      <c r="T126" t="str">
        <f>C126</f>
        <v>Masa de agua (g)</v>
      </c>
      <c r="U126" s="1">
        <f>SUM(O128:O136)</f>
        <v>7.2291663196093229E-9</v>
      </c>
      <c r="V126" s="991">
        <f>U126/$U$18</f>
        <v>2.2453765528956879E-5</v>
      </c>
    </row>
    <row r="127" spans="2:22" x14ac:dyDescent="0.2">
      <c r="B127" s="153" t="s">
        <v>200</v>
      </c>
      <c r="D127" t="s">
        <v>198</v>
      </c>
      <c r="E127" s="989">
        <v>25.796898029205249</v>
      </c>
      <c r="S127">
        <f>B137</f>
        <v>2</v>
      </c>
      <c r="T127" t="str">
        <f>D137</f>
        <v>densidad  del aire (g/cm³)</v>
      </c>
      <c r="U127">
        <f>SUM(O137:O152)</f>
        <v>1.2020141021055033E-7</v>
      </c>
      <c r="V127" s="991">
        <f t="shared" ref="V127:V138" si="10">U127/$U$18</f>
        <v>3.7334516343836416E-4</v>
      </c>
    </row>
    <row r="128" spans="2:22" x14ac:dyDescent="0.2">
      <c r="D128" t="s">
        <v>182</v>
      </c>
      <c r="F128" s="989" t="s">
        <v>65</v>
      </c>
      <c r="G128" s="989" t="s">
        <v>67</v>
      </c>
      <c r="H128" s="989">
        <v>1.0000000000000001E-5</v>
      </c>
      <c r="I128" s="989" t="s">
        <v>228</v>
      </c>
      <c r="J128" s="989">
        <v>2.8867513459481293E-6</v>
      </c>
      <c r="L128" s="989" t="s">
        <v>228</v>
      </c>
      <c r="M128" s="989">
        <v>1.0026865199781492</v>
      </c>
      <c r="N128" s="992">
        <f>'INCERTIDUMBRE DE LA MEDIDA'!M134</f>
        <v>2.8946199891550242E-6</v>
      </c>
      <c r="O128" s="863">
        <f>'INCERTIDUMBRE DE LA MEDIDA'!N134</f>
        <v>8.378824881615833E-12</v>
      </c>
      <c r="P128" s="989">
        <v>100</v>
      </c>
      <c r="Q128" s="989">
        <v>7.0193712629228553E-25</v>
      </c>
      <c r="S128">
        <f>B153</f>
        <v>3</v>
      </c>
      <c r="T128" t="str">
        <f>C153</f>
        <v>temperatura densidad  del agua (g/cm³)</v>
      </c>
      <c r="U128">
        <f>SUM(O153:O158)</f>
        <v>5.2232991029158309E-11</v>
      </c>
      <c r="V128" s="991">
        <f t="shared" si="10"/>
        <v>1.6223548907202488E-7</v>
      </c>
    </row>
    <row r="129" spans="2:23" x14ac:dyDescent="0.2">
      <c r="B129" s="153" t="s">
        <v>201</v>
      </c>
      <c r="D129" t="s">
        <v>199</v>
      </c>
      <c r="E129" s="989">
        <v>25.697454142944832</v>
      </c>
      <c r="N129" s="992">
        <f>'INCERTIDUMBRE DE LA MEDIDA'!M135</f>
        <v>0</v>
      </c>
      <c r="O129" s="863">
        <f>'INCERTIDUMBRE DE LA MEDIDA'!N135</f>
        <v>0</v>
      </c>
      <c r="S129">
        <f>B159</f>
        <v>4</v>
      </c>
      <c r="T129" t="str">
        <f>C159</f>
        <v>Densidad Masas (g/cm³)</v>
      </c>
      <c r="U129">
        <f>SUM(O159)</f>
        <v>4.7327169958572799E-11</v>
      </c>
      <c r="V129" s="991">
        <f t="shared" si="10"/>
        <v>1.4699802583270961E-7</v>
      </c>
    </row>
    <row r="130" spans="2:23" x14ac:dyDescent="0.2">
      <c r="D130" t="s">
        <v>182</v>
      </c>
      <c r="F130" s="989" t="s">
        <v>65</v>
      </c>
      <c r="G130" s="989" t="s">
        <v>67</v>
      </c>
      <c r="H130" s="989">
        <v>1.0000000000000001E-5</v>
      </c>
      <c r="I130" s="989" t="s">
        <v>228</v>
      </c>
      <c r="J130" s="989">
        <v>2.8867513459481293E-6</v>
      </c>
      <c r="L130" s="989" t="s">
        <v>228</v>
      </c>
      <c r="M130" s="989">
        <v>1.0026865199781492</v>
      </c>
      <c r="N130" s="992">
        <f>'INCERTIDUMBRE DE LA MEDIDA'!M136</f>
        <v>2.8946199891550242E-6</v>
      </c>
      <c r="O130" s="863">
        <f>'INCERTIDUMBRE DE LA MEDIDA'!N136</f>
        <v>8.378824881615833E-12</v>
      </c>
      <c r="P130" s="989">
        <v>100</v>
      </c>
      <c r="Q130" s="989">
        <v>7.0193712629228553E-25</v>
      </c>
      <c r="S130">
        <f>B160</f>
        <v>5</v>
      </c>
      <c r="T130" t="str">
        <f>C160</f>
        <v>Temperatura dispositivo (°C)</v>
      </c>
      <c r="U130" s="1">
        <f>SUM(O160:O164)</f>
        <v>1.6880046169407224E-9</v>
      </c>
      <c r="V130" s="991">
        <f t="shared" si="10"/>
        <v>5.2429364887861571E-6</v>
      </c>
    </row>
    <row r="131" spans="2:23" x14ac:dyDescent="0.2">
      <c r="N131" s="992">
        <f>'INCERTIDUMBRE DE LA MEDIDA'!M137</f>
        <v>0</v>
      </c>
      <c r="O131" s="863">
        <f>'INCERTIDUMBRE DE LA MEDIDA'!N137</f>
        <v>0</v>
      </c>
      <c r="S131">
        <f>B165</f>
        <v>6</v>
      </c>
      <c r="T131" t="str">
        <f>C165</f>
        <v>Coef. Cubico de Expansión (1/°C)</v>
      </c>
      <c r="U131">
        <f>SUM(O165)</f>
        <v>1.1311140509720516E-11</v>
      </c>
      <c r="V131" s="991">
        <f t="shared" si="10"/>
        <v>3.5132363213366441E-8</v>
      </c>
    </row>
    <row r="132" spans="2:23" x14ac:dyDescent="0.2">
      <c r="B132" s="153">
        <v>1.3</v>
      </c>
      <c r="D132" t="s">
        <v>355</v>
      </c>
      <c r="F132" s="989" t="s">
        <v>66</v>
      </c>
      <c r="G132" s="989" t="s">
        <v>67</v>
      </c>
      <c r="H132" s="989" t="s">
        <v>520</v>
      </c>
      <c r="I132" s="989" t="s">
        <v>229</v>
      </c>
      <c r="J132" s="989">
        <v>1.1E-4</v>
      </c>
      <c r="L132" s="989" t="s">
        <v>741</v>
      </c>
      <c r="M132" s="989">
        <v>1.0026865199781492</v>
      </c>
      <c r="N132" s="992">
        <f>'INCERTIDUMBRE DE LA MEDIDA'!M138</f>
        <v>2.6572233116051161E-5</v>
      </c>
      <c r="O132" s="863">
        <f>'INCERTIDUMBRE DE LA MEDIDA'!N138</f>
        <v>7.0608357277376602E-10</v>
      </c>
      <c r="P132" s="989">
        <v>50</v>
      </c>
      <c r="Q132" s="989">
        <v>2.9597937022210598E-18</v>
      </c>
      <c r="S132">
        <f t="shared" ref="S132:T138" si="11">B166</f>
        <v>7</v>
      </c>
      <c r="T132" t="str">
        <f t="shared" si="11"/>
        <v>Evaporizacion y salpicaduras</v>
      </c>
      <c r="U132">
        <f t="shared" ref="U132:U137" si="12">SUM(O166)</f>
        <v>7.5674949948821647E-11</v>
      </c>
      <c r="V132" s="991">
        <f t="shared" si="10"/>
        <v>2.3504613221545244E-7</v>
      </c>
    </row>
    <row r="133" spans="2:23" x14ac:dyDescent="0.2">
      <c r="B133" s="153">
        <v>1.4</v>
      </c>
      <c r="D133" t="s">
        <v>356</v>
      </c>
      <c r="F133" s="989" t="s">
        <v>66</v>
      </c>
      <c r="G133" s="989" t="s">
        <v>67</v>
      </c>
      <c r="H133" s="989" t="s">
        <v>522</v>
      </c>
      <c r="I133" s="989" t="s">
        <v>229</v>
      </c>
      <c r="J133" s="989">
        <v>1.15E-4</v>
      </c>
      <c r="L133" s="989" t="s">
        <v>741</v>
      </c>
      <c r="M133" s="989">
        <v>1.0026865199781492</v>
      </c>
      <c r="N133" s="992">
        <f>'INCERTIDUMBRE DE LA MEDIDA'!M139</f>
        <v>4.5624022897370857E-5</v>
      </c>
      <c r="O133" s="863">
        <f>'INCERTIDUMBRE DE LA MEDIDA'!N139</f>
        <v>2.0815514653398202E-9</v>
      </c>
      <c r="P133" s="989">
        <v>50</v>
      </c>
      <c r="Q133" s="989">
        <v>3.5357541724576698E-18</v>
      </c>
      <c r="S133">
        <f t="shared" si="11"/>
        <v>8</v>
      </c>
      <c r="T133" t="str">
        <f t="shared" si="11"/>
        <v>Incertidumbre estandar tipo A, (Repetibilidad)</v>
      </c>
      <c r="U133">
        <f t="shared" si="12"/>
        <v>9.1490986548287945E-8</v>
      </c>
      <c r="V133" s="991">
        <f t="shared" si="10"/>
        <v>2.8417068706744378E-4</v>
      </c>
    </row>
    <row r="134" spans="2:23" x14ac:dyDescent="0.2">
      <c r="B134" s="153">
        <v>1.5</v>
      </c>
      <c r="D134" t="s">
        <v>347</v>
      </c>
      <c r="F134" s="989" t="s">
        <v>349</v>
      </c>
      <c r="G134" s="989" t="s">
        <v>67</v>
      </c>
      <c r="H134" s="989">
        <v>2.0000000000000001E-4</v>
      </c>
      <c r="I134" s="989" t="s">
        <v>228</v>
      </c>
      <c r="J134" s="989">
        <v>1.1547005383792517E-4</v>
      </c>
      <c r="L134" s="989" t="s">
        <v>228</v>
      </c>
      <c r="M134" s="989">
        <v>1.0026865199781492</v>
      </c>
      <c r="N134" s="992">
        <f>'INCERTIDUMBRE DE LA MEDIDA'!M140</f>
        <v>5.7892399783100485E-5</v>
      </c>
      <c r="O134" s="863">
        <f>'INCERTIDUMBRE DE LA MEDIDA'!N140</f>
        <v>3.3515299526463331E-9</v>
      </c>
      <c r="P134" s="989">
        <v>50</v>
      </c>
      <c r="Q134" s="989">
        <v>3.5939180866165024E-18</v>
      </c>
      <c r="S134">
        <f t="shared" si="11"/>
        <v>0</v>
      </c>
      <c r="T134" t="str">
        <f t="shared" si="11"/>
        <v xml:space="preserve">Proceso de calibración y manejo </v>
      </c>
      <c r="U134">
        <f t="shared" si="12"/>
        <v>0</v>
      </c>
      <c r="V134" s="991">
        <f t="shared" si="10"/>
        <v>0</v>
      </c>
    </row>
    <row r="135" spans="2:23" x14ac:dyDescent="0.2">
      <c r="B135" s="153">
        <v>1.6</v>
      </c>
      <c r="D135" t="s">
        <v>348</v>
      </c>
      <c r="F135" s="989" t="s">
        <v>349</v>
      </c>
      <c r="G135" s="989" t="s">
        <v>67</v>
      </c>
      <c r="H135" s="989">
        <v>1E-4</v>
      </c>
      <c r="I135" s="989" t="s">
        <v>228</v>
      </c>
      <c r="J135" s="989">
        <v>2.8867513459481293E-5</v>
      </c>
      <c r="L135" s="989" t="s">
        <v>228</v>
      </c>
      <c r="M135" s="989">
        <v>1.0026865199781492</v>
      </c>
      <c r="N135" s="992">
        <f>'INCERTIDUMBRE DE LA MEDIDA'!M141</f>
        <v>2.8946199891550242E-5</v>
      </c>
      <c r="O135" s="863">
        <f>'INCERTIDUMBRE DE LA MEDIDA'!N141</f>
        <v>8.3788248816158326E-10</v>
      </c>
      <c r="P135" s="989">
        <v>50</v>
      </c>
      <c r="Q135" s="989">
        <v>1.4038742525845713E-20</v>
      </c>
      <c r="S135">
        <f t="shared" si="11"/>
        <v>0</v>
      </c>
      <c r="T135" t="str">
        <f t="shared" si="11"/>
        <v>Incertidumbre por resolución del instrumento</v>
      </c>
      <c r="U135">
        <f t="shared" si="12"/>
        <v>0</v>
      </c>
      <c r="V135" s="991">
        <f t="shared" si="10"/>
        <v>0</v>
      </c>
    </row>
    <row r="136" spans="2:23" x14ac:dyDescent="0.2">
      <c r="B136" s="153">
        <v>1.7</v>
      </c>
      <c r="D136" t="s">
        <v>352</v>
      </c>
      <c r="F136" s="989" t="s">
        <v>353</v>
      </c>
      <c r="G136" s="989" t="s">
        <v>67</v>
      </c>
      <c r="H136" s="989" t="s">
        <v>520</v>
      </c>
      <c r="I136" s="989" t="s">
        <v>228</v>
      </c>
      <c r="J136" s="989">
        <v>6.3508529610858846E-5</v>
      </c>
      <c r="L136" s="989" t="s">
        <v>228</v>
      </c>
      <c r="M136" s="989">
        <v>1.0026865199781492</v>
      </c>
      <c r="N136" s="992">
        <f>'INCERTIDUMBRE DE LA MEDIDA'!M142</f>
        <v>1.5341485942521625E-5</v>
      </c>
      <c r="O136" s="863">
        <f>'INCERTIDUMBRE DE LA MEDIDA'!N142</f>
        <v>2.3536119092458866E-10</v>
      </c>
      <c r="P136" s="989">
        <v>51</v>
      </c>
      <c r="Q136" s="989">
        <v>3.2241761462103062E-19</v>
      </c>
      <c r="S136">
        <f t="shared" si="11"/>
        <v>0</v>
      </c>
      <c r="T136" t="str">
        <f t="shared" si="11"/>
        <v>Incertidumbre por setting</v>
      </c>
      <c r="U136">
        <f t="shared" si="12"/>
        <v>8.3333333333333338E-8</v>
      </c>
      <c r="V136" s="991">
        <f t="shared" si="10"/>
        <v>2.5883304446012436E-4</v>
      </c>
    </row>
    <row r="137" spans="2:23" x14ac:dyDescent="0.2">
      <c r="B137" s="153">
        <v>2</v>
      </c>
      <c r="D137" t="s">
        <v>628</v>
      </c>
      <c r="E137" s="989">
        <v>1.0612433892088931E-3</v>
      </c>
      <c r="N137" s="992">
        <f>'INCERTIDUMBRE DE LA MEDIDA'!M143</f>
        <v>0</v>
      </c>
      <c r="O137" s="863">
        <f>'INCERTIDUMBRE DE LA MEDIDA'!N143</f>
        <v>0</v>
      </c>
      <c r="S137">
        <f t="shared" si="11"/>
        <v>0</v>
      </c>
      <c r="T137" t="str">
        <f t="shared" si="11"/>
        <v>Reproducibilidad</v>
      </c>
      <c r="U137">
        <f t="shared" si="12"/>
        <v>3.3630246947458777E-7</v>
      </c>
      <c r="V137" s="991">
        <f t="shared" si="10"/>
        <v>1.0445543044027869E-3</v>
      </c>
    </row>
    <row r="138" spans="2:23" x14ac:dyDescent="0.2">
      <c r="C138" s="153" t="s">
        <v>346</v>
      </c>
      <c r="E138" s="989">
        <v>20.687994956075546</v>
      </c>
      <c r="N138" s="992">
        <f>'INCERTIDUMBRE DE LA MEDIDA'!M144</f>
        <v>0</v>
      </c>
      <c r="O138" s="863">
        <f>'INCERTIDUMBRE DE LA MEDIDA'!N144</f>
        <v>0</v>
      </c>
      <c r="S138">
        <f t="shared" si="11"/>
        <v>0</v>
      </c>
      <c r="T138" t="str">
        <f t="shared" si="11"/>
        <v>Colchon de aire</v>
      </c>
      <c r="U138">
        <f>SUM(O172:O175)</f>
        <v>1.0989190159688496E-9</v>
      </c>
      <c r="V138" s="991">
        <f t="shared" si="10"/>
        <v>3.4132386542200956E-6</v>
      </c>
    </row>
    <row r="139" spans="2:23" x14ac:dyDescent="0.2">
      <c r="N139" s="992">
        <f>'INCERTIDUMBRE DE LA MEDIDA'!M145</f>
        <v>0</v>
      </c>
      <c r="O139" s="863">
        <f>'INCERTIDUMBRE DE LA MEDIDA'!N145</f>
        <v>0</v>
      </c>
    </row>
    <row r="140" spans="2:23" x14ac:dyDescent="0.2">
      <c r="B140" s="153" t="s">
        <v>206</v>
      </c>
      <c r="D140" t="s">
        <v>202</v>
      </c>
      <c r="E140" s="989">
        <v>6.8000000000000005E-4</v>
      </c>
      <c r="F140" s="989" t="s">
        <v>636</v>
      </c>
      <c r="G140" s="989" t="s">
        <v>171</v>
      </c>
      <c r="H140" s="989">
        <v>7.2164550466204741E-7</v>
      </c>
      <c r="I140" s="989" t="s">
        <v>255</v>
      </c>
      <c r="J140" s="989">
        <v>3.9259818304894555E-4</v>
      </c>
      <c r="M140" s="989">
        <v>8.7477398003285259E-2</v>
      </c>
      <c r="N140" s="992">
        <f>'INCERTIDUMBRE DE LA MEDIDA'!M146</f>
        <v>3.459694427021145E-4</v>
      </c>
      <c r="O140" s="863">
        <f>'INCERTIDUMBRE DE LA MEDIDA'!N146</f>
        <v>1.1969485528361169E-7</v>
      </c>
      <c r="P140" s="989">
        <v>100</v>
      </c>
      <c r="Q140" s="989">
        <v>1.3911583526067717E-20</v>
      </c>
      <c r="S140" t="str">
        <f>'[2]INCERTIDUMBRE DE LA MEDIDA'!B183</f>
        <v>Incertidumbre estandar combinada</v>
      </c>
      <c r="T140" s="993">
        <f>'[2]INCERTIDUMBRE DE LA MEDIDA'!M183</f>
        <v>1.4156075482701393E-4</v>
      </c>
      <c r="U140" s="37">
        <f>SQRT(SUM(U126:U139))</f>
        <v>8.0095620090659422E-4</v>
      </c>
    </row>
    <row r="141" spans="2:23" x14ac:dyDescent="0.2">
      <c r="B141" s="153" t="s">
        <v>207</v>
      </c>
      <c r="D141" t="s">
        <v>203</v>
      </c>
      <c r="N141" s="992">
        <f>'INCERTIDUMBRE DE LA MEDIDA'!M147</f>
        <v>0</v>
      </c>
      <c r="O141" s="863">
        <f>'INCERTIDUMBRE DE LA MEDIDA'!N147</f>
        <v>0</v>
      </c>
    </row>
    <row r="142" spans="2:23" x14ac:dyDescent="0.2">
      <c r="D142" t="s">
        <v>204</v>
      </c>
      <c r="F142" s="989" t="s">
        <v>66</v>
      </c>
      <c r="G142" s="989" t="s">
        <v>23</v>
      </c>
      <c r="H142" s="989">
        <v>0.27985038957073743</v>
      </c>
      <c r="I142" s="989" t="s">
        <v>229</v>
      </c>
      <c r="J142" s="989">
        <v>0.13992519478536872</v>
      </c>
      <c r="L142" s="989">
        <v>0</v>
      </c>
      <c r="M142" s="989">
        <v>-1.5826993613433234E-5</v>
      </c>
      <c r="N142" s="992">
        <f>'INCERTIDUMBRE DE LA MEDIDA'!M148</f>
        <v>-2.2037294285826965E-5</v>
      </c>
      <c r="O142" s="863">
        <f>'INCERTIDUMBRE DE LA MEDIDA'!N148</f>
        <v>4.856423394401418E-10</v>
      </c>
      <c r="P142" s="989">
        <v>50</v>
      </c>
      <c r="Q142" s="989">
        <v>4.8106901412399852E-25</v>
      </c>
      <c r="T142" t="str">
        <f>T126</f>
        <v>Masa de agua (g)</v>
      </c>
    </row>
    <row r="143" spans="2:23" x14ac:dyDescent="0.2">
      <c r="D143" t="s">
        <v>213</v>
      </c>
      <c r="F143" s="989" t="s">
        <v>220</v>
      </c>
      <c r="G143" s="989" t="s">
        <v>23</v>
      </c>
      <c r="H143" s="989">
        <v>0</v>
      </c>
      <c r="I143" s="989" t="s">
        <v>228</v>
      </c>
      <c r="J143" s="989">
        <v>0</v>
      </c>
      <c r="L143" s="989">
        <v>0</v>
      </c>
      <c r="M143" s="989">
        <v>-1.5826993613433234E-5</v>
      </c>
      <c r="N143" s="992">
        <f>'INCERTIDUMBRE DE LA MEDIDA'!M149</f>
        <v>0</v>
      </c>
      <c r="O143" s="863">
        <f>'INCERTIDUMBRE DE LA MEDIDA'!N149</f>
        <v>0</v>
      </c>
      <c r="P143" s="989">
        <v>100</v>
      </c>
      <c r="Q143" s="989">
        <v>0</v>
      </c>
      <c r="T143" t="str">
        <f>CONCATENATE(D127," ",D128)</f>
        <v>Lectura recipiente lleno Resolucion</v>
      </c>
      <c r="U143">
        <f>O128</f>
        <v>8.378824881615833E-12</v>
      </c>
      <c r="V143" s="994">
        <f>U143/$U$29</f>
        <v>1.1594528977860437E-3</v>
      </c>
      <c r="W143" s="995">
        <f>U143/$U$18</f>
        <v>2.6024601037282402E-8</v>
      </c>
    </row>
    <row r="144" spans="2:23" x14ac:dyDescent="0.2">
      <c r="D144" t="s">
        <v>182</v>
      </c>
      <c r="F144" s="989" t="s">
        <v>221</v>
      </c>
      <c r="G144" s="989" t="s">
        <v>23</v>
      </c>
      <c r="H144" s="989">
        <v>0.1</v>
      </c>
      <c r="I144" s="989" t="s">
        <v>228</v>
      </c>
      <c r="J144" s="989">
        <v>2.8867513459481291E-2</v>
      </c>
      <c r="L144" s="989">
        <v>0</v>
      </c>
      <c r="M144" s="989">
        <v>-1.5826993613433234E-5</v>
      </c>
      <c r="N144" s="992">
        <f>'INCERTIDUMBRE DE LA MEDIDA'!M150</f>
        <v>-4.5470076126357202E-6</v>
      </c>
      <c r="O144" s="863">
        <f>'INCERTIDUMBRE DE LA MEDIDA'!N150</f>
        <v>2.0675278229367191E-11</v>
      </c>
      <c r="P144" s="989">
        <v>100</v>
      </c>
      <c r="Q144" s="989">
        <v>4.3574379990291956E-28</v>
      </c>
      <c r="T144" t="str">
        <f>CONCATENATE(D129," ",D130)</f>
        <v>Lectura recipiente vacio Resolucion</v>
      </c>
      <c r="U144">
        <f>O130</f>
        <v>8.378824881615833E-12</v>
      </c>
      <c r="V144" s="994">
        <f t="shared" ref="V144:V149" si="13">U144/$U$29</f>
        <v>1.1594528977860437E-3</v>
      </c>
      <c r="W144" s="995">
        <f t="shared" ref="W144:W149" si="14">U144/$U$18</f>
        <v>2.6024601037282402E-8</v>
      </c>
    </row>
    <row r="145" spans="2:23" x14ac:dyDescent="0.2">
      <c r="B145" s="153" t="s">
        <v>208</v>
      </c>
      <c r="C145" s="153" t="s">
        <v>205</v>
      </c>
      <c r="E145" s="989">
        <v>55.900680411743828</v>
      </c>
      <c r="N145" s="992">
        <f>'INCERTIDUMBRE DE LA MEDIDA'!M151</f>
        <v>0</v>
      </c>
      <c r="O145" s="863">
        <f>'INCERTIDUMBRE DE LA MEDIDA'!N151</f>
        <v>0</v>
      </c>
      <c r="T145" t="str">
        <f>D132</f>
        <v>Calibracion  recipiente vacio</v>
      </c>
      <c r="U145">
        <f>O132</f>
        <v>7.0608357277376602E-10</v>
      </c>
      <c r="V145" s="994">
        <f t="shared" si="13"/>
        <v>9.7707095696429866E-2</v>
      </c>
      <c r="W145" s="995">
        <f t="shared" si="14"/>
        <v>2.1930931294117874E-6</v>
      </c>
    </row>
    <row r="146" spans="2:23" x14ac:dyDescent="0.2">
      <c r="D146" t="s">
        <v>204</v>
      </c>
      <c r="F146" s="989" t="s">
        <v>66</v>
      </c>
      <c r="G146" s="989" t="s">
        <v>226</v>
      </c>
      <c r="H146" s="989">
        <v>0.76552702756646807</v>
      </c>
      <c r="I146" s="989" t="s">
        <v>229</v>
      </c>
      <c r="J146" s="989">
        <v>0.38276351378323403</v>
      </c>
      <c r="L146" s="989" t="s">
        <v>742</v>
      </c>
      <c r="M146" s="989">
        <v>-9.3931513374867306E-9</v>
      </c>
      <c r="N146" s="992">
        <f>'INCERTIDUMBRE DE LA MEDIDA'!M152</f>
        <v>-3.636986833427895E-8</v>
      </c>
      <c r="O146" s="863">
        <f>'INCERTIDUMBRE DE LA MEDIDA'!N152</f>
        <v>1.3227673226527867E-15</v>
      </c>
      <c r="P146" s="989">
        <v>50</v>
      </c>
      <c r="Q146" s="989">
        <v>3.341930429923507E-36</v>
      </c>
      <c r="T146" t="str">
        <f>D133</f>
        <v>Calibracion  recipiente lleno</v>
      </c>
      <c r="U146">
        <f>O133</f>
        <v>2.0815514653398202E-9</v>
      </c>
      <c r="V146" s="994">
        <f t="shared" si="13"/>
        <v>0.28804288339698669</v>
      </c>
      <c r="W146" s="995">
        <f t="shared" si="14"/>
        <v>6.4652916356920632E-6</v>
      </c>
    </row>
    <row r="147" spans="2:23" x14ac:dyDescent="0.2">
      <c r="D147" t="s">
        <v>212</v>
      </c>
      <c r="F147" s="989" t="s">
        <v>222</v>
      </c>
      <c r="G147" s="989" t="s">
        <v>226</v>
      </c>
      <c r="H147" s="989">
        <v>-1.0710596976762048</v>
      </c>
      <c r="I147" s="989" t="s">
        <v>228</v>
      </c>
      <c r="J147" s="989">
        <v>-0.30918830238575801</v>
      </c>
      <c r="L147" s="989" t="s">
        <v>742</v>
      </c>
      <c r="M147" s="989">
        <v>-9.3931513374867306E-9</v>
      </c>
      <c r="N147" s="992">
        <f>'INCERTIDUMBRE DE LA MEDIDA'!M153</f>
        <v>4.4292183234844589E-8</v>
      </c>
      <c r="O147" s="863">
        <f>'INCERTIDUMBRE DE LA MEDIDA'!N153</f>
        <v>1.961797495709048E-15</v>
      </c>
      <c r="P147" s="989">
        <v>100</v>
      </c>
      <c r="Q147" s="989">
        <v>7.1143871865315796E-37</v>
      </c>
      <c r="T147" t="str">
        <f>D134</f>
        <v>linealidad</v>
      </c>
      <c r="U147">
        <f>O134</f>
        <v>3.3515299526463331E-9</v>
      </c>
      <c r="V147" s="994">
        <f t="shared" si="13"/>
        <v>0.46378115911441747</v>
      </c>
      <c r="W147" s="995">
        <f t="shared" si="14"/>
        <v>1.0409840414912961E-5</v>
      </c>
    </row>
    <row r="148" spans="2:23" x14ac:dyDescent="0.2">
      <c r="D148" t="s">
        <v>182</v>
      </c>
      <c r="F148" s="989" t="s">
        <v>221</v>
      </c>
      <c r="G148" s="989" t="s">
        <v>226</v>
      </c>
      <c r="H148" s="989">
        <v>0.1</v>
      </c>
      <c r="I148" s="989" t="s">
        <v>228</v>
      </c>
      <c r="J148" s="989">
        <v>2.8867513459481291E-2</v>
      </c>
      <c r="L148" s="989" t="s">
        <v>742</v>
      </c>
      <c r="M148" s="989">
        <v>-9.3931513374867306E-9</v>
      </c>
      <c r="N148" s="992">
        <f>'INCERTIDUMBRE DE LA MEDIDA'!M154</f>
        <v>-2.7521330294053495E-9</v>
      </c>
      <c r="O148" s="863">
        <f>'INCERTIDUMBRE DE LA MEDIDA'!N154</f>
        <v>7.5742362115438665E-18</v>
      </c>
      <c r="P148" s="989">
        <v>100</v>
      </c>
      <c r="Q148" s="989">
        <v>5.4060839559884437E-41</v>
      </c>
      <c r="T148" t="str">
        <f>D135</f>
        <v>desviacion estandar</v>
      </c>
      <c r="U148">
        <f>O135</f>
        <v>8.3788248816158326E-10</v>
      </c>
      <c r="V148" s="994">
        <f t="shared" si="13"/>
        <v>0.11594528977860437</v>
      </c>
      <c r="W148" s="995">
        <f t="shared" si="14"/>
        <v>2.6024601037282403E-6</v>
      </c>
    </row>
    <row r="149" spans="2:23" x14ac:dyDescent="0.2">
      <c r="B149" s="153" t="s">
        <v>209</v>
      </c>
      <c r="C149" s="153" t="s">
        <v>210</v>
      </c>
      <c r="E149" s="989">
        <v>900.00400007801363</v>
      </c>
      <c r="N149" s="992">
        <f>'INCERTIDUMBRE DE LA MEDIDA'!M155</f>
        <v>0</v>
      </c>
      <c r="O149" s="863">
        <f>'INCERTIDUMBRE DE LA MEDIDA'!N155</f>
        <v>0</v>
      </c>
      <c r="T149" t="str">
        <f>D136</f>
        <v>deriva</v>
      </c>
      <c r="U149">
        <f>O136</f>
        <v>2.3536119092458866E-10</v>
      </c>
      <c r="V149" s="994">
        <f t="shared" si="13"/>
        <v>3.2569031898809955E-2</v>
      </c>
      <c r="W149" s="995">
        <f t="shared" si="14"/>
        <v>7.3103104313726235E-7</v>
      </c>
    </row>
    <row r="150" spans="2:23" x14ac:dyDescent="0.2">
      <c r="D150" t="s">
        <v>204</v>
      </c>
      <c r="F150" s="989" t="s">
        <v>66</v>
      </c>
      <c r="G150" s="989" t="s">
        <v>61</v>
      </c>
      <c r="H150" s="989">
        <v>1.6000000000721559</v>
      </c>
      <c r="I150" s="989" t="s">
        <v>229</v>
      </c>
      <c r="J150" s="989">
        <v>0.80000000003607796</v>
      </c>
      <c r="L150" s="989" t="s">
        <v>743</v>
      </c>
      <c r="M150" s="989">
        <v>1.0373275438671955E-7</v>
      </c>
      <c r="N150" s="992">
        <f>'INCERTIDUMBRE DE LA MEDIDA'!M156</f>
        <v>2.2981943540221425E-7</v>
      </c>
      <c r="O150" s="863">
        <f>'INCERTIDUMBRE DE LA MEDIDA'!N156</f>
        <v>5.281697288859253E-14</v>
      </c>
      <c r="P150" s="989">
        <v>50</v>
      </c>
      <c r="Q150" s="989">
        <v>9.4853548518777724E-31</v>
      </c>
    </row>
    <row r="151" spans="2:23" x14ac:dyDescent="0.2">
      <c r="D151" t="s">
        <v>211</v>
      </c>
      <c r="F151" s="989" t="s">
        <v>222</v>
      </c>
      <c r="G151" s="989" t="s">
        <v>61</v>
      </c>
      <c r="H151" s="989">
        <v>0</v>
      </c>
      <c r="I151" s="989" t="s">
        <v>228</v>
      </c>
      <c r="J151" s="989">
        <v>0</v>
      </c>
      <c r="L151" s="989" t="s">
        <v>743</v>
      </c>
      <c r="M151" s="989">
        <v>1.0373275438671955E-7</v>
      </c>
      <c r="N151" s="992">
        <f>'INCERTIDUMBRE DE LA MEDIDA'!M157</f>
        <v>-3.0043609257863231E-7</v>
      </c>
      <c r="O151" s="863">
        <f>'INCERTIDUMBRE DE LA MEDIDA'!N157</f>
        <v>9.0261845723916525E-14</v>
      </c>
      <c r="P151" s="989">
        <v>100</v>
      </c>
      <c r="Q151" s="989">
        <v>0</v>
      </c>
      <c r="U151">
        <f>SUM(U143:U150)</f>
        <v>7.2291663196093229E-9</v>
      </c>
    </row>
    <row r="152" spans="2:23" x14ac:dyDescent="0.2">
      <c r="D152" t="s">
        <v>182</v>
      </c>
      <c r="F152" s="989" t="s">
        <v>221</v>
      </c>
      <c r="G152" s="989" t="s">
        <v>61</v>
      </c>
      <c r="H152" s="989">
        <v>1</v>
      </c>
      <c r="I152" s="989" t="s">
        <v>228</v>
      </c>
      <c r="J152" s="989">
        <v>0.28867513459481292</v>
      </c>
      <c r="L152" s="989" t="s">
        <v>743</v>
      </c>
      <c r="M152" s="989">
        <v>1.0373275438671955E-7</v>
      </c>
      <c r="N152" s="992">
        <f>'INCERTIDUMBRE DE LA MEDIDA'!M158</f>
        <v>3.0155979748865808E-7</v>
      </c>
      <c r="O152" s="863">
        <f>'INCERTIDUMBRE DE LA MEDIDA'!N158</f>
        <v>9.0938311461400474E-14</v>
      </c>
      <c r="P152" s="989">
        <v>100</v>
      </c>
      <c r="Q152" s="989">
        <v>8.0408349356475119E-33</v>
      </c>
    </row>
    <row r="153" spans="2:23" x14ac:dyDescent="0.2">
      <c r="B153" s="153">
        <v>3</v>
      </c>
      <c r="C153" s="153" t="s">
        <v>748</v>
      </c>
      <c r="E153" s="989">
        <v>0.99811603642207558</v>
      </c>
      <c r="N153" s="992">
        <f>'INCERTIDUMBRE DE LA MEDIDA'!M159</f>
        <v>0</v>
      </c>
      <c r="O153" s="863">
        <f>'INCERTIDUMBRE DE LA MEDIDA'!N159</f>
        <v>0</v>
      </c>
    </row>
    <row r="154" spans="2:23" x14ac:dyDescent="0.2">
      <c r="B154" s="153" t="s">
        <v>215</v>
      </c>
      <c r="D154" t="s">
        <v>214</v>
      </c>
      <c r="F154" s="989" t="s">
        <v>630</v>
      </c>
      <c r="G154" s="989" t="s">
        <v>171</v>
      </c>
      <c r="H154" s="989">
        <v>8.2999999999999999E-7</v>
      </c>
      <c r="I154" s="989" t="s">
        <v>228</v>
      </c>
      <c r="J154" s="989">
        <v>4.15E-7</v>
      </c>
      <c r="L154" s="989" t="s">
        <v>745</v>
      </c>
      <c r="M154" s="989">
        <v>-0.10000558138260067</v>
      </c>
      <c r="N154" s="992">
        <f>'INCERTIDUMBRE DE LA MEDIDA'!M160</f>
        <v>-4.1808502892900893E-7</v>
      </c>
      <c r="O154" s="863">
        <f>'INCERTIDUMBRE DE LA MEDIDA'!N160</f>
        <v>1.7479509141457024E-13</v>
      </c>
      <c r="P154" s="989">
        <v>100</v>
      </c>
      <c r="Q154" s="989">
        <v>2.9668073255602899E-32</v>
      </c>
    </row>
    <row r="155" spans="2:23" x14ac:dyDescent="0.2">
      <c r="D155" t="s">
        <v>238</v>
      </c>
      <c r="E155" s="989">
        <v>20.434475228578364</v>
      </c>
      <c r="N155" s="992">
        <f>'INCERTIDUMBRE DE LA MEDIDA'!M161</f>
        <v>0</v>
      </c>
      <c r="O155" s="863">
        <f>'INCERTIDUMBRE DE LA MEDIDA'!N161</f>
        <v>0</v>
      </c>
    </row>
    <row r="156" spans="2:23" x14ac:dyDescent="0.2">
      <c r="D156" t="s">
        <v>204</v>
      </c>
      <c r="F156" s="989" t="s">
        <v>66</v>
      </c>
      <c r="G156" s="989" t="s">
        <v>23</v>
      </c>
      <c r="H156" s="989">
        <v>1.0000000000000005E-2</v>
      </c>
      <c r="I156" s="989" t="s">
        <v>229</v>
      </c>
      <c r="J156" s="989">
        <v>5.0000000000000027E-3</v>
      </c>
      <c r="L156" s="989" t="s">
        <v>745</v>
      </c>
      <c r="M156" s="989">
        <v>2.1106411134379621E-5</v>
      </c>
      <c r="N156" s="992">
        <f>'INCERTIDUMBRE DE LA MEDIDA'!M162</f>
        <v>5.7546099689675315E-6</v>
      </c>
      <c r="O156" s="863">
        <f>'INCERTIDUMBRE DE LA MEDIDA'!N162</f>
        <v>3.3115535894940494E-11</v>
      </c>
      <c r="P156" s="989">
        <v>50</v>
      </c>
      <c r="Q156" s="989">
        <v>2.4806619616758397E-30</v>
      </c>
    </row>
    <row r="157" spans="2:23" x14ac:dyDescent="0.2">
      <c r="D157" t="s">
        <v>213</v>
      </c>
      <c r="F157" s="989" t="s">
        <v>222</v>
      </c>
      <c r="G157" s="989" t="s">
        <v>23</v>
      </c>
      <c r="H157" s="989">
        <v>-3.0000280054053974E-2</v>
      </c>
      <c r="I157" s="989" t="s">
        <v>228</v>
      </c>
      <c r="J157" s="989">
        <v>-8.6603348824861124E-3</v>
      </c>
      <c r="L157" s="989" t="s">
        <v>745</v>
      </c>
      <c r="M157" s="989">
        <v>2.1106411134379621E-5</v>
      </c>
      <c r="N157" s="992">
        <f>'INCERTIDUMBRE DE LA MEDIDA'!M163</f>
        <v>-4.3086088531874776E-6</v>
      </c>
      <c r="O157" s="863">
        <f>'INCERTIDUMBRE DE LA MEDIDA'!N163</f>
        <v>1.8564110249765512E-11</v>
      </c>
      <c r="P157" s="989">
        <v>100</v>
      </c>
      <c r="Q157" s="989">
        <v>1.1163395665041411E-29</v>
      </c>
    </row>
    <row r="158" spans="2:23" x14ac:dyDescent="0.2">
      <c r="D158" t="s">
        <v>182</v>
      </c>
      <c r="F158" s="989" t="s">
        <v>221</v>
      </c>
      <c r="G158" s="989" t="s">
        <v>23</v>
      </c>
      <c r="H158" s="989">
        <v>0.01</v>
      </c>
      <c r="I158" s="989" t="s">
        <v>228</v>
      </c>
      <c r="J158" s="989">
        <v>2.886751345948129E-3</v>
      </c>
      <c r="L158" s="989" t="s">
        <v>745</v>
      </c>
      <c r="M158" s="989">
        <v>2.1106411134379621E-5</v>
      </c>
      <c r="N158" s="992">
        <f>'INCERTIDUMBRE DE LA MEDIDA'!M164</f>
        <v>6.1526400271568675E-7</v>
      </c>
      <c r="O158" s="863">
        <f>'INCERTIDUMBRE DE LA MEDIDA'!N164</f>
        <v>3.785497930377286E-13</v>
      </c>
      <c r="P158" s="989">
        <v>100</v>
      </c>
      <c r="Q158" s="989">
        <v>1.3781455342643529E-31</v>
      </c>
    </row>
    <row r="159" spans="2:23" x14ac:dyDescent="0.2">
      <c r="B159" s="153">
        <v>4</v>
      </c>
      <c r="C159" s="153" t="s">
        <v>746</v>
      </c>
      <c r="E159" s="989">
        <v>7.96</v>
      </c>
      <c r="F159" s="989" t="s">
        <v>223</v>
      </c>
      <c r="H159" s="989">
        <v>1.4</v>
      </c>
      <c r="I159" s="989" t="s">
        <v>230</v>
      </c>
      <c r="J159" s="989">
        <v>0.40414518843273806</v>
      </c>
      <c r="L159" s="989" t="s">
        <v>747</v>
      </c>
      <c r="M159" s="989">
        <v>1.6702828882029132E-6</v>
      </c>
      <c r="N159" s="992">
        <f>'INCERTIDUMBRE DE LA MEDIDA'!M165</f>
        <v>6.8794745408768539E-6</v>
      </c>
      <c r="O159" s="863">
        <f>'INCERTIDUMBRE DE LA MEDIDA'!N165</f>
        <v>4.7327169958572799E-11</v>
      </c>
      <c r="P159" s="989">
        <v>100</v>
      </c>
      <c r="Q159" s="989">
        <v>2.0763940610856289E-27</v>
      </c>
    </row>
    <row r="160" spans="2:23" x14ac:dyDescent="0.2">
      <c r="B160" s="153">
        <v>5</v>
      </c>
      <c r="C160" s="153" t="s">
        <v>217</v>
      </c>
      <c r="E160" s="989">
        <v>20.687994956075546</v>
      </c>
      <c r="N160" s="992">
        <f>'INCERTIDUMBRE DE LA MEDIDA'!M166</f>
        <v>0</v>
      </c>
      <c r="O160" s="863">
        <f>'INCERTIDUMBRE DE LA MEDIDA'!N166</f>
        <v>0</v>
      </c>
    </row>
    <row r="161" spans="2:17" x14ac:dyDescent="0.2">
      <c r="D161" t="s">
        <v>204</v>
      </c>
      <c r="F161" s="989" t="s">
        <v>66</v>
      </c>
      <c r="G161" s="989" t="s">
        <v>23</v>
      </c>
      <c r="H161" s="989">
        <v>0.27985038957073743</v>
      </c>
      <c r="I161" s="989" t="s">
        <v>229</v>
      </c>
      <c r="J161" s="989">
        <v>0.13992519478536872</v>
      </c>
      <c r="L161" s="989" t="s">
        <v>745</v>
      </c>
      <c r="M161" s="989">
        <v>2.1106411134379621E-5</v>
      </c>
      <c r="N161" s="992">
        <f>'INCERTIDUMBRE DE LA MEDIDA'!M167</f>
        <v>2.9819070136682615E-5</v>
      </c>
      <c r="O161" s="863">
        <f>'INCERTIDUMBRE DE LA MEDIDA'!N167</f>
        <v>8.8917694381639694E-10</v>
      </c>
      <c r="P161" s="989">
        <v>50</v>
      </c>
      <c r="Q161" s="989">
        <v>1.521497525921542E-24</v>
      </c>
    </row>
    <row r="162" spans="2:17" x14ac:dyDescent="0.2">
      <c r="D162" t="s">
        <v>548</v>
      </c>
      <c r="F162" s="989" t="s">
        <v>222</v>
      </c>
      <c r="G162" s="989" t="s">
        <v>23</v>
      </c>
      <c r="H162" s="989">
        <v>0.25351972749718144</v>
      </c>
      <c r="I162" s="989" t="s">
        <v>228</v>
      </c>
      <c r="J162" s="989">
        <v>7.3184841457689137E-2</v>
      </c>
      <c r="L162" s="989" t="s">
        <v>745</v>
      </c>
      <c r="M162" s="989">
        <v>2.1106411134379621E-5</v>
      </c>
      <c r="N162" s="992">
        <f>'INCERTIDUMBRE DE LA MEDIDA'!M168</f>
        <v>1.8653811962767576E-5</v>
      </c>
      <c r="O162" s="863">
        <f>'INCERTIDUMBRE DE LA MEDIDA'!N168</f>
        <v>3.4796470074229074E-10</v>
      </c>
      <c r="P162" s="989">
        <v>100</v>
      </c>
      <c r="Q162" s="989">
        <v>5.6930122672526531E-26</v>
      </c>
    </row>
    <row r="163" spans="2:17" x14ac:dyDescent="0.2">
      <c r="D163" t="s">
        <v>182</v>
      </c>
      <c r="F163" s="989" t="s">
        <v>221</v>
      </c>
      <c r="G163" s="989" t="s">
        <v>23</v>
      </c>
      <c r="H163" s="989">
        <v>0.1</v>
      </c>
      <c r="I163" s="989" t="s">
        <v>228</v>
      </c>
      <c r="J163" s="989">
        <v>2.8867513459481291E-2</v>
      </c>
      <c r="L163" s="989" t="s">
        <v>745</v>
      </c>
      <c r="M163" s="989">
        <v>2.1106411134379621E-5</v>
      </c>
      <c r="N163" s="992">
        <f>'INCERTIDUMBRE DE LA MEDIDA'!M169</f>
        <v>6.1526400271568678E-6</v>
      </c>
      <c r="O163" s="863">
        <f>'INCERTIDUMBRE DE LA MEDIDA'!N169</f>
        <v>3.785497930377286E-11</v>
      </c>
      <c r="P163" s="989">
        <v>100</v>
      </c>
      <c r="Q163" s="989">
        <v>1.3781455342643534E-27</v>
      </c>
    </row>
    <row r="164" spans="2:17" x14ac:dyDescent="0.2">
      <c r="D164" t="s">
        <v>547</v>
      </c>
      <c r="E164" s="989">
        <v>-0.01</v>
      </c>
      <c r="G164" s="989" t="s">
        <v>23</v>
      </c>
      <c r="H164" s="989">
        <v>-0.01</v>
      </c>
      <c r="I164" s="989" t="s">
        <v>255</v>
      </c>
      <c r="J164" s="989">
        <v>-5.773502691896258E-3</v>
      </c>
      <c r="M164" s="989">
        <v>2.3933840882738046E-5</v>
      </c>
      <c r="N164" s="992">
        <f>'INCERTIDUMBRE DE LA MEDIDA'!M170</f>
        <v>-2.0322598088784363E-5</v>
      </c>
      <c r="O164" s="863">
        <f>'INCERTIDUMBRE DE LA MEDIDA'!N170</f>
        <v>4.1300799307826181E-10</v>
      </c>
      <c r="P164" s="989">
        <v>100</v>
      </c>
      <c r="Q164" s="989">
        <v>3.6459196075872099E-30</v>
      </c>
    </row>
    <row r="165" spans="2:17" x14ac:dyDescent="0.2">
      <c r="B165" s="153">
        <v>6</v>
      </c>
      <c r="C165" s="153" t="s">
        <v>219</v>
      </c>
      <c r="E165" s="989">
        <v>2.4000000000000001E-4</v>
      </c>
      <c r="F165" s="989" t="s">
        <v>224</v>
      </c>
      <c r="H165" s="989">
        <v>2.4000000000000001E-5</v>
      </c>
      <c r="I165" s="989" t="s">
        <v>228</v>
      </c>
      <c r="J165" s="989">
        <v>6.9282032302755094E-6</v>
      </c>
      <c r="L165" s="989" t="s">
        <v>745</v>
      </c>
      <c r="M165" s="989">
        <v>-4.3326496570726451E-2</v>
      </c>
      <c r="N165" s="992">
        <f>'INCERTIDUMBRE DE LA MEDIDA'!M171</f>
        <v>-3.3632039054628424E-6</v>
      </c>
      <c r="O165" s="863">
        <f>'INCERTIDUMBRE DE LA MEDIDA'!N171</f>
        <v>1.1311140509720516E-11</v>
      </c>
      <c r="P165" s="989">
        <v>100</v>
      </c>
      <c r="Q165" s="989">
        <v>8.1188920388914352E-29</v>
      </c>
    </row>
    <row r="166" spans="2:17" x14ac:dyDescent="0.2">
      <c r="B166" s="153">
        <v>7</v>
      </c>
      <c r="C166" s="153" t="s">
        <v>254</v>
      </c>
      <c r="F166" s="989" t="s">
        <v>220</v>
      </c>
      <c r="G166" s="989" t="s">
        <v>256</v>
      </c>
      <c r="H166" s="989">
        <v>3.0052770464246936E-5</v>
      </c>
      <c r="I166" s="989" t="s">
        <v>255</v>
      </c>
      <c r="J166" s="989">
        <v>8.6754875587135026E-6</v>
      </c>
      <c r="L166" s="989" t="s">
        <v>351</v>
      </c>
      <c r="M166" s="989">
        <v>1.0026865199781492</v>
      </c>
      <c r="N166" s="992">
        <f>'INCERTIDUMBRE DE LA MEDIDA'!M172</f>
        <v>-8.699135011529689E-6</v>
      </c>
      <c r="O166" s="863">
        <f>'INCERTIDUMBRE DE LA MEDIDA'!N172</f>
        <v>7.5674949948821647E-11</v>
      </c>
      <c r="P166" s="989">
        <v>100</v>
      </c>
      <c r="Q166" s="989">
        <v>5.7258012724542046E-23</v>
      </c>
    </row>
    <row r="167" spans="2:17" x14ac:dyDescent="0.2">
      <c r="B167" s="153">
        <v>8</v>
      </c>
      <c r="C167" s="153" t="s">
        <v>545</v>
      </c>
      <c r="G167" s="989" t="s">
        <v>351</v>
      </c>
      <c r="H167" s="989">
        <v>5.6920008560404824E-5</v>
      </c>
      <c r="I167" s="989" t="s">
        <v>232</v>
      </c>
      <c r="J167" s="989">
        <v>1.7999687148716106E-5</v>
      </c>
      <c r="L167" s="989" t="s">
        <v>351</v>
      </c>
      <c r="M167" s="989">
        <v>1</v>
      </c>
      <c r="N167" s="992">
        <f>'INCERTIDUMBRE DE LA MEDIDA'!M173</f>
        <v>3.024747701020499E-4</v>
      </c>
      <c r="O167" s="863">
        <f>'INCERTIDUMBRE DE LA MEDIDA'!N173</f>
        <v>9.1490986548287945E-8</v>
      </c>
      <c r="P167" s="989">
        <v>9</v>
      </c>
      <c r="Q167" s="989">
        <v>1.1663189110613101E-20</v>
      </c>
    </row>
    <row r="168" spans="2:17" x14ac:dyDescent="0.2">
      <c r="C168" s="153" t="s">
        <v>448</v>
      </c>
      <c r="E168" s="989">
        <v>0.1</v>
      </c>
      <c r="G168" s="989" t="s">
        <v>351</v>
      </c>
      <c r="H168" s="989">
        <v>0</v>
      </c>
      <c r="I168" s="989" t="s">
        <v>255</v>
      </c>
      <c r="J168" s="989">
        <v>0</v>
      </c>
      <c r="L168" s="989" t="s">
        <v>351</v>
      </c>
      <c r="M168" s="989">
        <v>1</v>
      </c>
      <c r="N168" s="992">
        <f>'INCERTIDUMBRE DE LA MEDIDA'!M174</f>
        <v>0</v>
      </c>
      <c r="O168" s="863">
        <f>'INCERTIDUMBRE DE LA MEDIDA'!N174</f>
        <v>0</v>
      </c>
      <c r="P168" s="989">
        <v>100</v>
      </c>
      <c r="Q168" s="989">
        <v>0</v>
      </c>
    </row>
    <row r="169" spans="2:17" x14ac:dyDescent="0.2">
      <c r="C169" s="153" t="s">
        <v>449</v>
      </c>
      <c r="E169" s="989">
        <v>1E-4</v>
      </c>
      <c r="G169" s="989" t="s">
        <v>351</v>
      </c>
      <c r="H169" s="989">
        <v>0</v>
      </c>
      <c r="I169" s="989" t="s">
        <v>255</v>
      </c>
      <c r="J169" s="989">
        <v>0</v>
      </c>
      <c r="L169" s="989" t="s">
        <v>351</v>
      </c>
      <c r="M169" s="989">
        <v>1</v>
      </c>
      <c r="N169" s="992">
        <f>'INCERTIDUMBRE DE LA MEDIDA'!M175</f>
        <v>0</v>
      </c>
      <c r="O169" s="863">
        <f>'INCERTIDUMBRE DE LA MEDIDA'!N175</f>
        <v>0</v>
      </c>
      <c r="P169" s="989">
        <v>100</v>
      </c>
      <c r="Q169" s="989">
        <v>0</v>
      </c>
    </row>
    <row r="170" spans="2:17" x14ac:dyDescent="0.2">
      <c r="C170" s="153" t="s">
        <v>582</v>
      </c>
      <c r="E170" s="989">
        <v>1E-4</v>
      </c>
      <c r="G170" s="989" t="s">
        <v>351</v>
      </c>
      <c r="H170" s="989">
        <v>1E-4</v>
      </c>
      <c r="I170" s="989" t="s">
        <v>255</v>
      </c>
      <c r="J170" s="989">
        <v>2.8867513459481293E-5</v>
      </c>
      <c r="L170" s="989" t="s">
        <v>351</v>
      </c>
      <c r="M170" s="989">
        <v>1</v>
      </c>
      <c r="N170" s="992">
        <f>'INCERTIDUMBRE DE LA MEDIDA'!M176</f>
        <v>2.886751345948129E-4</v>
      </c>
      <c r="O170" s="863">
        <f>'INCERTIDUMBRE DE LA MEDIDA'!N176</f>
        <v>8.3333333333333338E-8</v>
      </c>
      <c r="P170" s="989">
        <v>100</v>
      </c>
      <c r="Q170" s="989">
        <v>6.9444444444444486E-21</v>
      </c>
    </row>
    <row r="171" spans="2:17" x14ac:dyDescent="0.2">
      <c r="C171" s="153" t="s">
        <v>450</v>
      </c>
      <c r="E171" s="989">
        <v>0</v>
      </c>
      <c r="G171" s="989" t="s">
        <v>351</v>
      </c>
      <c r="H171" s="989">
        <v>0</v>
      </c>
      <c r="I171" s="989" t="s">
        <v>232</v>
      </c>
      <c r="J171" s="989">
        <v>0</v>
      </c>
      <c r="L171" s="989" t="s">
        <v>351</v>
      </c>
      <c r="M171" s="989">
        <v>1</v>
      </c>
      <c r="N171" s="992">
        <f>'INCERTIDUMBRE DE LA MEDIDA'!M177</f>
        <v>5.7991591586590186E-4</v>
      </c>
      <c r="O171" s="863">
        <f>'INCERTIDUMBRE DE LA MEDIDA'!N177</f>
        <v>3.3630246947458777E-7</v>
      </c>
      <c r="P171" s="989">
        <v>39</v>
      </c>
      <c r="Q171" s="989">
        <v>0</v>
      </c>
    </row>
    <row r="172" spans="2:17" x14ac:dyDescent="0.2">
      <c r="C172" s="153" t="s">
        <v>546</v>
      </c>
      <c r="N172" s="992">
        <f>'INCERTIDUMBRE DE LA MEDIDA'!M178</f>
        <v>0</v>
      </c>
      <c r="O172" s="863">
        <f>'INCERTIDUMBRE DE LA MEDIDA'!N178</f>
        <v>0</v>
      </c>
    </row>
    <row r="173" spans="2:17" x14ac:dyDescent="0.2">
      <c r="C173" s="153" t="s">
        <v>542</v>
      </c>
      <c r="E173" s="989">
        <v>0.25351972749718144</v>
      </c>
      <c r="G173" s="989" t="s">
        <v>23</v>
      </c>
      <c r="H173" s="989">
        <v>0.25351972749718144</v>
      </c>
      <c r="I173" s="989" t="s">
        <v>255</v>
      </c>
      <c r="J173" s="989">
        <v>0.14636968291537827</v>
      </c>
      <c r="M173" s="989">
        <v>-1.8281260126945253E-5</v>
      </c>
      <c r="N173" s="992">
        <f>'INCERTIDUMBRE DE LA MEDIDA'!M179</f>
        <v>-3.1856832188725999E-5</v>
      </c>
      <c r="O173" s="863">
        <f>'INCERTIDUMBRE DE LA MEDIDA'!N179</f>
        <v>1.0148577571006489E-9</v>
      </c>
      <c r="P173" s="989">
        <v>100</v>
      </c>
      <c r="Q173" s="989">
        <v>5.1265953751731682E-25</v>
      </c>
    </row>
    <row r="174" spans="2:17" x14ac:dyDescent="0.2">
      <c r="C174" s="153" t="s">
        <v>540</v>
      </c>
      <c r="E174" s="989">
        <v>55.900680411743828</v>
      </c>
      <c r="G174" s="989" t="s">
        <v>226</v>
      </c>
      <c r="H174" s="989">
        <v>-1.0710596976762048</v>
      </c>
      <c r="I174" s="989" t="s">
        <v>255</v>
      </c>
      <c r="J174" s="989">
        <v>-0.61837660477151601</v>
      </c>
      <c r="M174" s="989">
        <v>6.3809461826258699E-9</v>
      </c>
      <c r="N174" s="992">
        <f>'INCERTIDUMBRE DE LA MEDIDA'!M180</f>
        <v>-5.9342087947916028E-8</v>
      </c>
      <c r="O174" s="863">
        <f>'INCERTIDUMBRE DE LA MEDIDA'!N180</f>
        <v>3.5214834020182008E-15</v>
      </c>
      <c r="P174" s="989">
        <v>100</v>
      </c>
      <c r="Q174" s="989">
        <v>2.4241111478350169E-36</v>
      </c>
    </row>
    <row r="175" spans="2:17" x14ac:dyDescent="0.2">
      <c r="C175" s="153" t="s">
        <v>541</v>
      </c>
      <c r="E175" s="989">
        <v>900.00400007801363</v>
      </c>
      <c r="G175" s="989" t="s">
        <v>61</v>
      </c>
      <c r="H175" s="989">
        <v>20</v>
      </c>
      <c r="I175" s="989" t="s">
        <v>544</v>
      </c>
      <c r="J175" s="989">
        <v>8.1649658092772608</v>
      </c>
      <c r="M175" s="989">
        <v>1.1148585281800664E-7</v>
      </c>
      <c r="N175" s="992">
        <f>'INCERTIDUMBRE DE LA MEDIDA'!M181</f>
        <v>9.1683006814130321E-6</v>
      </c>
      <c r="O175" s="863">
        <f>'INCERTIDUMBRE DE LA MEDIDA'!N181</f>
        <v>8.4057737384798667E-11</v>
      </c>
      <c r="P175" s="989">
        <v>100</v>
      </c>
      <c r="Q175" s="989">
        <v>6.8658849746354598E-27</v>
      </c>
    </row>
    <row r="176" spans="2:17" x14ac:dyDescent="0.2">
      <c r="N176" s="992">
        <f>'INCERTIDUMBRE DE LA MEDIDA'!M182</f>
        <v>0</v>
      </c>
      <c r="O176" s="863">
        <f>'INCERTIDUMBRE DE LA MEDIDA'!N182</f>
        <v>0</v>
      </c>
    </row>
    <row r="177" spans="3:17" x14ac:dyDescent="0.2">
      <c r="C177" s="153" t="s">
        <v>239</v>
      </c>
      <c r="F177" s="989">
        <v>2.1497348838548673E-4</v>
      </c>
      <c r="G177" s="989" t="s">
        <v>351</v>
      </c>
      <c r="I177" s="989" t="s">
        <v>231</v>
      </c>
      <c r="L177" s="989" t="s">
        <v>351</v>
      </c>
      <c r="N177" s="992">
        <f>'INCERTIDUMBRE DE LA MEDIDA'!M183</f>
        <v>8.0095620090659422E-4</v>
      </c>
      <c r="O177" s="863">
        <f>'INCERTIDUMBRE DE LA MEDIDA'!N183</f>
        <v>0</v>
      </c>
      <c r="P177" s="989" t="s">
        <v>244</v>
      </c>
      <c r="Q177" s="989">
        <v>204.20675265814796</v>
      </c>
    </row>
    <row r="178" spans="3:17" x14ac:dyDescent="0.2">
      <c r="C178" s="153" t="s">
        <v>68</v>
      </c>
      <c r="F178" s="989">
        <v>0.43259789999999998</v>
      </c>
      <c r="G178" s="989" t="s">
        <v>351</v>
      </c>
      <c r="I178" s="989" t="s">
        <v>231</v>
      </c>
      <c r="L178" s="989" t="s">
        <v>351</v>
      </c>
      <c r="N178" s="992">
        <f>'INCERTIDUMBRE DE LA MEDIDA'!M184</f>
        <v>1.6131148884467623E-3</v>
      </c>
      <c r="O178" s="863">
        <f>'INCERTIDUMBRE DE LA MEDIDA'!N184</f>
        <v>0</v>
      </c>
      <c r="Q178" s="989">
        <v>2.0123313125200486</v>
      </c>
    </row>
    <row r="179" spans="3:17" x14ac:dyDescent="0.2">
      <c r="C179" s="153" t="s">
        <v>68</v>
      </c>
      <c r="F179" s="989">
        <v>0.43259789999999998</v>
      </c>
      <c r="G179" s="989" t="s">
        <v>226</v>
      </c>
      <c r="I179" s="989" t="s">
        <v>231</v>
      </c>
      <c r="L179" s="989" t="s">
        <v>226</v>
      </c>
      <c r="N179" s="992">
        <f>'INCERTIDUMBRE DE LA MEDIDA'!M185</f>
        <v>0.16131149</v>
      </c>
      <c r="O179" s="863">
        <f>'INCERTIDUMBRE DE LA MEDIDA'!N185</f>
        <v>0</v>
      </c>
      <c r="P179" s="989" t="s">
        <v>245</v>
      </c>
      <c r="Q179" s="989">
        <v>0.43259789999999998</v>
      </c>
    </row>
    <row r="180" spans="3:17" x14ac:dyDescent="0.2">
      <c r="C180" s="153" t="s">
        <v>244</v>
      </c>
      <c r="D180">
        <v>204.20675265814796</v>
      </c>
      <c r="E180" s="989" t="s">
        <v>495</v>
      </c>
      <c r="F180" s="989">
        <v>2.0123313125200486</v>
      </c>
      <c r="N180" s="992">
        <f>'INCERTIDUMBRE DE LA MEDIDA'!M186</f>
        <v>0</v>
      </c>
      <c r="O180" s="863">
        <f>'INCERTIDUMBRE DE LA MEDIDA'!N186</f>
        <v>0</v>
      </c>
    </row>
  </sheetData>
  <sheetProtection algorithmName="SHA-512" hashValue="XACJn1uPec6fl0aVNCo/u/qpZW2PZiRk3oNzlcTAFCcatkMTUhSHPnP8wFijmIBUerMsv3TSPwmytrvngI/DoA==" saltValue="7I9reOCOkC7iVGT44HWRfw==" spinCount="100000" sheet="1" objects="1" scenarios="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2"/>
  <sheetViews>
    <sheetView workbookViewId="0">
      <selection activeCell="F17" sqref="F17"/>
    </sheetView>
  </sheetViews>
  <sheetFormatPr baseColWidth="10" defaultColWidth="21.5703125" defaultRowHeight="20.25" customHeight="1" x14ac:dyDescent="0.2"/>
  <cols>
    <col min="1" max="2" width="7" style="103" customWidth="1"/>
    <col min="10" max="10" width="21.5703125" style="467"/>
    <col min="11" max="11" width="21.5703125" style="103"/>
  </cols>
  <sheetData>
    <row r="1" spans="1:11" ht="20.25" customHeight="1" x14ac:dyDescent="0.2">
      <c r="C1" s="1735" t="s">
        <v>404</v>
      </c>
      <c r="D1" s="1735" t="s">
        <v>405</v>
      </c>
      <c r="E1" s="1735" t="s">
        <v>406</v>
      </c>
      <c r="F1" s="1735" t="s">
        <v>407</v>
      </c>
      <c r="G1" s="1735" t="s">
        <v>408</v>
      </c>
      <c r="H1" s="1735" t="s">
        <v>409</v>
      </c>
      <c r="I1" s="1735" t="s">
        <v>410</v>
      </c>
      <c r="J1" s="466"/>
    </row>
    <row r="2" spans="1:11" ht="20.25" customHeight="1" thickBot="1" x14ac:dyDescent="0.25">
      <c r="C2" s="1736"/>
      <c r="D2" s="1736"/>
      <c r="E2" s="1736"/>
      <c r="F2" s="1736"/>
      <c r="G2" s="1736"/>
      <c r="H2" s="1736"/>
      <c r="I2" s="1736"/>
      <c r="J2" s="670" t="s">
        <v>424</v>
      </c>
    </row>
    <row r="3" spans="1:11" ht="48" customHeight="1" x14ac:dyDescent="0.2">
      <c r="A3" s="676">
        <v>10</v>
      </c>
      <c r="B3" s="677">
        <v>1000</v>
      </c>
      <c r="C3" s="678" t="s">
        <v>411</v>
      </c>
      <c r="D3" s="678" t="s">
        <v>430</v>
      </c>
      <c r="E3" s="656" t="s">
        <v>412</v>
      </c>
      <c r="F3" s="656" t="s">
        <v>413</v>
      </c>
      <c r="G3" s="656" t="s">
        <v>414</v>
      </c>
      <c r="H3" s="656" t="s">
        <v>443</v>
      </c>
      <c r="I3" s="656" t="s">
        <v>415</v>
      </c>
      <c r="J3" s="657">
        <v>0.27</v>
      </c>
      <c r="K3" s="687" t="s">
        <v>315</v>
      </c>
    </row>
    <row r="4" spans="1:11" ht="48" customHeight="1" x14ac:dyDescent="0.2">
      <c r="A4" s="679">
        <v>1000</v>
      </c>
      <c r="B4" s="659">
        <v>5000</v>
      </c>
      <c r="C4" s="660" t="s">
        <v>411</v>
      </c>
      <c r="D4" s="660" t="s">
        <v>430</v>
      </c>
      <c r="E4" s="661" t="s">
        <v>412</v>
      </c>
      <c r="F4" s="661" t="s">
        <v>571</v>
      </c>
      <c r="G4" s="661" t="s">
        <v>414</v>
      </c>
      <c r="H4" s="661" t="s">
        <v>572</v>
      </c>
      <c r="I4" s="661" t="s">
        <v>415</v>
      </c>
      <c r="J4" s="680">
        <v>1</v>
      </c>
      <c r="K4" s="688" t="s">
        <v>315</v>
      </c>
    </row>
    <row r="5" spans="1:11" s="658" customFormat="1" ht="48" customHeight="1" thickBot="1" x14ac:dyDescent="0.25">
      <c r="A5" s="648">
        <v>1</v>
      </c>
      <c r="B5" s="649">
        <v>5</v>
      </c>
      <c r="C5" s="650"/>
      <c r="D5" s="650"/>
      <c r="E5" s="651"/>
      <c r="F5" s="651" t="s">
        <v>575</v>
      </c>
      <c r="G5" s="651"/>
      <c r="H5" s="651"/>
      <c r="I5" s="651"/>
      <c r="J5" s="652">
        <f>J4/1000</f>
        <v>1E-3</v>
      </c>
      <c r="K5" s="689" t="s">
        <v>177</v>
      </c>
    </row>
    <row r="6" spans="1:11" s="1" customFormat="1" ht="50.25" customHeight="1" x14ac:dyDescent="0.2">
      <c r="A6" s="653">
        <v>5</v>
      </c>
      <c r="B6" s="654">
        <v>100</v>
      </c>
      <c r="C6" s="655" t="s">
        <v>411</v>
      </c>
      <c r="D6" s="655" t="s">
        <v>430</v>
      </c>
      <c r="E6" s="656" t="s">
        <v>412</v>
      </c>
      <c r="F6" s="656" t="s">
        <v>419</v>
      </c>
      <c r="G6" s="656" t="s">
        <v>416</v>
      </c>
      <c r="H6" s="656" t="s">
        <v>573</v>
      </c>
      <c r="I6" s="656" t="s">
        <v>415</v>
      </c>
      <c r="J6" s="657">
        <f>1.1/1000</f>
        <v>1.1000000000000001E-3</v>
      </c>
      <c r="K6" s="690" t="s">
        <v>177</v>
      </c>
    </row>
    <row r="7" spans="1:11" s="658" customFormat="1" ht="50.25" customHeight="1" thickBot="1" x14ac:dyDescent="0.25">
      <c r="A7" s="681">
        <v>5000</v>
      </c>
      <c r="B7" s="682">
        <v>100000</v>
      </c>
      <c r="C7" s="683"/>
      <c r="D7" s="683"/>
      <c r="E7" s="684"/>
      <c r="F7" s="685" t="s">
        <v>576</v>
      </c>
      <c r="G7" s="684"/>
      <c r="H7" s="684"/>
      <c r="I7" s="684"/>
      <c r="J7" s="686">
        <f>J6*1000</f>
        <v>1.1000000000000001</v>
      </c>
      <c r="K7" s="691" t="s">
        <v>315</v>
      </c>
    </row>
    <row r="8" spans="1:11" ht="48" customHeight="1" thickBot="1" x14ac:dyDescent="0.25">
      <c r="A8" s="671">
        <v>1</v>
      </c>
      <c r="B8" s="672">
        <v>100</v>
      </c>
      <c r="C8" s="673" t="s">
        <v>411</v>
      </c>
      <c r="D8" s="673" t="s">
        <v>430</v>
      </c>
      <c r="E8" s="674" t="s">
        <v>412</v>
      </c>
      <c r="F8" s="674" t="s">
        <v>577</v>
      </c>
      <c r="G8" s="674" t="s">
        <v>416</v>
      </c>
      <c r="H8" s="674" t="s">
        <v>417</v>
      </c>
      <c r="I8" s="674" t="s">
        <v>415</v>
      </c>
      <c r="J8" s="675">
        <f>0.81/1000</f>
        <v>8.1000000000000006E-4</v>
      </c>
      <c r="K8" s="663" t="s">
        <v>177</v>
      </c>
    </row>
    <row r="9" spans="1:11" ht="48" customHeight="1" x14ac:dyDescent="0.2">
      <c r="A9" s="663">
        <v>1</v>
      </c>
      <c r="B9" s="663">
        <v>5</v>
      </c>
      <c r="C9" s="664" t="s">
        <v>411</v>
      </c>
      <c r="D9" s="664" t="str">
        <f>IF(ISBLANK(C9),"",VLOOKUP(C9,[3]Hoja1!$A$1:$B$83,2,FALSE))</f>
        <v>Pequeños volúmenes (hasta 5 L)</v>
      </c>
      <c r="E9" s="665" t="s">
        <v>412</v>
      </c>
      <c r="F9" s="665" t="s">
        <v>578</v>
      </c>
      <c r="G9" s="665" t="s">
        <v>418</v>
      </c>
      <c r="H9" s="665" t="s">
        <v>444</v>
      </c>
      <c r="I9" s="665" t="s">
        <v>415</v>
      </c>
      <c r="J9" s="666">
        <v>3.4</v>
      </c>
      <c r="K9" s="662" t="s">
        <v>315</v>
      </c>
    </row>
    <row r="10" spans="1:11" ht="48" customHeight="1" x14ac:dyDescent="0.2">
      <c r="A10" s="662">
        <v>5</v>
      </c>
      <c r="B10" s="662">
        <v>100</v>
      </c>
      <c r="C10" s="667" t="s">
        <v>411</v>
      </c>
      <c r="D10" s="667" t="str">
        <f>IF(ISBLANK(C10),"",VLOOKUP(C10,[3]Hoja1!$A$1:$B$83,2,FALSE))</f>
        <v>Pequeños volúmenes (hasta 5 L)</v>
      </c>
      <c r="E10" s="668" t="s">
        <v>412</v>
      </c>
      <c r="F10" s="668" t="s">
        <v>574</v>
      </c>
      <c r="G10" s="668" t="s">
        <v>418</v>
      </c>
      <c r="H10" s="668" t="s">
        <v>447</v>
      </c>
      <c r="I10" s="668" t="s">
        <v>420</v>
      </c>
      <c r="J10" s="669">
        <v>17</v>
      </c>
      <c r="K10" s="662" t="s">
        <v>315</v>
      </c>
    </row>
    <row r="11" spans="1:11" ht="48" customHeight="1" x14ac:dyDescent="0.2">
      <c r="A11" s="662">
        <v>100</v>
      </c>
      <c r="B11" s="662">
        <v>1000</v>
      </c>
      <c r="C11" s="667" t="s">
        <v>411</v>
      </c>
      <c r="D11" s="667" t="str">
        <f>IF(ISBLANK(C11),"",VLOOKUP(C11,[3]Hoja1!$A$1:$B$83,2,FALSE))</f>
        <v>Pequeños volúmenes (hasta 5 L)</v>
      </c>
      <c r="E11" s="668" t="s">
        <v>412</v>
      </c>
      <c r="F11" s="668" t="s">
        <v>579</v>
      </c>
      <c r="G11" s="668" t="s">
        <v>421</v>
      </c>
      <c r="H11" s="668" t="s">
        <v>445</v>
      </c>
      <c r="I11" s="668" t="s">
        <v>422</v>
      </c>
      <c r="J11" s="669">
        <v>25</v>
      </c>
      <c r="K11" s="662" t="s">
        <v>315</v>
      </c>
    </row>
    <row r="12" spans="1:11" ht="48" customHeight="1" x14ac:dyDescent="0.2">
      <c r="A12" s="662">
        <v>1000</v>
      </c>
      <c r="B12" s="662">
        <v>5000</v>
      </c>
      <c r="C12" s="667" t="s">
        <v>411</v>
      </c>
      <c r="D12" s="667" t="str">
        <f>IF(ISBLANK(C12),"",VLOOKUP(C12,[3]Hoja1!$A$1:$B$83,2,FALSE))</f>
        <v>Pequeños volúmenes (hasta 5 L)</v>
      </c>
      <c r="E12" s="668" t="s">
        <v>412</v>
      </c>
      <c r="F12" s="668" t="s">
        <v>580</v>
      </c>
      <c r="G12" s="668" t="s">
        <v>421</v>
      </c>
      <c r="H12" s="668" t="s">
        <v>446</v>
      </c>
      <c r="I12" s="668" t="s">
        <v>423</v>
      </c>
      <c r="J12" s="669">
        <v>0.81</v>
      </c>
      <c r="K12" s="662" t="s">
        <v>177</v>
      </c>
    </row>
  </sheetData>
  <sheetProtection algorithmName="SHA-512" hashValue="6C1Cg9MrbET63iHdnkpXA9p0f24l6bKi81LlnPaUPzwur86ePdDs+Yrux0oaFtaPyHica8e5Gti9MMLJ4aYFiw==" saltValue="i8MwUnAgxsXE1n+vfyUNdw==" spinCount="100000" sheet="1" objects="1" scenarios="1"/>
  <mergeCells count="7">
    <mergeCell ref="I1:I2"/>
    <mergeCell ref="C1:C2"/>
    <mergeCell ref="D1:D2"/>
    <mergeCell ref="E1:E2"/>
    <mergeCell ref="F1:F2"/>
    <mergeCell ref="G1:G2"/>
    <mergeCell ref="H1:H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8844F5BFD19A149BBD55A1E58F58660" ma:contentTypeVersion="3" ma:contentTypeDescription="Create a new document." ma:contentTypeScope="" ma:versionID="2acc70f6bc7cdbd71dfe97656fcf1295">
  <xsd:schema xmlns:xsd="http://www.w3.org/2001/XMLSchema" xmlns:xs="http://www.w3.org/2001/XMLSchema" xmlns:p="http://schemas.microsoft.com/office/2006/metadata/properties" xmlns:ns3="58361616-e4be-4299-ab4e-755fec4c8548" targetNamespace="http://schemas.microsoft.com/office/2006/metadata/properties" ma:root="true" ma:fieldsID="aee7618abc5c76dfea1b01dac112b59f" ns3:_="">
    <xsd:import namespace="58361616-e4be-4299-ab4e-755fec4c8548"/>
    <xsd:element name="properties">
      <xsd:complexType>
        <xsd:sequence>
          <xsd:element name="documentManagement">
            <xsd:complexType>
              <xsd:all>
                <xsd:element ref="ns3:MediaServiceMetadata" minOccurs="0"/>
                <xsd:element ref="ns3:MediaServiceFastMetadata"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361616-e4be-4299-ab4e-755fec4c85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D02A1E-4A63-446A-B824-0ED999CFCBE7}">
  <ds:schemaRefs>
    <ds:schemaRef ds:uri="http://schemas.microsoft.com/sharepoint/v3/contenttype/forms"/>
  </ds:schemaRefs>
</ds:datastoreItem>
</file>

<file path=customXml/itemProps2.xml><?xml version="1.0" encoding="utf-8"?>
<ds:datastoreItem xmlns:ds="http://schemas.openxmlformats.org/officeDocument/2006/customXml" ds:itemID="{CC0C6487-0C15-4321-B493-2BD0D974B434}">
  <ds:schemaRefs>
    <ds:schemaRef ds:uri="http://schemas.microsoft.com/office/infopath/2007/PartnerControls"/>
    <ds:schemaRef ds:uri="http://purl.org/dc/elements/1.1/"/>
    <ds:schemaRef ds:uri="58361616-e4be-4299-ab4e-755fec4c8548"/>
    <ds:schemaRef ds:uri="http://purl.org/dc/terms/"/>
    <ds:schemaRef ds:uri="http://schemas.microsoft.com/office/2006/metadata/properties"/>
    <ds:schemaRef ds:uri="http://schemas.microsoft.com/office/2006/documentManagement/type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5A65D13B-07F7-43F3-8471-355BBF26BD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361616-e4be-4299-ab4e-755fec4c85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3</vt:i4>
      </vt:variant>
    </vt:vector>
  </HeadingPairs>
  <TitlesOfParts>
    <vt:vector size="15" baseType="lpstr">
      <vt:lpstr>DATOS GENERALES</vt:lpstr>
      <vt:lpstr>Certificado de calibración</vt:lpstr>
      <vt:lpstr>Trazabilidad</vt:lpstr>
      <vt:lpstr>Calculo P Conformidad</vt:lpstr>
      <vt:lpstr>INCERTIDUMBRE DE LA MEDIDA</vt:lpstr>
      <vt:lpstr>DATOS CORRECCIONES EQUIPOS EMPL</vt:lpstr>
      <vt:lpstr>DENSIDAD DEL AIRE </vt:lpstr>
      <vt:lpstr>Densidad del Agua</vt:lpstr>
      <vt:lpstr>Chequeo Balanza </vt:lpstr>
      <vt:lpstr>medicion conductividad del agua</vt:lpstr>
      <vt:lpstr>Hoja2</vt:lpstr>
      <vt:lpstr>Alcance</vt:lpstr>
      <vt:lpstr>'Certificado de calibración'!Área_de_impresión</vt:lpstr>
      <vt:lpstr>'DATOS GENERALES'!Área_de_impresión</vt:lpstr>
      <vt:lpstr>'INCERTIDUMBRE DE LA MEDIDA'!Área_de_impresión</vt:lpstr>
    </vt:vector>
  </TitlesOfParts>
  <Company>ALPHA METROLOGIA S.A.S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TECSERVICE S.A.S.</dc:creator>
  <cp:lastModifiedBy>Liseth Dayana Rios Sanchez</cp:lastModifiedBy>
  <cp:lastPrinted>2026-01-27T15:25:28Z</cp:lastPrinted>
  <dcterms:created xsi:type="dcterms:W3CDTF">2006-12-19T00:54:11Z</dcterms:created>
  <dcterms:modified xsi:type="dcterms:W3CDTF">2026-01-27T15:25:47Z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0x010100D8844F5BFD19A149BBD55A1E58F58660</vt:lpwstr>
  </property>
</Properties>
</file>