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ad595de5bae5c845/Escritorio/"/>
    </mc:Choice>
  </mc:AlternateContent>
  <xr:revisionPtr revIDLastSave="3" documentId="8_{18868AC8-4153-4F27-B41A-AD58DC642D34}" xr6:coauthVersionLast="47" xr6:coauthVersionMax="47" xr10:uidLastSave="{B6B7138E-0974-4DAA-A184-B615B0E8B6D5}"/>
  <bookViews>
    <workbookView xWindow="-120" yWindow="-120" windowWidth="24240" windowHeight="13020" tabRatio="597" xr2:uid="{85937B24-C2BC-4694-899F-706E0B453F0A}"/>
  </bookViews>
  <sheets>
    <sheet name="Ejercicio optimizacion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C101" i="1"/>
  <c r="C96" i="1"/>
  <c r="C95" i="1"/>
  <c r="C99" i="1"/>
  <c r="C100" i="1"/>
  <c r="C88" i="1"/>
  <c r="C86" i="1"/>
  <c r="C87" i="1"/>
  <c r="C85" i="1"/>
  <c r="C82" i="1"/>
  <c r="G11" i="1"/>
  <c r="O85" i="1"/>
  <c r="P85" i="1"/>
  <c r="N85" i="1"/>
  <c r="P83" i="1"/>
  <c r="N83" i="1"/>
  <c r="M83" i="1"/>
  <c r="K83" i="1"/>
  <c r="J83" i="1"/>
  <c r="I83" i="1"/>
  <c r="H83" i="1"/>
  <c r="G82" i="1"/>
  <c r="G83" i="1"/>
  <c r="G10" i="1"/>
  <c r="C80" i="1"/>
  <c r="M65" i="1"/>
  <c r="J65" i="1"/>
  <c r="I67" i="1"/>
  <c r="J67" i="1" s="1"/>
  <c r="I68" i="1"/>
  <c r="J68" i="1" s="1"/>
  <c r="I69" i="1"/>
  <c r="J69" i="1" s="1"/>
  <c r="I70" i="1"/>
  <c r="J70" i="1" s="1"/>
  <c r="I71" i="1"/>
  <c r="J71" i="1" s="1"/>
  <c r="I66" i="1"/>
  <c r="J66" i="1" s="1"/>
  <c r="H66" i="1"/>
  <c r="H67" i="1"/>
  <c r="H68" i="1"/>
  <c r="H69" i="1"/>
  <c r="H70" i="1"/>
  <c r="H71" i="1"/>
  <c r="H65" i="1"/>
  <c r="F71" i="1"/>
  <c r="F66" i="1"/>
  <c r="F67" i="1"/>
  <c r="F68" i="1"/>
  <c r="F69" i="1"/>
  <c r="F70" i="1"/>
  <c r="F65" i="1"/>
  <c r="E71" i="1"/>
  <c r="D63" i="1"/>
  <c r="D64" i="1"/>
  <c r="D65" i="1"/>
  <c r="D66" i="1"/>
  <c r="D67" i="1"/>
  <c r="D68" i="1"/>
  <c r="D69" i="1"/>
  <c r="D70" i="1"/>
  <c r="D71" i="1"/>
  <c r="C63" i="1"/>
  <c r="C71" i="1"/>
  <c r="J57" i="1"/>
  <c r="J56" i="1"/>
  <c r="C102" i="1" l="1"/>
  <c r="I47" i="1" l="1"/>
  <c r="F54" i="1"/>
  <c r="G54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47" i="1"/>
  <c r="G47" i="1" s="1"/>
  <c r="E54" i="1"/>
  <c r="M33" i="1"/>
  <c r="I34" i="1" s="1"/>
  <c r="M35" i="1"/>
  <c r="E35" i="1"/>
  <c r="C46" i="1" s="1"/>
  <c r="D46" i="1" s="1"/>
  <c r="J74" i="1"/>
  <c r="L74" i="1" s="1"/>
  <c r="J73" i="1"/>
  <c r="L73" i="1" s="1"/>
  <c r="L72" i="1"/>
  <c r="G70" i="1"/>
  <c r="G69" i="1"/>
  <c r="G68" i="1"/>
  <c r="G67" i="1"/>
  <c r="G66" i="1"/>
  <c r="G65" i="1"/>
  <c r="M57" i="1"/>
  <c r="K56" i="1"/>
  <c r="L55" i="1"/>
  <c r="M36" i="1" l="1"/>
  <c r="C54" i="1"/>
  <c r="I51" i="1"/>
  <c r="I48" i="1"/>
  <c r="I52" i="1"/>
  <c r="I54" i="1"/>
  <c r="I49" i="1"/>
  <c r="I53" i="1"/>
  <c r="I50" i="1"/>
  <c r="L35" i="1"/>
  <c r="L36" i="1" s="1"/>
  <c r="L34" i="1"/>
  <c r="K74" i="1"/>
  <c r="H34" i="1"/>
  <c r="L56" i="1"/>
  <c r="E36" i="1"/>
  <c r="K34" i="1"/>
  <c r="G34" i="1"/>
  <c r="J34" i="1"/>
  <c r="F34" i="1"/>
  <c r="L57" i="1"/>
  <c r="C70" i="1"/>
  <c r="C69" i="1" s="1"/>
  <c r="M34" i="1"/>
  <c r="G71" i="1"/>
  <c r="L75" i="1"/>
  <c r="C64" i="1"/>
  <c r="M73" i="1"/>
  <c r="D54" i="1" l="1"/>
  <c r="C53" i="1"/>
  <c r="K35" i="1"/>
  <c r="C68" i="1"/>
  <c r="L58" i="1"/>
  <c r="L77" i="1"/>
  <c r="J35" i="1"/>
  <c r="K36" i="1"/>
  <c r="K71" i="1" l="1"/>
  <c r="C52" i="1"/>
  <c r="D53" i="1"/>
  <c r="M69" i="1"/>
  <c r="H54" i="1"/>
  <c r="J54" i="1"/>
  <c r="K54" i="1" s="1"/>
  <c r="C67" i="1"/>
  <c r="C66" i="1" s="1"/>
  <c r="M70" i="1"/>
  <c r="M71" i="1"/>
  <c r="I35" i="1"/>
  <c r="J36" i="1"/>
  <c r="H53" i="1" l="1"/>
  <c r="M53" i="1" s="1"/>
  <c r="J53" i="1"/>
  <c r="K53" i="1" s="1"/>
  <c r="K70" i="1"/>
  <c r="C51" i="1"/>
  <c r="D52" i="1"/>
  <c r="K69" i="1"/>
  <c r="M54" i="1"/>
  <c r="K68" i="1"/>
  <c r="H35" i="1"/>
  <c r="I36" i="1"/>
  <c r="C65" i="1"/>
  <c r="C50" i="1" l="1"/>
  <c r="D51" i="1"/>
  <c r="M68" i="1"/>
  <c r="H52" i="1"/>
  <c r="J52" i="1"/>
  <c r="K52" i="1" s="1"/>
  <c r="G35" i="1"/>
  <c r="H36" i="1"/>
  <c r="M67" i="1"/>
  <c r="K67" i="1"/>
  <c r="H51" i="1" l="1"/>
  <c r="J51" i="1"/>
  <c r="K51" i="1" s="1"/>
  <c r="C49" i="1"/>
  <c r="D50" i="1"/>
  <c r="M52" i="1"/>
  <c r="G36" i="1"/>
  <c r="F35" i="1"/>
  <c r="K66" i="1"/>
  <c r="M66" i="1"/>
  <c r="M51" i="1" l="1"/>
  <c r="H50" i="1"/>
  <c r="M50" i="1" s="1"/>
  <c r="J50" i="1"/>
  <c r="C48" i="1"/>
  <c r="D49" i="1"/>
  <c r="F36" i="1"/>
  <c r="D35" i="1"/>
  <c r="D36" i="1" s="1"/>
  <c r="K65" i="1"/>
  <c r="H49" i="1" l="1"/>
  <c r="J49" i="1"/>
  <c r="K49" i="1" s="1"/>
  <c r="C47" i="1"/>
  <c r="D48" i="1"/>
  <c r="K50" i="1"/>
  <c r="M49" i="1" l="1"/>
  <c r="H48" i="1"/>
  <c r="J48" i="1"/>
  <c r="K48" i="1" s="1"/>
  <c r="D47" i="1"/>
  <c r="C45" i="1"/>
  <c r="D45" i="1" s="1"/>
  <c r="H47" i="1" l="1"/>
  <c r="J47" i="1"/>
  <c r="M48" i="1"/>
  <c r="J72" i="1"/>
  <c r="J55" i="1" l="1"/>
  <c r="K47" i="1"/>
  <c r="K55" i="1" s="1"/>
  <c r="K58" i="1" s="1"/>
  <c r="H55" i="1"/>
  <c r="M47" i="1"/>
  <c r="M55" i="1" s="1"/>
  <c r="M58" i="1" s="1"/>
  <c r="H72" i="1"/>
  <c r="M72" i="1"/>
  <c r="M75" i="1" s="1"/>
  <c r="K72" i="1"/>
  <c r="K75" i="1" s="1"/>
  <c r="K77" i="1" s="1"/>
  <c r="C94" i="1"/>
  <c r="C97" i="1" s="1"/>
  <c r="C104" i="1" s="1"/>
  <c r="M77" i="1" l="1"/>
  <c r="C83" i="1"/>
  <c r="C90" i="1" s="1"/>
</calcChain>
</file>

<file path=xl/sharedStrings.xml><?xml version="1.0" encoding="utf-8"?>
<sst xmlns="http://schemas.openxmlformats.org/spreadsheetml/2006/main" count="137" uniqueCount="77">
  <si>
    <t>NOMBRE ESTUDIANTE:</t>
  </si>
  <si>
    <t>SWAP ENTRE ALEX, EL COMISIONISTA Y LA COMPAÑÍA SOLUTIONS</t>
  </si>
  <si>
    <r>
      <rPr>
        <sz val="11"/>
        <rFont val="Arial"/>
        <family val="2"/>
      </rPr>
      <t xml:space="preserve">Alex es un inversionista y tiene un cartera diversificada de Bonos. En un análisis de su cartera, Alex y su asesor financiero observan algunos factores que les hacen considerar un swap de bonos
</t>
    </r>
    <r>
      <rPr>
        <b/>
        <sz val="11"/>
        <rFont val="Arial"/>
        <family val="2"/>
      </rPr>
      <t xml:space="preserve">
Situación inicial de la cartera:</t>
    </r>
    <r>
      <rPr>
        <sz val="11"/>
        <rFont val="Arial"/>
        <family val="2"/>
      </rPr>
      <t xml:space="preserve"> Alex posee un bono corporativo "H" con una duración de 10 años, una tasa de cupón del 4%, y una calificación crediticia de AA. El bono tiene un valor de mercado de $10,000.
</t>
    </r>
    <r>
      <rPr>
        <b/>
        <sz val="11"/>
        <rFont val="Arial"/>
        <family val="2"/>
      </rPr>
      <t xml:space="preserve">
Entorno de mercado cambiante:</t>
    </r>
    <r>
      <rPr>
        <sz val="11"/>
        <rFont val="Arial"/>
        <family val="2"/>
      </rPr>
      <t xml:space="preserve"> Las tasas de interés han empezado a subir, lo que afecta negativamente el valor de los bonos de larga duración como el bono "H".
</t>
    </r>
    <r>
      <rPr>
        <b/>
        <sz val="11"/>
        <rFont val="Arial"/>
        <family val="2"/>
      </rPr>
      <t xml:space="preserve">
Objetivos de Alex: </t>
    </r>
    <r>
      <rPr>
        <sz val="11"/>
        <rFont val="Arial"/>
        <family val="2"/>
      </rPr>
      <t xml:space="preserve">Preservar el capital y reducir la volatilidad de la cartera ante el aumento de las tasas de interés.
</t>
    </r>
    <r>
      <rPr>
        <b/>
        <sz val="11"/>
        <rFont val="Arial"/>
        <family val="2"/>
      </rPr>
      <t>Definición de objetivos para el swap:</t>
    </r>
    <r>
      <rPr>
        <sz val="11"/>
        <rFont val="Arial"/>
        <family val="2"/>
      </rPr>
      <t xml:space="preserve"> El objetivo es reducir la duración de la cartera para disminuir la sensibilidad a las tasas de interés y, si es posible, mejorar el rendimiento.
</t>
    </r>
    <r>
      <rPr>
        <b/>
        <sz val="11"/>
        <rFont val="Arial"/>
        <family val="2"/>
      </rPr>
      <t>Selección del nuevo bono:</t>
    </r>
    <r>
      <rPr>
        <sz val="11"/>
        <rFont val="Arial"/>
        <family val="2"/>
      </rPr>
      <t xml:space="preserve"> Tras investigar el mercado, Alex y su asesor encuentran el bono corporativo "F" en poder de la compañia "Solutions", con una duración de 5 años, una tasa de cupón del 4.8% con frecuencia de pagos semestrales, y una calificación crediticia de A. Este bono se ajusta mejor a su nueva estrategia de inversión, dada la expectativa de aumento de las tasas de interés.
</t>
    </r>
    <r>
      <rPr>
        <b/>
        <sz val="11"/>
        <rFont val="Arial"/>
        <family val="2"/>
      </rPr>
      <t xml:space="preserve">Ejecución del SWAP: </t>
    </r>
    <r>
      <rPr>
        <sz val="11"/>
        <rFont val="Arial"/>
        <family val="2"/>
      </rPr>
      <t>El asesor financiero de Alex ejecuta el SWAP el día 2 de abril de 2024 descontando el Bono "H" a una tasa de 4,35%, de igual forma busca comprar el Bono F a una tasa que le genere una ganancia a Alex de 50 al final del intercambio de bonos (Al final de la operación).
 La operación se realizará a través de la comisionista de bolsa Suravalores y cobra las siguientes comisiones:
- Comisión sobre la venta: 0.09% sobre valor nominal del título.
- Comisión sobre la compra: 0.06% sobre valor nominal del título.</t>
    </r>
    <r>
      <rPr>
        <b/>
        <sz val="11"/>
        <rFont val="Arial"/>
        <family val="2"/>
      </rPr>
      <t xml:space="preserve">
</t>
    </r>
  </si>
  <si>
    <t>ZONA DE PREGUNTAS Y RESPUESTAS</t>
  </si>
  <si>
    <t>Intrucciones para ingresar respuestas</t>
  </si>
  <si>
    <t>La respuesta debe ingresarse en la celda amarilla haciendo referencia a la celda que tiene la respuesta. Ej: =F25
No será válida si se digita la respuesta.
En caso que alguna de las preguntas no tenga respuesta, explicar en la celda amarilla la razón</t>
  </si>
  <si>
    <t>ALEX</t>
  </si>
  <si>
    <t>COMPAÑÍA SOLUTIONS</t>
  </si>
  <si>
    <t>BONO H</t>
  </si>
  <si>
    <t>BONO F</t>
  </si>
  <si>
    <t>Valor Nominal</t>
  </si>
  <si>
    <t>Fecha Emisión</t>
  </si>
  <si>
    <t>Fecha Vencimiento</t>
  </si>
  <si>
    <t>Tasa de Cupón (Anual)</t>
  </si>
  <si>
    <t xml:space="preserve">Frecuencia de Pago </t>
  </si>
  <si>
    <t>Anual</t>
  </si>
  <si>
    <t>Semestral</t>
  </si>
  <si>
    <t>Conteo de días</t>
  </si>
  <si>
    <t>30 / 360</t>
  </si>
  <si>
    <t>1. Tasa de cesión que el asesor de Alex debe comprar el Bono F para que Alex tenga una ganancia de $50 al final de la operación</t>
  </si>
  <si>
    <t>2. Ganancia o Pérdida generada para Alex después del que el Asesor Financiero de Alex reconozca a la Compañía Solutions el 10% de los intereses causados y no pagados del BONO F</t>
  </si>
  <si>
    <t>3. Dinero en efectivo que debe adicionar Alex para comprar el BONO F</t>
  </si>
  <si>
    <t>4. Dinero en efectivo que recibe Alex después hacer la venta del BONO H y la compra del BONO F</t>
  </si>
  <si>
    <t>5. Dinero en efectivo que debe adicionar la Compañía SOLUTIONS para comprar el BONO H.</t>
  </si>
  <si>
    <t>6. Dinero en efectivo que recibe la Compañía SOLUTIONS después hacer la venta del BONO F y la compra del BONO H</t>
  </si>
  <si>
    <t>OPERACIÓN</t>
  </si>
  <si>
    <t>FECHA</t>
  </si>
  <si>
    <t>DIAS</t>
  </si>
  <si>
    <t>FLUJO DE CAJA</t>
  </si>
  <si>
    <t>VALOR</t>
  </si>
  <si>
    <t>NEGOCIACION</t>
  </si>
  <si>
    <t>RESULTADO DE LA OPERACIÓN</t>
  </si>
  <si>
    <t>CAPITAL</t>
  </si>
  <si>
    <t>INTERES</t>
  </si>
  <si>
    <t>TOTAL</t>
  </si>
  <si>
    <t>ACTUAL</t>
  </si>
  <si>
    <t>TASA INTERES</t>
  </si>
  <si>
    <t>SURAVALORES</t>
  </si>
  <si>
    <t>rendimientos anteriores</t>
  </si>
  <si>
    <t>Negociación</t>
  </si>
  <si>
    <t>rendimientos</t>
  </si>
  <si>
    <t>rendimiento + vencimiento</t>
  </si>
  <si>
    <t>COMISIÓN POR VENTA</t>
  </si>
  <si>
    <t>COMISIÓN POR COMPRA</t>
  </si>
  <si>
    <t>SUBTOTAL DE LA OPERACIÓN</t>
  </si>
  <si>
    <t>Valor del titulo vendido</t>
  </si>
  <si>
    <t>Comision pagada</t>
  </si>
  <si>
    <t>Fecha de negociación</t>
  </si>
  <si>
    <t>Pagos</t>
  </si>
  <si>
    <t>Tasa de cesion</t>
  </si>
  <si>
    <t>Comision sobre venta</t>
  </si>
  <si>
    <t>Comision sobre compra</t>
  </si>
  <si>
    <t>Bono H Alex</t>
  </si>
  <si>
    <t>Alex</t>
  </si>
  <si>
    <t>Solutions</t>
  </si>
  <si>
    <t>Intereses causados y no pagados bono F</t>
  </si>
  <si>
    <t>rendimiento anterior</t>
  </si>
  <si>
    <t>fecha de negociacion</t>
  </si>
  <si>
    <t>Dias despues del ultimo pago</t>
  </si>
  <si>
    <t>Proporcion de dias causados</t>
  </si>
  <si>
    <t>Intereses</t>
  </si>
  <si>
    <t>Intereses causados no pagados</t>
  </si>
  <si>
    <t>Total reconocido</t>
  </si>
  <si>
    <t>Suravalores</t>
  </si>
  <si>
    <t>Total con reconocimiento de interes</t>
  </si>
  <si>
    <t>Intereses causados reconocidos</t>
  </si>
  <si>
    <t>Comision</t>
  </si>
  <si>
    <t>Total ingreso recibido</t>
  </si>
  <si>
    <t>Valor de titulo comprado</t>
  </si>
  <si>
    <t>Intereses causados reconocido</t>
  </si>
  <si>
    <t>Total egresos</t>
  </si>
  <si>
    <t>Total efectivo recibido</t>
  </si>
  <si>
    <t>CODIGO</t>
  </si>
  <si>
    <t>JUAN PABLO GONZALEZ HOYOS</t>
  </si>
  <si>
    <t>COMPAÑÍA</t>
  </si>
  <si>
    <t>Dias causados</t>
  </si>
  <si>
    <t>%  reconocer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</si>
</sst>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\ #,##0;[Red]\-&quot;$&quot;\ #,##0"/>
    <numFmt numFmtId="42" formatCode="_-&quot;$&quot;\ * #,##0_-;\-&quot;$&quot;\ * #,##0_-;_-&quot;$&quot;\ * &quot;-&quot;_-;_-@_-"/>
    <numFmt numFmtId="164" formatCode="&quot;$&quot;\ #,##0"/>
    <numFmt numFmtId="165" formatCode="0.0%"/>
    <numFmt numFmtId="166" formatCode="0.0000000%"/>
    <numFmt numFmtId="167" formatCode="#,##0.0000"/>
    <numFmt numFmtId="168" formatCode="#,##0.00000"/>
    <numFmt numFmtId="169" formatCode="&quot;$&quot;\ #,##0.000;[Red]\-&quot;$&quot;\ #,##0.000"/>
    <numFmt numFmtId="170" formatCode="&quot;$&quot;\ #,##0.00000;[Red]\-&quot;$&quot;\ #,##0.00000"/>
    <numFmt numFmtId="171" formatCode="0.000%"/>
    <numFmt numFmtId="172" formatCode="&quot;$&quot;\ #,##0.000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18"/>
      <color theme="1"/>
      <name val="Aptos Narrow"/>
      <family val="2"/>
      <scheme val="minor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0"/>
      <name val="Arial"/>
      <family val="2"/>
    </font>
    <font>
      <b/>
      <sz val="9"/>
      <name val="Aptos Narrow"/>
      <family val="2"/>
      <scheme val="minor"/>
    </font>
    <font>
      <b/>
      <sz val="10"/>
      <name val="Arial"/>
      <family val="2"/>
    </font>
    <font>
      <b/>
      <sz val="10"/>
      <name val="Aptos SemiBold"/>
      <family val="2"/>
    </font>
    <font>
      <b/>
      <sz val="16"/>
      <name val="Aptos SemiBold"/>
      <family val="2"/>
    </font>
    <font>
      <b/>
      <sz val="9"/>
      <name val="Aptos SemiBold"/>
      <family val="2"/>
    </font>
    <font>
      <sz val="10"/>
      <name val="Aptos SemiBold"/>
      <family val="2"/>
    </font>
    <font>
      <sz val="9"/>
      <name val="Aptos SemiBold"/>
      <family val="2"/>
    </font>
    <font>
      <b/>
      <sz val="9"/>
      <color theme="5"/>
      <name val="Aptos SemiBold"/>
      <family val="2"/>
    </font>
    <font>
      <sz val="16"/>
      <name val="Aptos Narrow"/>
      <family val="2"/>
    </font>
    <font>
      <sz val="10"/>
      <name val="Aptos Narrow"/>
      <family val="2"/>
    </font>
    <font>
      <b/>
      <sz val="12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1" fillId="0" borderId="0" xfId="2"/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 wrapText="1"/>
    </xf>
    <xf numFmtId="10" fontId="5" fillId="4" borderId="6" xfId="2" applyNumberFormat="1" applyFont="1" applyFill="1" applyBorder="1" applyAlignment="1">
      <alignment horizontal="center" vertical="center" wrapText="1"/>
    </xf>
    <xf numFmtId="164" fontId="5" fillId="4" borderId="6" xfId="2" applyNumberFormat="1" applyFont="1" applyFill="1" applyBorder="1" applyAlignment="1">
      <alignment horizontal="center" vertical="center" wrapText="1"/>
    </xf>
    <xf numFmtId="0" fontId="7" fillId="0" borderId="0" xfId="2" applyFont="1"/>
    <xf numFmtId="0" fontId="8" fillId="0" borderId="0" xfId="2" applyFont="1" applyAlignment="1">
      <alignment horizontal="left"/>
    </xf>
    <xf numFmtId="0" fontId="1" fillId="0" borderId="6" xfId="2" applyBorder="1"/>
    <xf numFmtId="169" fontId="5" fillId="4" borderId="6" xfId="2" applyNumberFormat="1" applyFont="1" applyFill="1" applyBorder="1" applyAlignment="1">
      <alignment horizontal="center" vertical="center" wrapText="1"/>
    </xf>
    <xf numFmtId="0" fontId="10" fillId="0" borderId="0" xfId="2" applyFont="1" applyAlignment="1">
      <alignment horizontal="center"/>
    </xf>
    <xf numFmtId="0" fontId="11" fillId="0" borderId="0" xfId="2" applyFont="1"/>
    <xf numFmtId="0" fontId="12" fillId="0" borderId="0" xfId="2" applyFont="1"/>
    <xf numFmtId="0" fontId="12" fillId="0" borderId="0" xfId="2" applyFont="1" applyAlignment="1">
      <alignment horizontal="center"/>
    </xf>
    <xf numFmtId="0" fontId="13" fillId="0" borderId="0" xfId="2" applyFont="1"/>
    <xf numFmtId="0" fontId="9" fillId="0" borderId="6" xfId="2" applyFont="1" applyBorder="1" applyAlignment="1">
      <alignment horizontal="right"/>
    </xf>
    <xf numFmtId="164" fontId="12" fillId="0" borderId="6" xfId="1" applyNumberFormat="1" applyFont="1" applyFill="1" applyBorder="1" applyAlignment="1">
      <alignment horizontal="center"/>
    </xf>
    <xf numFmtId="14" fontId="12" fillId="0" borderId="6" xfId="2" applyNumberFormat="1" applyFont="1" applyBorder="1" applyAlignment="1">
      <alignment horizontal="center"/>
    </xf>
    <xf numFmtId="9" fontId="12" fillId="0" borderId="6" xfId="2" applyNumberFormat="1" applyFont="1" applyBorder="1" applyAlignment="1">
      <alignment horizontal="center"/>
    </xf>
    <xf numFmtId="165" fontId="12" fillId="0" borderId="6" xfId="2" applyNumberFormat="1" applyFont="1" applyBorder="1" applyAlignment="1">
      <alignment horizontal="center"/>
    </xf>
    <xf numFmtId="1" fontId="12" fillId="0" borderId="0" xfId="2" applyNumberFormat="1" applyFont="1" applyAlignment="1">
      <alignment horizontal="center"/>
    </xf>
    <xf numFmtId="1" fontId="12" fillId="0" borderId="6" xfId="2" applyNumberFormat="1" applyFont="1" applyBorder="1" applyAlignment="1">
      <alignment horizontal="center"/>
    </xf>
    <xf numFmtId="0" fontId="12" fillId="0" borderId="0" xfId="2" applyFont="1" applyAlignment="1">
      <alignment horizontal="left"/>
    </xf>
    <xf numFmtId="0" fontId="9" fillId="0" borderId="0" xfId="2" applyFont="1"/>
    <xf numFmtId="14" fontId="12" fillId="0" borderId="0" xfId="2" applyNumberFormat="1" applyFont="1"/>
    <xf numFmtId="10" fontId="12" fillId="0" borderId="0" xfId="2" applyNumberFormat="1" applyFont="1"/>
    <xf numFmtId="9" fontId="12" fillId="0" borderId="0" xfId="2" applyNumberFormat="1" applyFont="1"/>
    <xf numFmtId="164" fontId="12" fillId="0" borderId="6" xfId="2" applyNumberFormat="1" applyFont="1" applyBorder="1"/>
    <xf numFmtId="0" fontId="12" fillId="0" borderId="6" xfId="2" applyFont="1" applyBorder="1"/>
    <xf numFmtId="14" fontId="12" fillId="0" borderId="6" xfId="2" applyNumberFormat="1" applyFont="1" applyBorder="1"/>
    <xf numFmtId="1" fontId="12" fillId="0" borderId="6" xfId="2" applyNumberFormat="1" applyFont="1" applyBorder="1"/>
    <xf numFmtId="0" fontId="13" fillId="0" borderId="6" xfId="2" applyFont="1" applyBorder="1"/>
    <xf numFmtId="14" fontId="13" fillId="0" borderId="8" xfId="2" applyNumberFormat="1" applyFont="1" applyBorder="1" applyAlignment="1">
      <alignment horizontal="center" wrapText="1"/>
    </xf>
    <xf numFmtId="1" fontId="13" fillId="0" borderId="8" xfId="2" applyNumberFormat="1" applyFont="1" applyBorder="1" applyAlignment="1">
      <alignment horizontal="center" vertical="center" wrapText="1"/>
    </xf>
    <xf numFmtId="0" fontId="11" fillId="0" borderId="6" xfId="2" applyFont="1" applyBorder="1" applyAlignment="1">
      <alignment horizontal="center" vertical="center"/>
    </xf>
    <xf numFmtId="3" fontId="11" fillId="0" borderId="6" xfId="2" applyNumberFormat="1" applyFont="1" applyBorder="1" applyAlignment="1">
      <alignment horizontal="center" vertical="center"/>
    </xf>
    <xf numFmtId="3" fontId="13" fillId="0" borderId="8" xfId="2" applyNumberFormat="1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4" fontId="13" fillId="0" borderId="6" xfId="2" applyNumberFormat="1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3" fontId="13" fillId="0" borderId="6" xfId="2" applyNumberFormat="1" applyFont="1" applyBorder="1" applyAlignment="1">
      <alignment horizontal="center"/>
    </xf>
    <xf numFmtId="168" fontId="13" fillId="0" borderId="8" xfId="2" applyNumberFormat="1" applyFont="1" applyBorder="1" applyAlignment="1">
      <alignment horizontal="center" vertical="center"/>
    </xf>
    <xf numFmtId="166" fontId="13" fillId="5" borderId="6" xfId="2" applyNumberFormat="1" applyFont="1" applyFill="1" applyBorder="1" applyAlignment="1">
      <alignment horizontal="center" vertical="center"/>
    </xf>
    <xf numFmtId="168" fontId="13" fillId="0" borderId="6" xfId="2" applyNumberFormat="1" applyFont="1" applyBorder="1" applyAlignment="1">
      <alignment horizontal="center" vertical="center"/>
    </xf>
    <xf numFmtId="168" fontId="13" fillId="0" borderId="6" xfId="0" applyNumberFormat="1" applyFont="1" applyBorder="1" applyAlignment="1">
      <alignment horizontal="center" vertical="center"/>
    </xf>
    <xf numFmtId="0" fontId="12" fillId="0" borderId="0" xfId="0" applyFont="1"/>
    <xf numFmtId="10" fontId="13" fillId="0" borderId="6" xfId="0" applyNumberFormat="1" applyFont="1" applyBorder="1"/>
    <xf numFmtId="164" fontId="13" fillId="0" borderId="6" xfId="2" applyNumberFormat="1" applyFont="1" applyBorder="1"/>
    <xf numFmtId="6" fontId="13" fillId="0" borderId="6" xfId="2" applyNumberFormat="1" applyFont="1" applyBorder="1"/>
    <xf numFmtId="170" fontId="11" fillId="0" borderId="6" xfId="0" applyNumberFormat="1" applyFont="1" applyBorder="1" applyAlignment="1">
      <alignment horizontal="center"/>
    </xf>
    <xf numFmtId="1" fontId="13" fillId="0" borderId="6" xfId="2" applyNumberFormat="1" applyFont="1" applyBorder="1" applyAlignment="1">
      <alignment horizontal="center"/>
    </xf>
    <xf numFmtId="3" fontId="13" fillId="0" borderId="6" xfId="2" applyNumberFormat="1" applyFont="1" applyBorder="1" applyAlignment="1">
      <alignment horizontal="center" vertical="center"/>
    </xf>
    <xf numFmtId="3" fontId="11" fillId="0" borderId="8" xfId="2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168" fontId="13" fillId="0" borderId="1" xfId="2" applyNumberFormat="1" applyFont="1" applyBorder="1" applyAlignment="1">
      <alignment horizontal="center" vertical="center"/>
    </xf>
    <xf numFmtId="168" fontId="13" fillId="0" borderId="6" xfId="2" applyNumberFormat="1" applyFont="1" applyBorder="1" applyAlignment="1">
      <alignment horizontal="center"/>
    </xf>
    <xf numFmtId="172" fontId="12" fillId="0" borderId="6" xfId="2" applyNumberFormat="1" applyFont="1" applyBorder="1"/>
    <xf numFmtId="171" fontId="12" fillId="0" borderId="6" xfId="3" applyNumberFormat="1" applyFont="1" applyBorder="1"/>
    <xf numFmtId="9" fontId="12" fillId="0" borderId="6" xfId="2" applyNumberFormat="1" applyFont="1" applyBorder="1"/>
    <xf numFmtId="0" fontId="11" fillId="6" borderId="7" xfId="2" applyFont="1" applyFill="1" applyBorder="1" applyAlignment="1">
      <alignment horizontal="center" vertical="center" wrapText="1"/>
    </xf>
    <xf numFmtId="3" fontId="11" fillId="6" borderId="7" xfId="2" applyNumberFormat="1" applyFont="1" applyFill="1" applyBorder="1" applyAlignment="1">
      <alignment horizontal="center" vertical="center"/>
    </xf>
    <xf numFmtId="0" fontId="11" fillId="6" borderId="6" xfId="2" applyFont="1" applyFill="1" applyBorder="1" applyAlignment="1">
      <alignment horizontal="center" vertical="center"/>
    </xf>
    <xf numFmtId="0" fontId="11" fillId="6" borderId="8" xfId="2" applyFont="1" applyFill="1" applyBorder="1" applyAlignment="1">
      <alignment vertical="center" wrapText="1"/>
    </xf>
    <xf numFmtId="3" fontId="11" fillId="6" borderId="6" xfId="2" applyNumberFormat="1" applyFont="1" applyFill="1" applyBorder="1" applyAlignment="1">
      <alignment horizontal="center" vertical="center"/>
    </xf>
    <xf numFmtId="3" fontId="11" fillId="6" borderId="8" xfId="2" applyNumberFormat="1" applyFont="1" applyFill="1" applyBorder="1" applyAlignment="1">
      <alignment horizontal="center" vertical="center"/>
    </xf>
    <xf numFmtId="0" fontId="11" fillId="6" borderId="6" xfId="2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3" fontId="11" fillId="6" borderId="6" xfId="2" applyNumberFormat="1" applyFont="1" applyFill="1" applyBorder="1"/>
    <xf numFmtId="168" fontId="11" fillId="6" borderId="6" xfId="2" applyNumberFormat="1" applyFont="1" applyFill="1" applyBorder="1"/>
    <xf numFmtId="0" fontId="9" fillId="6" borderId="0" xfId="2" applyFont="1" applyFill="1"/>
    <xf numFmtId="170" fontId="11" fillId="6" borderId="6" xfId="0" applyNumberFormat="1" applyFont="1" applyFill="1" applyBorder="1" applyAlignment="1">
      <alignment horizontal="center"/>
    </xf>
    <xf numFmtId="170" fontId="14" fillId="6" borderId="6" xfId="0" applyNumberFormat="1" applyFont="1" applyFill="1" applyBorder="1" applyAlignment="1">
      <alignment horizontal="center"/>
    </xf>
    <xf numFmtId="167" fontId="11" fillId="6" borderId="6" xfId="2" applyNumberFormat="1" applyFont="1" applyFill="1" applyBorder="1"/>
    <xf numFmtId="167" fontId="9" fillId="6" borderId="0" xfId="2" applyNumberFormat="1" applyFont="1" applyFill="1"/>
    <xf numFmtId="6" fontId="11" fillId="6" borderId="6" xfId="2" applyNumberFormat="1" applyFont="1" applyFill="1" applyBorder="1"/>
    <xf numFmtId="0" fontId="12" fillId="6" borderId="6" xfId="2" applyFont="1" applyFill="1" applyBorder="1"/>
    <xf numFmtId="0" fontId="9" fillId="6" borderId="6" xfId="2" applyFont="1" applyFill="1" applyBorder="1"/>
    <xf numFmtId="0" fontId="9" fillId="6" borderId="6" xfId="2" applyFont="1" applyFill="1" applyBorder="1" applyAlignment="1">
      <alignment horizontal="center" wrapText="1"/>
    </xf>
    <xf numFmtId="0" fontId="12" fillId="6" borderId="6" xfId="2" applyFont="1" applyFill="1" applyBorder="1" applyAlignment="1">
      <alignment horizontal="center" vertical="center" wrapText="1"/>
    </xf>
    <xf numFmtId="0" fontId="12" fillId="6" borderId="6" xfId="2" applyFont="1" applyFill="1" applyBorder="1" applyAlignment="1">
      <alignment horizontal="center" wrapText="1"/>
    </xf>
    <xf numFmtId="0" fontId="12" fillId="6" borderId="6" xfId="2" applyFont="1" applyFill="1" applyBorder="1" applyAlignment="1">
      <alignment horizontal="center" vertical="center"/>
    </xf>
    <xf numFmtId="0" fontId="1" fillId="6" borderId="6" xfId="2" applyFill="1" applyBorder="1" applyAlignment="1">
      <alignment horizontal="center" vertical="center"/>
    </xf>
    <xf numFmtId="0" fontId="9" fillId="0" borderId="6" xfId="2" applyFont="1" applyBorder="1"/>
    <xf numFmtId="169" fontId="12" fillId="6" borderId="6" xfId="2" applyNumberFormat="1" applyFont="1" applyFill="1" applyBorder="1"/>
    <xf numFmtId="169" fontId="1" fillId="6" borderId="6" xfId="2" applyNumberFormat="1" applyFill="1" applyBorder="1"/>
    <xf numFmtId="166" fontId="13" fillId="6" borderId="6" xfId="2" applyNumberFormat="1" applyFont="1" applyFill="1" applyBorder="1" applyAlignment="1">
      <alignment horizontal="center" vertical="center"/>
    </xf>
    <xf numFmtId="0" fontId="15" fillId="0" borderId="0" xfId="2" applyFont="1" applyAlignment="1">
      <alignment horizontal="right"/>
    </xf>
    <xf numFmtId="0" fontId="16" fillId="0" borderId="0" xfId="2" applyFont="1"/>
    <xf numFmtId="0" fontId="17" fillId="0" borderId="0" xfId="2" applyFont="1" applyAlignment="1">
      <alignment horizontal="right"/>
    </xf>
    <xf numFmtId="0" fontId="9" fillId="6" borderId="6" xfId="2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1" xfId="2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3" xfId="2" applyFont="1" applyBorder="1" applyAlignment="1">
      <alignment horizontal="left" vertical="top" wrapText="1"/>
    </xf>
    <xf numFmtId="0" fontId="6" fillId="2" borderId="4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4" fillId="0" borderId="6" xfId="2" applyFont="1" applyBorder="1" applyAlignment="1">
      <alignment horizontal="center" vertical="center" wrapText="1"/>
    </xf>
    <xf numFmtId="0" fontId="5" fillId="3" borderId="6" xfId="2" applyFont="1" applyFill="1" applyBorder="1" applyAlignment="1">
      <alignment vertical="center" wrapText="1"/>
    </xf>
    <xf numFmtId="0" fontId="5" fillId="0" borderId="6" xfId="2" applyFont="1" applyBorder="1" applyAlignment="1">
      <alignment horizontal="left" vertical="center" wrapText="1"/>
    </xf>
    <xf numFmtId="0" fontId="9" fillId="0" borderId="0" xfId="2" applyFont="1" applyAlignment="1">
      <alignment horizontal="left"/>
    </xf>
    <xf numFmtId="0" fontId="11" fillId="6" borderId="6" xfId="0" applyFont="1" applyFill="1" applyBorder="1" applyAlignment="1">
      <alignment horizontal="center"/>
    </xf>
    <xf numFmtId="0" fontId="11" fillId="6" borderId="7" xfId="2" applyFont="1" applyFill="1" applyBorder="1" applyAlignment="1">
      <alignment horizontal="center" vertical="center" wrapText="1"/>
    </xf>
    <xf numFmtId="0" fontId="11" fillId="6" borderId="8" xfId="2" applyFont="1" applyFill="1" applyBorder="1" applyAlignment="1">
      <alignment horizontal="center" vertical="center" wrapText="1"/>
    </xf>
    <xf numFmtId="0" fontId="11" fillId="6" borderId="1" xfId="2" applyFont="1" applyFill="1" applyBorder="1" applyAlignment="1">
      <alignment horizontal="center" vertical="center"/>
    </xf>
    <xf numFmtId="0" fontId="11" fillId="6" borderId="2" xfId="2" applyFont="1" applyFill="1" applyBorder="1" applyAlignment="1">
      <alignment horizontal="center" vertical="center"/>
    </xf>
    <xf numFmtId="0" fontId="11" fillId="6" borderId="3" xfId="2" applyFont="1" applyFill="1" applyBorder="1" applyAlignment="1">
      <alignment horizontal="center" vertical="center"/>
    </xf>
    <xf numFmtId="0" fontId="11" fillId="6" borderId="6" xfId="2" applyFont="1" applyFill="1" applyBorder="1" applyAlignment="1">
      <alignment horizontal="center" vertical="center"/>
    </xf>
    <xf numFmtId="0" fontId="11" fillId="6" borderId="6" xfId="2" applyFont="1" applyFill="1" applyBorder="1" applyAlignment="1">
      <alignment horizontal="center"/>
    </xf>
    <xf numFmtId="0" fontId="13" fillId="0" borderId="6" xfId="0" applyFont="1" applyBorder="1" applyAlignment="1">
      <alignment horizontal="right"/>
    </xf>
    <xf numFmtId="0" fontId="12" fillId="6" borderId="1" xfId="2" applyFont="1" applyFill="1" applyBorder="1" applyAlignment="1">
      <alignment horizontal="center"/>
    </xf>
    <xf numFmtId="0" fontId="12" fillId="6" borderId="3" xfId="2" applyFont="1" applyFill="1" applyBorder="1" applyAlignment="1">
      <alignment horizontal="center"/>
    </xf>
    <xf numFmtId="0" fontId="12" fillId="6" borderId="6" xfId="2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</cellXfs>
  <cellStyles count="4">
    <cellStyle name="Moneda [0]" xfId="1" builtinId="7"/>
    <cellStyle name="Normal" xfId="0" builtinId="0"/>
    <cellStyle name="Normal 2" xfId="2" xr:uid="{271ECB9E-08FB-452A-A6C8-8B935AF51C7F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2445-6086-4D6B-9B48-EE857DE2EF89}">
  <dimension ref="B2:P104"/>
  <sheetViews>
    <sheetView showGridLines="0" tabSelected="1" zoomScale="85" zoomScaleNormal="85" workbookViewId="0">
      <selection activeCell="F20" sqref="F20"/>
    </sheetView>
  </sheetViews>
  <sheetFormatPr baseColWidth="10" defaultColWidth="11.42578125" defaultRowHeight="12.75" x14ac:dyDescent="0.2"/>
  <cols>
    <col min="1" max="1" width="2" style="2" customWidth="1"/>
    <col min="2" max="2" width="33.85546875" style="2" bestFit="1" customWidth="1"/>
    <col min="3" max="3" width="27.42578125" style="2" customWidth="1"/>
    <col min="4" max="4" width="16.28515625" style="2" customWidth="1"/>
    <col min="5" max="5" width="15.28515625" style="2" customWidth="1"/>
    <col min="6" max="6" width="25.7109375" style="2" customWidth="1"/>
    <col min="7" max="7" width="15.5703125" style="2" customWidth="1"/>
    <col min="8" max="8" width="24" style="2" customWidth="1"/>
    <col min="9" max="9" width="17" style="2" customWidth="1"/>
    <col min="10" max="10" width="16.140625" style="2" customWidth="1"/>
    <col min="11" max="11" width="20.7109375" style="2" customWidth="1"/>
    <col min="12" max="12" width="17.28515625" style="2" customWidth="1"/>
    <col min="13" max="13" width="16" style="2" customWidth="1"/>
    <col min="14" max="14" width="19.5703125" style="2" customWidth="1"/>
    <col min="15" max="16384" width="11.42578125" style="2"/>
  </cols>
  <sheetData>
    <row r="2" spans="2:14" ht="24" x14ac:dyDescent="0.4">
      <c r="B2" s="1" t="s">
        <v>72</v>
      </c>
      <c r="C2" s="90">
        <v>1088332253</v>
      </c>
      <c r="D2" s="91"/>
    </row>
    <row r="3" spans="2:14" ht="24" x14ac:dyDescent="0.4">
      <c r="B3" s="1" t="s">
        <v>0</v>
      </c>
      <c r="C3" s="92" t="s">
        <v>73</v>
      </c>
      <c r="D3" s="92"/>
    </row>
    <row r="6" spans="2:14" ht="20.25" x14ac:dyDescent="0.3">
      <c r="B6" s="94" t="s">
        <v>1</v>
      </c>
      <c r="C6" s="94"/>
      <c r="D6" s="94"/>
      <c r="E6" s="94"/>
      <c r="F6" s="94"/>
      <c r="G6" s="94"/>
      <c r="H6" s="94"/>
      <c r="I6" s="94"/>
      <c r="J6" s="94"/>
    </row>
    <row r="7" spans="2:14" ht="282.75" customHeight="1" x14ac:dyDescent="0.2">
      <c r="B7" s="95" t="s">
        <v>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</row>
    <row r="8" spans="2:14" ht="24" customHeight="1" x14ac:dyDescent="0.2">
      <c r="B8" s="4"/>
      <c r="C8" s="4"/>
      <c r="D8" s="4"/>
      <c r="E8" s="4"/>
      <c r="F8" s="4"/>
      <c r="G8" s="4"/>
      <c r="H8" s="4"/>
      <c r="I8" s="4"/>
      <c r="J8" s="4"/>
      <c r="K8" s="5"/>
    </row>
    <row r="9" spans="2:14" ht="24" customHeight="1" x14ac:dyDescent="0.2">
      <c r="B9" s="98" t="s">
        <v>3</v>
      </c>
      <c r="C9" s="99"/>
      <c r="D9" s="99"/>
      <c r="E9" s="99"/>
      <c r="F9" s="99"/>
      <c r="G9" s="99"/>
      <c r="H9" s="4"/>
      <c r="I9" s="100" t="s">
        <v>4</v>
      </c>
      <c r="J9" s="100"/>
      <c r="K9" s="100"/>
      <c r="L9" s="100"/>
    </row>
    <row r="10" spans="2:14" ht="24" customHeight="1" x14ac:dyDescent="0.2">
      <c r="B10" s="101" t="s">
        <v>19</v>
      </c>
      <c r="C10" s="101"/>
      <c r="D10" s="101"/>
      <c r="E10" s="101"/>
      <c r="F10" s="101"/>
      <c r="G10" s="6">
        <f>+I65</f>
        <v>2.895599769029342E-2</v>
      </c>
      <c r="H10" s="4"/>
      <c r="I10" s="102" t="s">
        <v>5</v>
      </c>
      <c r="J10" s="102"/>
      <c r="K10" s="102"/>
      <c r="L10" s="102"/>
    </row>
    <row r="11" spans="2:14" ht="35.25" customHeight="1" x14ac:dyDescent="0.2">
      <c r="B11" s="101" t="s">
        <v>20</v>
      </c>
      <c r="C11" s="101"/>
      <c r="D11" s="101"/>
      <c r="E11" s="101"/>
      <c r="F11" s="101"/>
      <c r="G11" s="11">
        <f>+N85</f>
        <v>35.466594499432546</v>
      </c>
      <c r="H11" s="4"/>
      <c r="I11" s="102"/>
      <c r="J11" s="102"/>
      <c r="K11" s="102"/>
      <c r="L11" s="102"/>
    </row>
    <row r="12" spans="2:14" ht="24" customHeight="1" x14ac:dyDescent="0.2">
      <c r="B12" s="101" t="s">
        <v>21</v>
      </c>
      <c r="C12" s="101"/>
      <c r="D12" s="101"/>
      <c r="E12" s="101"/>
      <c r="F12" s="101"/>
      <c r="G12" s="7">
        <v>-41.77</v>
      </c>
      <c r="H12" s="4"/>
      <c r="I12" s="102"/>
      <c r="J12" s="102"/>
      <c r="K12" s="102"/>
      <c r="L12" s="102"/>
    </row>
    <row r="13" spans="2:14" ht="24" customHeight="1" x14ac:dyDescent="0.2">
      <c r="B13" s="101" t="s">
        <v>22</v>
      </c>
      <c r="C13" s="101"/>
      <c r="D13" s="101"/>
      <c r="E13" s="101"/>
      <c r="F13" s="101"/>
      <c r="G13" s="7">
        <v>0</v>
      </c>
      <c r="H13" s="4"/>
      <c r="I13" s="4"/>
      <c r="J13" s="4"/>
      <c r="K13" s="5"/>
    </row>
    <row r="14" spans="2:14" ht="20.65" customHeight="1" x14ac:dyDescent="0.3">
      <c r="B14" s="101" t="s">
        <v>23</v>
      </c>
      <c r="C14" s="101"/>
      <c r="D14" s="101"/>
      <c r="E14" s="101"/>
      <c r="F14" s="101"/>
      <c r="G14" s="7">
        <v>0</v>
      </c>
      <c r="H14" s="3"/>
      <c r="I14" s="3"/>
      <c r="J14" s="3"/>
    </row>
    <row r="15" spans="2:14" ht="20.65" customHeight="1" x14ac:dyDescent="0.3">
      <c r="B15" s="101" t="s">
        <v>24</v>
      </c>
      <c r="C15" s="101"/>
      <c r="D15" s="101"/>
      <c r="E15" s="101"/>
      <c r="F15" s="101"/>
      <c r="G15" s="7">
        <f>11.77</f>
        <v>11.77</v>
      </c>
      <c r="J15" s="3"/>
      <c r="K15" s="8"/>
    </row>
    <row r="16" spans="2:14" ht="20.25" x14ac:dyDescent="0.3">
      <c r="B16" s="9"/>
      <c r="C16" s="9"/>
      <c r="D16" s="3"/>
      <c r="E16" s="3"/>
      <c r="F16" s="3"/>
      <c r="G16" s="3"/>
      <c r="H16" s="9"/>
      <c r="I16" s="9"/>
      <c r="J16" s="3"/>
      <c r="K16" s="8"/>
    </row>
    <row r="17" spans="2:15" ht="21" x14ac:dyDescent="0.35">
      <c r="B17" s="103" t="s">
        <v>6</v>
      </c>
      <c r="C17" s="103"/>
      <c r="D17" s="12"/>
      <c r="E17" s="12"/>
      <c r="F17" s="12"/>
      <c r="G17" s="12"/>
      <c r="H17" s="103" t="s">
        <v>7</v>
      </c>
      <c r="I17" s="103"/>
      <c r="J17" s="12"/>
      <c r="K17" s="13"/>
      <c r="L17" s="14"/>
      <c r="M17" s="14"/>
      <c r="N17" s="14"/>
      <c r="O17" s="14"/>
    </row>
    <row r="18" spans="2:15" ht="21" x14ac:dyDescent="0.35">
      <c r="B18" s="93" t="s">
        <v>8</v>
      </c>
      <c r="C18" s="93"/>
      <c r="D18" s="15"/>
      <c r="E18" s="12"/>
      <c r="F18" s="12"/>
      <c r="G18" s="12"/>
      <c r="H18" s="93" t="s">
        <v>9</v>
      </c>
      <c r="I18" s="93"/>
      <c r="J18" s="15"/>
      <c r="K18" s="16"/>
      <c r="L18" s="14"/>
      <c r="M18" s="14"/>
      <c r="N18" s="14"/>
      <c r="O18" s="14"/>
    </row>
    <row r="19" spans="2:15" ht="21" x14ac:dyDescent="0.35">
      <c r="B19" s="17" t="s">
        <v>10</v>
      </c>
      <c r="C19" s="18">
        <v>10000</v>
      </c>
      <c r="D19" s="15"/>
      <c r="E19" s="12"/>
      <c r="F19" s="12"/>
      <c r="G19" s="12"/>
      <c r="H19" s="17" t="s">
        <v>10</v>
      </c>
      <c r="I19" s="18">
        <v>10000</v>
      </c>
      <c r="J19" s="15"/>
      <c r="K19" s="16"/>
      <c r="L19" s="14"/>
      <c r="M19" s="14"/>
      <c r="N19" s="14"/>
      <c r="O19" s="14"/>
    </row>
    <row r="20" spans="2:15" ht="21" x14ac:dyDescent="0.35">
      <c r="B20" s="17" t="s">
        <v>11</v>
      </c>
      <c r="C20" s="19">
        <v>44576</v>
      </c>
      <c r="D20" s="14"/>
      <c r="E20" s="14"/>
      <c r="F20" s="14"/>
      <c r="G20" s="12"/>
      <c r="H20" s="17" t="s">
        <v>11</v>
      </c>
      <c r="I20" s="19">
        <v>44727</v>
      </c>
      <c r="J20" s="15"/>
      <c r="K20" s="16"/>
      <c r="L20" s="14"/>
      <c r="M20" s="14"/>
      <c r="N20" s="14"/>
      <c r="O20" s="14"/>
    </row>
    <row r="21" spans="2:15" ht="21" x14ac:dyDescent="0.35">
      <c r="B21" s="17" t="s">
        <v>12</v>
      </c>
      <c r="C21" s="19">
        <v>48228</v>
      </c>
      <c r="D21" s="14"/>
      <c r="E21" s="14"/>
      <c r="F21" s="14"/>
      <c r="G21" s="12"/>
      <c r="H21" s="17" t="s">
        <v>12</v>
      </c>
      <c r="I21" s="19">
        <v>46553</v>
      </c>
      <c r="J21" s="14"/>
      <c r="K21" s="14"/>
      <c r="L21" s="14"/>
      <c r="M21" s="14"/>
      <c r="N21" s="14"/>
      <c r="O21" s="14"/>
    </row>
    <row r="22" spans="2:15" ht="21" x14ac:dyDescent="0.35">
      <c r="B22" s="17" t="s">
        <v>13</v>
      </c>
      <c r="C22" s="20">
        <v>0.04</v>
      </c>
      <c r="D22" s="14"/>
      <c r="E22" s="14"/>
      <c r="F22" s="14"/>
      <c r="G22" s="12"/>
      <c r="H22" s="17" t="s">
        <v>13</v>
      </c>
      <c r="I22" s="21">
        <v>4.8000000000000001E-2</v>
      </c>
      <c r="J22" s="14"/>
      <c r="K22" s="14"/>
      <c r="L22" s="14"/>
      <c r="M22" s="14"/>
      <c r="N22" s="14"/>
      <c r="O22" s="14"/>
    </row>
    <row r="23" spans="2:15" ht="21" x14ac:dyDescent="0.35">
      <c r="B23" s="17" t="s">
        <v>14</v>
      </c>
      <c r="C23" s="20" t="s">
        <v>15</v>
      </c>
      <c r="D23" s="22"/>
      <c r="E23" s="12"/>
      <c r="F23" s="12"/>
      <c r="G23" s="12"/>
      <c r="H23" s="17" t="s">
        <v>14</v>
      </c>
      <c r="I23" s="19" t="s">
        <v>16</v>
      </c>
      <c r="J23" s="22"/>
      <c r="K23" s="16"/>
      <c r="L23" s="14"/>
      <c r="M23" s="14"/>
      <c r="N23" s="14"/>
      <c r="O23" s="14"/>
    </row>
    <row r="24" spans="2:15" ht="21" x14ac:dyDescent="0.35">
      <c r="B24" s="17" t="s">
        <v>17</v>
      </c>
      <c r="C24" s="23" t="s">
        <v>18</v>
      </c>
      <c r="D24" s="22"/>
      <c r="E24" s="12"/>
      <c r="F24" s="12"/>
      <c r="G24" s="12"/>
      <c r="H24" s="17" t="s">
        <v>17</v>
      </c>
      <c r="I24" s="23" t="s">
        <v>18</v>
      </c>
      <c r="J24" s="22"/>
      <c r="K24" s="16"/>
      <c r="L24" s="14"/>
      <c r="M24" s="14"/>
      <c r="N24" s="14"/>
      <c r="O24" s="14"/>
    </row>
    <row r="25" spans="2:15" ht="21" x14ac:dyDescent="0.35">
      <c r="B25" s="14"/>
      <c r="C25" s="14"/>
      <c r="D25" s="14"/>
      <c r="E25" s="24"/>
      <c r="F25" s="24"/>
      <c r="G25" s="12"/>
      <c r="H25" s="14"/>
      <c r="I25" s="14"/>
      <c r="J25" s="14"/>
      <c r="K25" s="14"/>
      <c r="L25" s="14"/>
      <c r="M25" s="14"/>
      <c r="N25" s="14"/>
      <c r="O25" s="14"/>
    </row>
    <row r="26" spans="2:15" ht="13.5" x14ac:dyDescent="0.25">
      <c r="B26" s="25" t="s">
        <v>47</v>
      </c>
      <c r="C26" s="26">
        <v>45384</v>
      </c>
      <c r="D26" s="14"/>
      <c r="E26" s="14"/>
      <c r="F26" s="14"/>
      <c r="G26" s="14"/>
      <c r="H26" s="25" t="s">
        <v>48</v>
      </c>
      <c r="I26" s="27">
        <v>2.4E-2</v>
      </c>
      <c r="J26" s="14" t="s">
        <v>16</v>
      </c>
      <c r="K26" s="14"/>
      <c r="L26" s="14"/>
      <c r="M26" s="14"/>
      <c r="N26" s="14"/>
      <c r="O26" s="14"/>
    </row>
    <row r="27" spans="2:15" ht="13.5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2:15" ht="13.5" x14ac:dyDescent="0.25">
      <c r="B28" s="25" t="s">
        <v>48</v>
      </c>
      <c r="C28" s="28">
        <v>0.04</v>
      </c>
      <c r="D28" s="14" t="s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2:15" ht="13.5" x14ac:dyDescent="0.25">
      <c r="B29" s="25" t="s">
        <v>49</v>
      </c>
      <c r="C29" s="27">
        <v>4.3499999999999997E-2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2:15" ht="13.5" x14ac:dyDescent="0.25">
      <c r="B30" s="25" t="s">
        <v>50</v>
      </c>
      <c r="C30" s="27">
        <v>8.9999999999999998E-4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2:15" ht="13.5" x14ac:dyDescent="0.25">
      <c r="B31" s="25" t="s">
        <v>51</v>
      </c>
      <c r="C31" s="27">
        <v>5.9999999999999995E-4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2:15" ht="13.5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2:15" ht="13.5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29">
        <f>+C19</f>
        <v>10000</v>
      </c>
      <c r="N33" s="14"/>
      <c r="O33" s="14"/>
    </row>
    <row r="34" spans="2:15" ht="13.5" x14ac:dyDescent="0.25">
      <c r="B34" s="14"/>
      <c r="C34" s="14"/>
      <c r="D34" s="14"/>
      <c r="E34" s="14"/>
      <c r="F34" s="30">
        <f t="shared" ref="F34:L34" si="0">+$M$33*$C$22</f>
        <v>400</v>
      </c>
      <c r="G34" s="30">
        <f t="shared" si="0"/>
        <v>400</v>
      </c>
      <c r="H34" s="30">
        <f t="shared" si="0"/>
        <v>400</v>
      </c>
      <c r="I34" s="30">
        <f t="shared" si="0"/>
        <v>400</v>
      </c>
      <c r="J34" s="30">
        <f t="shared" si="0"/>
        <v>400</v>
      </c>
      <c r="K34" s="30">
        <f t="shared" si="0"/>
        <v>400</v>
      </c>
      <c r="L34" s="30">
        <f t="shared" si="0"/>
        <v>400</v>
      </c>
      <c r="M34" s="30">
        <f>+$M$33*$C$22</f>
        <v>400</v>
      </c>
      <c r="N34" s="14"/>
      <c r="O34" s="14"/>
    </row>
    <row r="35" spans="2:15" ht="13.5" x14ac:dyDescent="0.25">
      <c r="B35" s="14"/>
      <c r="C35" s="14"/>
      <c r="D35" s="31">
        <f>+EDATE(F35,-12)</f>
        <v>45306</v>
      </c>
      <c r="E35" s="31">
        <f>+C26</f>
        <v>45384</v>
      </c>
      <c r="F35" s="31">
        <f t="shared" ref="F35:K35" si="1">+EDATE(G35,-12)</f>
        <v>45672</v>
      </c>
      <c r="G35" s="31">
        <f t="shared" si="1"/>
        <v>46037</v>
      </c>
      <c r="H35" s="31">
        <f t="shared" si="1"/>
        <v>46402</v>
      </c>
      <c r="I35" s="31">
        <f t="shared" si="1"/>
        <v>46767</v>
      </c>
      <c r="J35" s="31">
        <f t="shared" si="1"/>
        <v>47133</v>
      </c>
      <c r="K35" s="31">
        <f t="shared" si="1"/>
        <v>47498</v>
      </c>
      <c r="L35" s="31">
        <f>+EDATE(M35,-12)</f>
        <v>47863</v>
      </c>
      <c r="M35" s="31">
        <f>+C21</f>
        <v>48228</v>
      </c>
      <c r="N35" s="14"/>
      <c r="O35" s="14"/>
    </row>
    <row r="36" spans="2:15" ht="13.5" x14ac:dyDescent="0.25">
      <c r="B36" s="14"/>
      <c r="C36" s="14"/>
      <c r="D36" s="32">
        <f t="shared" ref="D36:L36" si="2">+D35-$E$35</f>
        <v>-78</v>
      </c>
      <c r="E36" s="32">
        <f t="shared" si="2"/>
        <v>0</v>
      </c>
      <c r="F36" s="32">
        <f t="shared" si="2"/>
        <v>288</v>
      </c>
      <c r="G36" s="32">
        <f t="shared" si="2"/>
        <v>653</v>
      </c>
      <c r="H36" s="32">
        <f t="shared" si="2"/>
        <v>1018</v>
      </c>
      <c r="I36" s="32">
        <f t="shared" si="2"/>
        <v>1383</v>
      </c>
      <c r="J36" s="32">
        <f t="shared" si="2"/>
        <v>1749</v>
      </c>
      <c r="K36" s="32">
        <f t="shared" si="2"/>
        <v>2114</v>
      </c>
      <c r="L36" s="32">
        <f t="shared" si="2"/>
        <v>2479</v>
      </c>
      <c r="M36" s="32">
        <f>+M35-$E$35</f>
        <v>2844</v>
      </c>
      <c r="N36" s="14"/>
      <c r="O36" s="14"/>
    </row>
    <row r="37" spans="2:15" ht="13.5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15" ht="13.5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 ht="13.5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2:15" ht="13.5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 ht="13.5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15" ht="13.5" x14ac:dyDescent="0.25">
      <c r="B42" s="14" t="s">
        <v>52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15" ht="13.5" x14ac:dyDescent="0.25">
      <c r="B43" s="63" t="s">
        <v>25</v>
      </c>
      <c r="C43" s="105" t="s">
        <v>26</v>
      </c>
      <c r="D43" s="105" t="s">
        <v>27</v>
      </c>
      <c r="E43" s="107" t="s">
        <v>28</v>
      </c>
      <c r="F43" s="108"/>
      <c r="G43" s="109"/>
      <c r="H43" s="64" t="s">
        <v>29</v>
      </c>
      <c r="I43" s="110" t="s">
        <v>30</v>
      </c>
      <c r="J43" s="110"/>
      <c r="K43" s="110" t="s">
        <v>31</v>
      </c>
      <c r="L43" s="110"/>
      <c r="M43" s="110"/>
      <c r="N43" s="14"/>
      <c r="O43" s="14"/>
    </row>
    <row r="44" spans="2:15" ht="13.5" x14ac:dyDescent="0.25">
      <c r="B44" s="66"/>
      <c r="C44" s="106"/>
      <c r="D44" s="106"/>
      <c r="E44" s="65" t="s">
        <v>32</v>
      </c>
      <c r="F44" s="67" t="s">
        <v>33</v>
      </c>
      <c r="G44" s="65" t="s">
        <v>34</v>
      </c>
      <c r="H44" s="68" t="s">
        <v>35</v>
      </c>
      <c r="I44" s="65" t="s">
        <v>36</v>
      </c>
      <c r="J44" s="65" t="s">
        <v>29</v>
      </c>
      <c r="K44" s="69" t="s">
        <v>53</v>
      </c>
      <c r="L44" s="70" t="s">
        <v>37</v>
      </c>
      <c r="M44" s="69" t="s">
        <v>54</v>
      </c>
      <c r="N44" s="14"/>
      <c r="O44" s="14"/>
    </row>
    <row r="45" spans="2:15" ht="13.5" x14ac:dyDescent="0.25">
      <c r="B45" s="33" t="s">
        <v>38</v>
      </c>
      <c r="C45" s="34">
        <f>+EDATE(C47,-12)</f>
        <v>45306</v>
      </c>
      <c r="D45" s="35">
        <f t="shared" ref="D45:D53" si="3">+C45-$C$46</f>
        <v>-78</v>
      </c>
      <c r="E45" s="36"/>
      <c r="F45" s="37"/>
      <c r="G45" s="36"/>
      <c r="H45" s="38"/>
      <c r="I45" s="39"/>
      <c r="J45" s="40"/>
      <c r="K45" s="39"/>
      <c r="L45" s="41"/>
      <c r="M45" s="39"/>
      <c r="N45" s="14"/>
      <c r="O45" s="14"/>
    </row>
    <row r="46" spans="2:15" ht="13.5" x14ac:dyDescent="0.25">
      <c r="B46" s="33" t="s">
        <v>39</v>
      </c>
      <c r="C46" s="34">
        <f>+E35</f>
        <v>45384</v>
      </c>
      <c r="D46" s="35">
        <f t="shared" si="3"/>
        <v>0</v>
      </c>
      <c r="E46" s="36"/>
      <c r="F46" s="37"/>
      <c r="G46" s="36"/>
      <c r="H46" s="38"/>
      <c r="I46" s="39"/>
      <c r="J46" s="40"/>
      <c r="K46" s="39"/>
      <c r="L46" s="41"/>
      <c r="M46" s="39"/>
      <c r="N46" s="14"/>
      <c r="O46" s="14"/>
    </row>
    <row r="47" spans="2:15" ht="13.5" x14ac:dyDescent="0.25">
      <c r="B47" s="33" t="s">
        <v>40</v>
      </c>
      <c r="C47" s="42">
        <f t="shared" ref="C47:C52" si="4">+EDATE(C48,-12)</f>
        <v>45672</v>
      </c>
      <c r="D47" s="35">
        <f t="shared" si="3"/>
        <v>288</v>
      </c>
      <c r="E47" s="43"/>
      <c r="F47" s="44">
        <f>+$C$19*$C$28</f>
        <v>400</v>
      </c>
      <c r="G47" s="44">
        <f t="shared" ref="G47:G54" si="5">+F47+E47</f>
        <v>400</v>
      </c>
      <c r="H47" s="45">
        <f>+PV($C$28,D47/360,,-G47)</f>
        <v>387.64422635303544</v>
      </c>
      <c r="I47" s="46">
        <f>+C29</f>
        <v>4.3499999999999997E-2</v>
      </c>
      <c r="J47" s="45">
        <f>+PV($I$47,D47/360,,-G47)</f>
        <v>386.60372000126438</v>
      </c>
      <c r="K47" s="47">
        <f>+J47-H47</f>
        <v>-1.0405063517710573</v>
      </c>
      <c r="L47" s="48"/>
      <c r="M47" s="47">
        <f>+H47-J47</f>
        <v>1.0405063517710573</v>
      </c>
      <c r="N47" s="14"/>
      <c r="O47" s="14"/>
    </row>
    <row r="48" spans="2:15" ht="13.5" x14ac:dyDescent="0.25">
      <c r="B48" s="33" t="s">
        <v>40</v>
      </c>
      <c r="C48" s="42">
        <f t="shared" si="4"/>
        <v>46037</v>
      </c>
      <c r="D48" s="35">
        <f t="shared" si="3"/>
        <v>653</v>
      </c>
      <c r="E48" s="43"/>
      <c r="F48" s="44">
        <f t="shared" ref="F48:F53" si="6">+$C$19*$C$28</f>
        <v>400</v>
      </c>
      <c r="G48" s="44">
        <f t="shared" si="5"/>
        <v>400</v>
      </c>
      <c r="H48" s="45">
        <f t="shared" ref="H48:H54" si="7">+PV($C$28,D48/360,,-G48)</f>
        <v>372.53184768465172</v>
      </c>
      <c r="I48" s="46">
        <f>+$I$47</f>
        <v>4.3499999999999997E-2</v>
      </c>
      <c r="J48" s="45">
        <f t="shared" ref="J48:J54" si="8">+PV($I$47,D48/360,,-G48)</f>
        <v>370.26847345228617</v>
      </c>
      <c r="K48" s="47">
        <f t="shared" ref="K48:K54" si="9">+J48-H48</f>
        <v>-2.2633742323655497</v>
      </c>
      <c r="L48" s="48"/>
      <c r="M48" s="47">
        <f t="shared" ref="M48:M54" si="10">+H48-J48</f>
        <v>2.2633742323655497</v>
      </c>
      <c r="N48" s="14"/>
      <c r="O48" s="14"/>
    </row>
    <row r="49" spans="2:15" ht="13.5" x14ac:dyDescent="0.25">
      <c r="B49" s="33" t="s">
        <v>40</v>
      </c>
      <c r="C49" s="42">
        <f t="shared" si="4"/>
        <v>46402</v>
      </c>
      <c r="D49" s="35">
        <f t="shared" si="3"/>
        <v>1018</v>
      </c>
      <c r="E49" s="43"/>
      <c r="F49" s="44">
        <f t="shared" si="6"/>
        <v>400</v>
      </c>
      <c r="G49" s="44">
        <f t="shared" si="5"/>
        <v>400</v>
      </c>
      <c r="H49" s="45">
        <f t="shared" si="7"/>
        <v>358.00862776929591</v>
      </c>
      <c r="I49" s="46">
        <f t="shared" ref="I49:I54" si="11">+$I$47</f>
        <v>4.3499999999999997E-2</v>
      </c>
      <c r="J49" s="45">
        <f t="shared" si="8"/>
        <v>354.62344343773515</v>
      </c>
      <c r="K49" s="47">
        <f t="shared" si="9"/>
        <v>-3.3851843315607653</v>
      </c>
      <c r="L49" s="48"/>
      <c r="M49" s="47">
        <f t="shared" si="10"/>
        <v>3.3851843315607653</v>
      </c>
      <c r="N49" s="14"/>
      <c r="O49" s="14"/>
    </row>
    <row r="50" spans="2:15" ht="13.5" x14ac:dyDescent="0.25">
      <c r="B50" s="33" t="s">
        <v>40</v>
      </c>
      <c r="C50" s="42">
        <f t="shared" si="4"/>
        <v>46767</v>
      </c>
      <c r="D50" s="35">
        <f t="shared" si="3"/>
        <v>1383</v>
      </c>
      <c r="E50" s="43"/>
      <c r="F50" s="44">
        <f t="shared" si="6"/>
        <v>400</v>
      </c>
      <c r="G50" s="44">
        <f t="shared" si="5"/>
        <v>400</v>
      </c>
      <c r="H50" s="45">
        <f t="shared" si="7"/>
        <v>344.05159814886582</v>
      </c>
      <c r="I50" s="46">
        <f t="shared" si="11"/>
        <v>4.3499999999999997E-2</v>
      </c>
      <c r="J50" s="45">
        <f t="shared" si="8"/>
        <v>339.63946609632706</v>
      </c>
      <c r="K50" s="47">
        <f t="shared" si="9"/>
        <v>-4.4121320525387659</v>
      </c>
      <c r="L50" s="48"/>
      <c r="M50" s="47">
        <f t="shared" si="10"/>
        <v>4.4121320525387659</v>
      </c>
      <c r="N50" s="14"/>
      <c r="O50" s="14"/>
    </row>
    <row r="51" spans="2:15" ht="13.5" x14ac:dyDescent="0.25">
      <c r="B51" s="33" t="s">
        <v>40</v>
      </c>
      <c r="C51" s="42">
        <f t="shared" si="4"/>
        <v>47133</v>
      </c>
      <c r="D51" s="35">
        <f t="shared" si="3"/>
        <v>1749</v>
      </c>
      <c r="E51" s="43"/>
      <c r="F51" s="44">
        <f t="shared" si="6"/>
        <v>400</v>
      </c>
      <c r="G51" s="44">
        <f t="shared" si="5"/>
        <v>400</v>
      </c>
      <c r="H51" s="45">
        <f t="shared" si="7"/>
        <v>330.60266585388996</v>
      </c>
      <c r="I51" s="46">
        <f t="shared" si="11"/>
        <v>4.3499999999999997E-2</v>
      </c>
      <c r="J51" s="45">
        <f t="shared" si="8"/>
        <v>325.25013729041206</v>
      </c>
      <c r="K51" s="47">
        <f t="shared" si="9"/>
        <v>-5.3525285634779038</v>
      </c>
      <c r="L51" s="48"/>
      <c r="M51" s="47">
        <f t="shared" si="10"/>
        <v>5.3525285634779038</v>
      </c>
      <c r="N51" s="14"/>
      <c r="O51" s="14"/>
    </row>
    <row r="52" spans="2:15" ht="13.5" x14ac:dyDescent="0.25">
      <c r="B52" s="33" t="s">
        <v>40</v>
      </c>
      <c r="C52" s="42">
        <f t="shared" si="4"/>
        <v>47498</v>
      </c>
      <c r="D52" s="35">
        <f t="shared" si="3"/>
        <v>2114</v>
      </c>
      <c r="E52" s="43"/>
      <c r="F52" s="44">
        <f t="shared" si="6"/>
        <v>400</v>
      </c>
      <c r="G52" s="44">
        <f t="shared" si="5"/>
        <v>400</v>
      </c>
      <c r="H52" s="45">
        <f t="shared" si="7"/>
        <v>317.71406250187982</v>
      </c>
      <c r="I52" s="46">
        <f t="shared" si="11"/>
        <v>4.3499999999999997E-2</v>
      </c>
      <c r="J52" s="45">
        <f t="shared" si="8"/>
        <v>311.50727629903179</v>
      </c>
      <c r="K52" s="47">
        <f t="shared" si="9"/>
        <v>-6.2067862028480363</v>
      </c>
      <c r="L52" s="48"/>
      <c r="M52" s="47">
        <f t="shared" si="10"/>
        <v>6.2067862028480363</v>
      </c>
      <c r="N52" s="14"/>
      <c r="O52" s="14"/>
    </row>
    <row r="53" spans="2:15" ht="13.5" x14ac:dyDescent="0.25">
      <c r="B53" s="33" t="s">
        <v>40</v>
      </c>
      <c r="C53" s="42">
        <f>+EDATE(C54,-12)</f>
        <v>47863</v>
      </c>
      <c r="D53" s="35">
        <f t="shared" si="3"/>
        <v>2479</v>
      </c>
      <c r="E53" s="44"/>
      <c r="F53" s="44">
        <f t="shared" si="6"/>
        <v>400</v>
      </c>
      <c r="G53" s="44">
        <f t="shared" si="5"/>
        <v>400</v>
      </c>
      <c r="H53" s="45">
        <f t="shared" si="7"/>
        <v>305.32792362920594</v>
      </c>
      <c r="I53" s="46">
        <f t="shared" si="11"/>
        <v>4.3499999999999997E-2</v>
      </c>
      <c r="J53" s="45">
        <f t="shared" si="8"/>
        <v>298.34509524156886</v>
      </c>
      <c r="K53" s="47">
        <f t="shared" si="9"/>
        <v>-6.9828283876370847</v>
      </c>
      <c r="L53" s="47"/>
      <c r="M53" s="47">
        <f t="shared" si="10"/>
        <v>6.9828283876370847</v>
      </c>
      <c r="N53" s="14"/>
      <c r="O53" s="14"/>
    </row>
    <row r="54" spans="2:15" ht="13.5" x14ac:dyDescent="0.25">
      <c r="B54" s="33" t="s">
        <v>41</v>
      </c>
      <c r="C54" s="42">
        <f>+M35</f>
        <v>48228</v>
      </c>
      <c r="D54" s="35">
        <f>+C54-$C$46</f>
        <v>2844</v>
      </c>
      <c r="E54" s="44">
        <f>+C19</f>
        <v>10000</v>
      </c>
      <c r="F54" s="44">
        <f>+$C$19*$C$28</f>
        <v>400</v>
      </c>
      <c r="G54" s="44">
        <f t="shared" si="5"/>
        <v>10400</v>
      </c>
      <c r="H54" s="45">
        <f t="shared" si="7"/>
        <v>7629.0411748030065</v>
      </c>
      <c r="I54" s="46">
        <f t="shared" si="11"/>
        <v>4.3499999999999997E-2</v>
      </c>
      <c r="J54" s="45">
        <f t="shared" si="8"/>
        <v>7429.2155217608743</v>
      </c>
      <c r="K54" s="47">
        <f t="shared" si="9"/>
        <v>-199.82565304213222</v>
      </c>
      <c r="L54" s="47"/>
      <c r="M54" s="47">
        <f t="shared" si="10"/>
        <v>199.82565304213222</v>
      </c>
      <c r="N54" s="14"/>
      <c r="O54" s="14"/>
    </row>
    <row r="55" spans="2:15" ht="13.5" x14ac:dyDescent="0.25">
      <c r="B55" s="111" t="s">
        <v>34</v>
      </c>
      <c r="C55" s="111"/>
      <c r="D55" s="111"/>
      <c r="E55" s="111"/>
      <c r="F55" s="111"/>
      <c r="G55" s="71"/>
      <c r="H55" s="72">
        <f>SUM(H47:H54)</f>
        <v>10044.922126743832</v>
      </c>
      <c r="I55" s="73"/>
      <c r="J55" s="72">
        <f>SUM(J47:J54)</f>
        <v>9815.4531335795</v>
      </c>
      <c r="K55" s="72">
        <f>+SUM(K47:K54)</f>
        <v>-229.46899316433138</v>
      </c>
      <c r="L55" s="72">
        <f t="shared" ref="L55:M55" si="12">+SUM(L47:L54)</f>
        <v>0</v>
      </c>
      <c r="M55" s="72">
        <f t="shared" si="12"/>
        <v>229.46899316433138</v>
      </c>
      <c r="N55" s="14"/>
      <c r="O55" s="14"/>
    </row>
    <row r="56" spans="2:15" ht="13.5" x14ac:dyDescent="0.25">
      <c r="B56" s="49"/>
      <c r="C56" s="16"/>
      <c r="D56" s="16"/>
      <c r="E56" s="16"/>
      <c r="F56" s="16"/>
      <c r="G56" s="112" t="s">
        <v>42</v>
      </c>
      <c r="H56" s="112"/>
      <c r="I56" s="50">
        <v>5.9999999999999995E-4</v>
      </c>
      <c r="J56" s="51">
        <f>+$C$19*I56</f>
        <v>5.9999999999999991</v>
      </c>
      <c r="K56" s="52">
        <f>-J56</f>
        <v>-5.9999999999999991</v>
      </c>
      <c r="L56" s="52">
        <f>+J56</f>
        <v>5.9999999999999991</v>
      </c>
      <c r="M56" s="52"/>
      <c r="N56" s="14"/>
      <c r="O56" s="14"/>
    </row>
    <row r="57" spans="2:15" ht="13.5" x14ac:dyDescent="0.25">
      <c r="B57" s="13"/>
      <c r="C57" s="16"/>
      <c r="D57" s="16"/>
      <c r="E57" s="16"/>
      <c r="F57" s="16"/>
      <c r="G57" s="112" t="s">
        <v>43</v>
      </c>
      <c r="H57" s="112"/>
      <c r="I57" s="50">
        <v>4.0000000000000002E-4</v>
      </c>
      <c r="J57" s="51">
        <f>+$C$19*I57</f>
        <v>4</v>
      </c>
      <c r="K57" s="52"/>
      <c r="L57" s="52">
        <f>+J57</f>
        <v>4</v>
      </c>
      <c r="M57" s="52">
        <f>-J57</f>
        <v>-4</v>
      </c>
      <c r="N57" s="14"/>
      <c r="O57" s="14"/>
    </row>
    <row r="58" spans="2:15" ht="13.5" x14ac:dyDescent="0.25">
      <c r="B58" s="13"/>
      <c r="C58" s="16"/>
      <c r="D58" s="16"/>
      <c r="E58" s="16"/>
      <c r="F58" s="16"/>
      <c r="G58" s="104" t="s">
        <v>44</v>
      </c>
      <c r="H58" s="104"/>
      <c r="I58" s="104"/>
      <c r="J58" s="104"/>
      <c r="K58" s="75">
        <f>+SUM(K55:K57)</f>
        <v>-235.46899316433138</v>
      </c>
      <c r="L58" s="74">
        <f t="shared" ref="L58:M58" si="13">+SUM(L55:L57)</f>
        <v>10</v>
      </c>
      <c r="M58" s="74">
        <f t="shared" si="13"/>
        <v>225.46899316433138</v>
      </c>
      <c r="N58" s="14"/>
      <c r="O58" s="14"/>
    </row>
    <row r="59" spans="2:15" ht="13.5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ht="13.5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ht="13.5" x14ac:dyDescent="0.25">
      <c r="B61" s="63" t="s">
        <v>25</v>
      </c>
      <c r="C61" s="105" t="s">
        <v>26</v>
      </c>
      <c r="D61" s="105" t="s">
        <v>27</v>
      </c>
      <c r="E61" s="107" t="s">
        <v>28</v>
      </c>
      <c r="F61" s="108"/>
      <c r="G61" s="109"/>
      <c r="H61" s="64" t="s">
        <v>29</v>
      </c>
      <c r="I61" s="110" t="s">
        <v>30</v>
      </c>
      <c r="J61" s="110"/>
      <c r="K61" s="110" t="s">
        <v>31</v>
      </c>
      <c r="L61" s="110"/>
      <c r="M61" s="110"/>
      <c r="N61" s="14"/>
      <c r="O61" s="14"/>
    </row>
    <row r="62" spans="2:15" ht="13.5" x14ac:dyDescent="0.25">
      <c r="B62" s="66"/>
      <c r="C62" s="106"/>
      <c r="D62" s="106"/>
      <c r="E62" s="65" t="s">
        <v>32</v>
      </c>
      <c r="F62" s="67" t="s">
        <v>33</v>
      </c>
      <c r="G62" s="65" t="s">
        <v>34</v>
      </c>
      <c r="H62" s="68" t="s">
        <v>35</v>
      </c>
      <c r="I62" s="65" t="s">
        <v>36</v>
      </c>
      <c r="J62" s="65" t="s">
        <v>29</v>
      </c>
      <c r="K62" s="69" t="s">
        <v>53</v>
      </c>
      <c r="L62" s="70" t="s">
        <v>37</v>
      </c>
      <c r="M62" s="69" t="s">
        <v>54</v>
      </c>
      <c r="N62" s="14"/>
      <c r="O62" s="14"/>
    </row>
    <row r="63" spans="2:15" ht="13.5" x14ac:dyDescent="0.25">
      <c r="B63" s="33" t="s">
        <v>38</v>
      </c>
      <c r="C63" s="34">
        <f>+EDATE(C65,-6)</f>
        <v>45275</v>
      </c>
      <c r="D63" s="54">
        <f t="shared" ref="D63:D70" si="14">+C63-$C$64</f>
        <v>-109</v>
      </c>
      <c r="E63" s="36"/>
      <c r="F63" s="55"/>
      <c r="G63" s="36"/>
      <c r="H63" s="56"/>
      <c r="I63" s="39"/>
      <c r="J63" s="40"/>
      <c r="K63" s="43"/>
      <c r="L63" s="57"/>
      <c r="M63" s="43"/>
      <c r="N63" s="14"/>
      <c r="O63" s="14"/>
    </row>
    <row r="64" spans="2:15" ht="13.5" x14ac:dyDescent="0.25">
      <c r="B64" s="33" t="s">
        <v>39</v>
      </c>
      <c r="C64" s="42">
        <f>+C46</f>
        <v>45384</v>
      </c>
      <c r="D64" s="54">
        <f t="shared" si="14"/>
        <v>0</v>
      </c>
      <c r="E64" s="36"/>
      <c r="F64" s="55"/>
      <c r="G64" s="36"/>
      <c r="H64" s="56"/>
      <c r="I64" s="39"/>
      <c r="J64" s="40"/>
      <c r="K64" s="43"/>
      <c r="L64" s="57"/>
      <c r="M64" s="43"/>
      <c r="N64" s="14"/>
      <c r="O64" s="14"/>
    </row>
    <row r="65" spans="2:15" ht="13.5" x14ac:dyDescent="0.25">
      <c r="B65" s="33" t="s">
        <v>40</v>
      </c>
      <c r="C65" s="42">
        <f t="shared" ref="C65:C69" si="15">+EDATE(C66,-6)</f>
        <v>45458</v>
      </c>
      <c r="D65" s="54">
        <f t="shared" si="14"/>
        <v>74</v>
      </c>
      <c r="E65" s="36"/>
      <c r="F65" s="55">
        <f>+$I$19*$I$26</f>
        <v>240</v>
      </c>
      <c r="G65" s="55">
        <f t="shared" ref="G65:G71" si="16">+F65+E65</f>
        <v>240</v>
      </c>
      <c r="H65" s="47">
        <f>+PV($I$26,D65/180,,-G65)</f>
        <v>237.67134018673281</v>
      </c>
      <c r="I65" s="89">
        <v>2.895599769029342E-2</v>
      </c>
      <c r="J65" s="58">
        <f>+PV(I65,D65/180,,-G65)</f>
        <v>237.20005110759109</v>
      </c>
      <c r="K65" s="59">
        <f t="shared" ref="K65:K71" si="17">+H65-J65</f>
        <v>0.47128907914171236</v>
      </c>
      <c r="L65" s="57"/>
      <c r="M65" s="59">
        <f>-H65+J65</f>
        <v>-0.47128907914171236</v>
      </c>
      <c r="N65" s="14"/>
      <c r="O65" s="14"/>
    </row>
    <row r="66" spans="2:15" ht="13.5" x14ac:dyDescent="0.25">
      <c r="B66" s="33" t="s">
        <v>40</v>
      </c>
      <c r="C66" s="42">
        <f t="shared" si="15"/>
        <v>45641</v>
      </c>
      <c r="D66" s="54">
        <f t="shared" si="14"/>
        <v>257</v>
      </c>
      <c r="E66" s="36"/>
      <c r="F66" s="55">
        <f t="shared" ref="F66:F70" si="18">+$I$19*$I$26</f>
        <v>240</v>
      </c>
      <c r="G66" s="55">
        <f t="shared" si="16"/>
        <v>240</v>
      </c>
      <c r="H66" s="47">
        <f t="shared" ref="H66:H71" si="19">+PV($I$26,D66/180,,-G66)</f>
        <v>232.00919248736452</v>
      </c>
      <c r="I66" s="89">
        <f>+$I$65</f>
        <v>2.895599769029342E-2</v>
      </c>
      <c r="J66" s="58">
        <f t="shared" ref="J66:J71" si="20">+PV(I66,D66/180,,-G66)</f>
        <v>230.41532559712607</v>
      </c>
      <c r="K66" s="59">
        <f t="shared" si="17"/>
        <v>1.593866890238445</v>
      </c>
      <c r="L66" s="57"/>
      <c r="M66" s="59">
        <f t="shared" ref="M66:M71" si="21">-H66+J66</f>
        <v>-1.593866890238445</v>
      </c>
      <c r="N66" s="14"/>
      <c r="O66" s="14"/>
    </row>
    <row r="67" spans="2:15" ht="13.5" x14ac:dyDescent="0.25">
      <c r="B67" s="33" t="s">
        <v>40</v>
      </c>
      <c r="C67" s="42">
        <f t="shared" si="15"/>
        <v>45823</v>
      </c>
      <c r="D67" s="54">
        <f t="shared" si="14"/>
        <v>439</v>
      </c>
      <c r="E67" s="36"/>
      <c r="F67" s="55">
        <f t="shared" si="18"/>
        <v>240</v>
      </c>
      <c r="G67" s="55">
        <f t="shared" si="16"/>
        <v>240</v>
      </c>
      <c r="H67" s="47">
        <f t="shared" si="19"/>
        <v>226.51177947704844</v>
      </c>
      <c r="I67" s="89">
        <f t="shared" ref="I67:I71" si="22">+$I$65</f>
        <v>2.895599769029342E-2</v>
      </c>
      <c r="J67" s="58">
        <f t="shared" si="20"/>
        <v>223.86016353013477</v>
      </c>
      <c r="K67" s="59">
        <f t="shared" si="17"/>
        <v>2.6516159469136653</v>
      </c>
      <c r="L67" s="57"/>
      <c r="M67" s="59">
        <f t="shared" si="21"/>
        <v>-2.6516159469136653</v>
      </c>
      <c r="N67" s="14"/>
      <c r="O67" s="14"/>
    </row>
    <row r="68" spans="2:15" ht="13.5" x14ac:dyDescent="0.25">
      <c r="B68" s="33" t="s">
        <v>40</v>
      </c>
      <c r="C68" s="42">
        <f t="shared" si="15"/>
        <v>46006</v>
      </c>
      <c r="D68" s="54">
        <f t="shared" si="14"/>
        <v>622</v>
      </c>
      <c r="E68" s="36"/>
      <c r="F68" s="55">
        <f t="shared" si="18"/>
        <v>240</v>
      </c>
      <c r="G68" s="55">
        <f t="shared" si="16"/>
        <v>240</v>
      </c>
      <c r="H68" s="47">
        <f t="shared" si="19"/>
        <v>221.11549084570515</v>
      </c>
      <c r="I68" s="89">
        <f t="shared" si="22"/>
        <v>2.895599769029342E-2</v>
      </c>
      <c r="J68" s="58">
        <f t="shared" si="20"/>
        <v>217.45700402326412</v>
      </c>
      <c r="K68" s="59">
        <f t="shared" si="17"/>
        <v>3.6584868224410343</v>
      </c>
      <c r="L68" s="57"/>
      <c r="M68" s="59">
        <f t="shared" si="21"/>
        <v>-3.6584868224410343</v>
      </c>
      <c r="N68" s="14"/>
      <c r="O68" s="14"/>
    </row>
    <row r="69" spans="2:15" ht="13.5" x14ac:dyDescent="0.25">
      <c r="B69" s="33" t="s">
        <v>40</v>
      </c>
      <c r="C69" s="42">
        <f t="shared" si="15"/>
        <v>46188</v>
      </c>
      <c r="D69" s="54">
        <f t="shared" si="14"/>
        <v>804</v>
      </c>
      <c r="E69" s="36"/>
      <c r="F69" s="55">
        <f t="shared" si="18"/>
        <v>240</v>
      </c>
      <c r="G69" s="55">
        <f t="shared" si="16"/>
        <v>240</v>
      </c>
      <c r="H69" s="47">
        <f t="shared" si="19"/>
        <v>215.87620199199384</v>
      </c>
      <c r="I69" s="89">
        <f t="shared" si="22"/>
        <v>2.895599769029342E-2</v>
      </c>
      <c r="J69" s="58">
        <f t="shared" si="20"/>
        <v>211.27049754727014</v>
      </c>
      <c r="K69" s="59">
        <f t="shared" si="17"/>
        <v>4.605704444723699</v>
      </c>
      <c r="L69" s="57"/>
      <c r="M69" s="59">
        <f t="shared" si="21"/>
        <v>-4.605704444723699</v>
      </c>
      <c r="N69" s="14"/>
      <c r="O69" s="14"/>
    </row>
    <row r="70" spans="2:15" ht="13.5" x14ac:dyDescent="0.25">
      <c r="B70" s="33" t="s">
        <v>40</v>
      </c>
      <c r="C70" s="42">
        <f>+EDATE(C71,-6)</f>
        <v>46371</v>
      </c>
      <c r="D70" s="54">
        <f t="shared" si="14"/>
        <v>987</v>
      </c>
      <c r="E70" s="55"/>
      <c r="F70" s="55">
        <f t="shared" si="18"/>
        <v>240</v>
      </c>
      <c r="G70" s="55">
        <f t="shared" si="16"/>
        <v>240</v>
      </c>
      <c r="H70" s="47">
        <f t="shared" si="19"/>
        <v>210.73328934843749</v>
      </c>
      <c r="I70" s="89">
        <f t="shared" si="22"/>
        <v>2.895599769029342E-2</v>
      </c>
      <c r="J70" s="58">
        <f t="shared" si="20"/>
        <v>205.22744516332517</v>
      </c>
      <c r="K70" s="59">
        <f t="shared" si="17"/>
        <v>5.5058441851123234</v>
      </c>
      <c r="L70" s="52"/>
      <c r="M70" s="59">
        <f t="shared" si="21"/>
        <v>-5.5058441851123234</v>
      </c>
      <c r="N70" s="14"/>
      <c r="O70" s="14"/>
    </row>
    <row r="71" spans="2:15" ht="13.5" x14ac:dyDescent="0.25">
      <c r="B71" s="33" t="s">
        <v>41</v>
      </c>
      <c r="C71" s="42">
        <f>+I21</f>
        <v>46553</v>
      </c>
      <c r="D71" s="54">
        <f>+C71-$C$64</f>
        <v>1169</v>
      </c>
      <c r="E71" s="55">
        <f>+I19</f>
        <v>10000</v>
      </c>
      <c r="F71" s="55">
        <f>+$I$19*$I$26</f>
        <v>240</v>
      </c>
      <c r="G71" s="55">
        <f t="shared" si="16"/>
        <v>10240</v>
      </c>
      <c r="H71" s="47">
        <f t="shared" si="19"/>
        <v>8778.2402028454671</v>
      </c>
      <c r="I71" s="89">
        <f t="shared" si="22"/>
        <v>2.895599769029342E-2</v>
      </c>
      <c r="J71" s="58">
        <f t="shared" si="20"/>
        <v>8507.2580892169408</v>
      </c>
      <c r="K71" s="59">
        <f t="shared" si="17"/>
        <v>270.98211362852635</v>
      </c>
      <c r="L71" s="52"/>
      <c r="M71" s="59">
        <f t="shared" si="21"/>
        <v>-270.98211362852635</v>
      </c>
      <c r="N71" s="14"/>
      <c r="O71" s="14"/>
    </row>
    <row r="72" spans="2:15" ht="13.5" x14ac:dyDescent="0.25">
      <c r="B72" s="111" t="s">
        <v>34</v>
      </c>
      <c r="C72" s="111"/>
      <c r="D72" s="111"/>
      <c r="E72" s="111"/>
      <c r="F72" s="111"/>
      <c r="G72" s="71"/>
      <c r="H72" s="76">
        <f>SUM(H65:H71)</f>
        <v>10122.157497182749</v>
      </c>
      <c r="I72" s="77"/>
      <c r="J72" s="76">
        <f>SUM(J65:J71)</f>
        <v>9832.688576185652</v>
      </c>
      <c r="K72" s="76">
        <f>SUM(K65:K71)</f>
        <v>289.46892099709726</v>
      </c>
      <c r="L72" s="76">
        <f>SUM(L65:L71)</f>
        <v>0</v>
      </c>
      <c r="M72" s="76">
        <f>SUM(M65:M71)</f>
        <v>-289.46892099709726</v>
      </c>
      <c r="N72" s="14"/>
      <c r="O72" s="14"/>
    </row>
    <row r="73" spans="2:15" ht="13.5" x14ac:dyDescent="0.25">
      <c r="B73" s="49"/>
      <c r="C73" s="16"/>
      <c r="D73" s="16"/>
      <c r="E73" s="16"/>
      <c r="F73" s="16"/>
      <c r="G73" s="112" t="s">
        <v>42</v>
      </c>
      <c r="H73" s="112"/>
      <c r="I73" s="50">
        <v>5.9999999999999995E-4</v>
      </c>
      <c r="J73" s="51">
        <f>+$I$19*I73</f>
        <v>5.9999999999999991</v>
      </c>
      <c r="K73" s="52"/>
      <c r="L73" s="52">
        <f>+J73</f>
        <v>5.9999999999999991</v>
      </c>
      <c r="M73" s="52">
        <f>-J73</f>
        <v>-5.9999999999999991</v>
      </c>
      <c r="N73" s="14"/>
      <c r="O73" s="14"/>
    </row>
    <row r="74" spans="2:15" ht="13.5" x14ac:dyDescent="0.25">
      <c r="B74" s="13"/>
      <c r="C74" s="16"/>
      <c r="D74" s="16"/>
      <c r="E74" s="16"/>
      <c r="F74" s="16"/>
      <c r="G74" s="112" t="s">
        <v>43</v>
      </c>
      <c r="H74" s="112"/>
      <c r="I74" s="50">
        <v>4.0000000000000002E-4</v>
      </c>
      <c r="J74" s="51">
        <f>+$I$19*I74</f>
        <v>4</v>
      </c>
      <c r="K74" s="52">
        <f>-J74</f>
        <v>-4</v>
      </c>
      <c r="L74" s="52">
        <f>+J74</f>
        <v>4</v>
      </c>
      <c r="M74" s="52"/>
      <c r="N74" s="14"/>
      <c r="O74" s="14"/>
    </row>
    <row r="75" spans="2:15" ht="13.5" x14ac:dyDescent="0.25">
      <c r="B75" s="13"/>
      <c r="C75" s="16"/>
      <c r="D75" s="16"/>
      <c r="E75" s="16"/>
      <c r="F75" s="16"/>
      <c r="G75" s="116" t="s">
        <v>44</v>
      </c>
      <c r="H75" s="116"/>
      <c r="I75" s="116"/>
      <c r="J75" s="116"/>
      <c r="K75" s="53">
        <f>+SUM(K72:K74)</f>
        <v>285.46892099709726</v>
      </c>
      <c r="L75" s="53">
        <f t="shared" ref="L75:M75" si="23">+SUM(L72:L74)</f>
        <v>10</v>
      </c>
      <c r="M75" s="53">
        <f t="shared" si="23"/>
        <v>-295.46892099709726</v>
      </c>
      <c r="N75" s="14"/>
      <c r="O75" s="14"/>
    </row>
    <row r="76" spans="2:15" ht="13.5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ht="13.5" x14ac:dyDescent="0.25">
      <c r="B77" s="14"/>
      <c r="C77" s="14"/>
      <c r="D77" s="14"/>
      <c r="E77" s="14"/>
      <c r="F77" s="14"/>
      <c r="G77" s="104" t="s">
        <v>34</v>
      </c>
      <c r="H77" s="104"/>
      <c r="I77" s="104"/>
      <c r="J77" s="104"/>
      <c r="K77" s="78">
        <f>+K58+K75</f>
        <v>49.999927832765877</v>
      </c>
      <c r="L77" s="78">
        <f>+L58+L75</f>
        <v>20</v>
      </c>
      <c r="M77" s="78">
        <f>+M58+M75</f>
        <v>-69.999927832765877</v>
      </c>
      <c r="N77" s="14"/>
      <c r="O77" s="14"/>
    </row>
    <row r="78" spans="2:15" ht="13.5" x14ac:dyDescent="0.2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ht="13.5" x14ac:dyDescent="0.25">
      <c r="B79" s="115" t="s">
        <v>6</v>
      </c>
      <c r="C79" s="115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ht="13.5" x14ac:dyDescent="0.25">
      <c r="B80" s="30" t="s">
        <v>45</v>
      </c>
      <c r="C80" s="60">
        <f>+J55</f>
        <v>9815.4531335795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6" ht="27" x14ac:dyDescent="0.25">
      <c r="B81" s="30" t="s">
        <v>65</v>
      </c>
      <c r="C81" s="60">
        <v>0</v>
      </c>
      <c r="D81" s="14"/>
      <c r="E81" s="14"/>
      <c r="F81" s="81" t="s">
        <v>55</v>
      </c>
      <c r="G81" s="81" t="s">
        <v>58</v>
      </c>
      <c r="H81" s="82" t="s">
        <v>75</v>
      </c>
      <c r="I81" s="83" t="s">
        <v>59</v>
      </c>
      <c r="J81" s="84" t="s">
        <v>60</v>
      </c>
      <c r="K81" s="82" t="s">
        <v>61</v>
      </c>
      <c r="L81" s="84" t="s">
        <v>76</v>
      </c>
      <c r="M81" s="84" t="s">
        <v>62</v>
      </c>
      <c r="N81" s="84" t="s">
        <v>53</v>
      </c>
      <c r="O81" s="84" t="s">
        <v>63</v>
      </c>
      <c r="P81" s="85" t="s">
        <v>54</v>
      </c>
    </row>
    <row r="82" spans="2:16" ht="13.5" x14ac:dyDescent="0.25">
      <c r="B82" s="30" t="s">
        <v>66</v>
      </c>
      <c r="C82" s="60">
        <f>+K56</f>
        <v>-5.9999999999999991</v>
      </c>
      <c r="D82" s="14"/>
      <c r="E82" s="14"/>
      <c r="F82" s="86" t="s">
        <v>56</v>
      </c>
      <c r="G82" s="31">
        <f>+C63</f>
        <v>45275</v>
      </c>
      <c r="H82" s="30"/>
      <c r="I82" s="30"/>
      <c r="J82" s="30"/>
      <c r="K82" s="30"/>
      <c r="L82" s="30"/>
      <c r="M82" s="30"/>
      <c r="N82" s="30"/>
      <c r="O82" s="30"/>
      <c r="P82" s="10"/>
    </row>
    <row r="83" spans="2:16" ht="13.5" x14ac:dyDescent="0.25">
      <c r="B83" s="79" t="s">
        <v>67</v>
      </c>
      <c r="C83" s="79">
        <f>SUM(C80:C82)</f>
        <v>9809.4531335795</v>
      </c>
      <c r="D83" s="14"/>
      <c r="E83" s="14"/>
      <c r="F83" s="30" t="s">
        <v>57</v>
      </c>
      <c r="G83" s="31">
        <f>+C64</f>
        <v>45384</v>
      </c>
      <c r="H83" s="32">
        <f>+G83-G82</f>
        <v>109</v>
      </c>
      <c r="I83" s="61">
        <f>+H83/180</f>
        <v>0.60555555555555551</v>
      </c>
      <c r="J83" s="30">
        <f>+I19*I26</f>
        <v>240</v>
      </c>
      <c r="K83" s="30">
        <f>+J83*I83</f>
        <v>145.33333333333331</v>
      </c>
      <c r="L83" s="62">
        <v>0.1</v>
      </c>
      <c r="M83" s="30">
        <f>+K83*L83</f>
        <v>14.533333333333331</v>
      </c>
      <c r="N83" s="30">
        <f>-M83</f>
        <v>-14.533333333333331</v>
      </c>
      <c r="O83" s="30"/>
      <c r="P83" s="10">
        <f>+M83</f>
        <v>14.533333333333331</v>
      </c>
    </row>
    <row r="84" spans="2:16" ht="13.5" x14ac:dyDescent="0.2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6" ht="13.5" x14ac:dyDescent="0.25">
      <c r="B85" s="30" t="s">
        <v>68</v>
      </c>
      <c r="C85" s="60">
        <f>+J72</f>
        <v>9832.688576185652</v>
      </c>
      <c r="D85" s="14"/>
      <c r="E85" s="14"/>
      <c r="F85" s="14"/>
      <c r="G85" s="14"/>
      <c r="H85" s="14"/>
      <c r="I85" s="14"/>
      <c r="J85" s="14"/>
      <c r="K85" s="14"/>
      <c r="L85" s="115" t="s">
        <v>64</v>
      </c>
      <c r="M85" s="115"/>
      <c r="N85" s="87">
        <f>+N83+K77</f>
        <v>35.466594499432546</v>
      </c>
      <c r="O85" s="87">
        <f>+O83+L77</f>
        <v>20</v>
      </c>
      <c r="P85" s="88">
        <f>+P83+M77</f>
        <v>-55.466594499432546</v>
      </c>
    </row>
    <row r="86" spans="2:16" ht="13.5" x14ac:dyDescent="0.25">
      <c r="B86" s="30" t="s">
        <v>69</v>
      </c>
      <c r="C86" s="60">
        <f>+M83</f>
        <v>14.533333333333331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6" ht="13.5" x14ac:dyDescent="0.25">
      <c r="B87" s="30" t="s">
        <v>46</v>
      </c>
      <c r="C87" s="60">
        <f>+J74</f>
        <v>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6" ht="13.5" x14ac:dyDescent="0.25">
      <c r="B88" s="80" t="s">
        <v>70</v>
      </c>
      <c r="C88" s="80">
        <f>+SUM(C85:C87)</f>
        <v>9851.2219095189848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6" ht="13.5" x14ac:dyDescent="0.2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6" ht="13.5" x14ac:dyDescent="0.25">
      <c r="B90" s="80" t="s">
        <v>71</v>
      </c>
      <c r="C90" s="80">
        <f>+C83-C88</f>
        <v>-41.76877593948484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6" ht="13.5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6" ht="13.5" x14ac:dyDescent="0.2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6" ht="13.5" x14ac:dyDescent="0.25">
      <c r="B93" s="113" t="s">
        <v>74</v>
      </c>
      <c r="C93" s="1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6" ht="13.5" x14ac:dyDescent="0.25">
      <c r="B94" s="30" t="s">
        <v>45</v>
      </c>
      <c r="C94" s="60">
        <f>+J72</f>
        <v>9832.688576185652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6" ht="13.5" x14ac:dyDescent="0.25">
      <c r="B95" s="30" t="s">
        <v>65</v>
      </c>
      <c r="C95" s="60">
        <f>+M83</f>
        <v>14.533333333333331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6" ht="13.5" x14ac:dyDescent="0.25">
      <c r="B96" s="30" t="s">
        <v>66</v>
      </c>
      <c r="C96" s="60">
        <f>+M73</f>
        <v>-5.9999999999999991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ht="13.5" x14ac:dyDescent="0.25">
      <c r="B97" s="80" t="s">
        <v>67</v>
      </c>
      <c r="C97" s="80">
        <f>SUM(C94:C96)</f>
        <v>9841.2219095189848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ht="13.5" x14ac:dyDescent="0.2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ht="13.5" x14ac:dyDescent="0.25">
      <c r="B99" s="30" t="s">
        <v>68</v>
      </c>
      <c r="C99" s="60">
        <f>+J55</f>
        <v>9815.4531335795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ht="13.5" x14ac:dyDescent="0.25">
      <c r="B100" s="30" t="s">
        <v>69</v>
      </c>
      <c r="C100" s="60">
        <f>+M97</f>
        <v>0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ht="13.5" x14ac:dyDescent="0.25">
      <c r="B101" s="30" t="s">
        <v>46</v>
      </c>
      <c r="C101" s="60">
        <f>+L57</f>
        <v>4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ht="13.5" x14ac:dyDescent="0.25">
      <c r="B102" s="80" t="s">
        <v>70</v>
      </c>
      <c r="C102" s="80">
        <f>+SUM(C99:C101)</f>
        <v>9819.4531335795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ht="13.5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ht="13.5" x14ac:dyDescent="0.25">
      <c r="B104" s="80" t="s">
        <v>71</v>
      </c>
      <c r="C104" s="80">
        <f>+C97-C102</f>
        <v>21.76877593948484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</sheetData>
  <mergeCells count="38">
    <mergeCell ref="B93:C93"/>
    <mergeCell ref="G77:J77"/>
    <mergeCell ref="B79:C79"/>
    <mergeCell ref="L85:M85"/>
    <mergeCell ref="K61:M61"/>
    <mergeCell ref="B72:F72"/>
    <mergeCell ref="G73:H73"/>
    <mergeCell ref="G74:H74"/>
    <mergeCell ref="G75:J75"/>
    <mergeCell ref="I43:J43"/>
    <mergeCell ref="K43:M43"/>
    <mergeCell ref="B55:F55"/>
    <mergeCell ref="G56:H56"/>
    <mergeCell ref="G57:H57"/>
    <mergeCell ref="C43:C44"/>
    <mergeCell ref="D43:D44"/>
    <mergeCell ref="E43:G43"/>
    <mergeCell ref="G58:J58"/>
    <mergeCell ref="C61:C62"/>
    <mergeCell ref="D61:D62"/>
    <mergeCell ref="E61:G61"/>
    <mergeCell ref="I61:J61"/>
    <mergeCell ref="C3:D3"/>
    <mergeCell ref="B18:C18"/>
    <mergeCell ref="H18:I18"/>
    <mergeCell ref="B6:J6"/>
    <mergeCell ref="B7:N7"/>
    <mergeCell ref="B9:G9"/>
    <mergeCell ref="I9:L9"/>
    <mergeCell ref="B10:F10"/>
    <mergeCell ref="I10:L12"/>
    <mergeCell ref="B11:F11"/>
    <mergeCell ref="B12:F12"/>
    <mergeCell ref="B13:F13"/>
    <mergeCell ref="B14:F14"/>
    <mergeCell ref="B15:F15"/>
    <mergeCell ref="B17:C17"/>
    <mergeCell ref="H17:I17"/>
  </mergeCells>
  <pageMargins left="0.52" right="0.24" top="1" bottom="1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optimizacion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Muñoz Ramírez</dc:creator>
  <cp:lastModifiedBy>Eduardo Gonzalez</cp:lastModifiedBy>
  <dcterms:created xsi:type="dcterms:W3CDTF">2024-04-05T22:53:18Z</dcterms:created>
  <dcterms:modified xsi:type="dcterms:W3CDTF">2024-04-16T04:46:12Z</dcterms:modified>
</cp:coreProperties>
</file>