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visible"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<sst xmlns="http://schemas.openxmlformats.org/spreadsheetml/2006/main" count="797" uniqueCount="100">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</sst>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8">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ED1C24"/>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
      <patternFill patternType="solid">
        <fgColor rgb="FFED1C24"/>
        <bgColor rgb="FFFF0000"/>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4" fillId="17" borderId="15" xfId="0" applyFont="true" applyBorder="true" applyAlignment="true" applyProtection="false">
      <alignment horizontal="center" vertical="top" textRotation="0" wrapText="false" indent="0" shrinkToFit="false"/>
      <protection locked="true" hidden="false"/>
    </xf>
    <xf numFmtId="168" fontId="4" fillId="17" borderId="6" xfId="0" applyFont="true" applyBorder="true" applyAlignment="true" applyProtection="false">
      <alignment horizontal="center" vertical="top" textRotation="0" wrapText="false" indent="0" shrinkToFit="false"/>
      <protection locked="true" hidden="false"/>
    </xf>
    <xf numFmtId="164" fontId="4" fillId="17" borderId="6" xfId="0" applyFont="true" applyBorder="true" applyAlignment="true" applyProtection="false">
      <alignment horizontal="general" vertical="top" textRotation="0" wrapText="false" indent="0" shrinkToFit="false"/>
      <protection locked="true" hidden="false"/>
    </xf>
    <xf numFmtId="164" fontId="4" fillId="17" borderId="12" xfId="0" applyFont="true" applyBorder="true" applyAlignment="true" applyProtection="false">
      <alignment horizontal="center" vertical="top" textRotation="0" wrapText="false" indent="0" shrinkToFit="false"/>
      <protection locked="true" hidden="false"/>
    </xf>
    <xf numFmtId="164" fontId="4" fillId="17" borderId="15" xfId="0" applyFont="true" applyBorder="true" applyAlignment="true" applyProtection="false">
      <alignment horizontal="general" vertical="top" textRotation="0" wrapText="false" indent="0" shrinkToFit="false"/>
      <protection locked="true" hidden="false"/>
    </xf>
    <xf numFmtId="164" fontId="4" fillId="17" borderId="6" xfId="0" applyFont="true" applyBorder="true" applyAlignment="true" applyProtection="false">
      <alignment horizontal="center" vertical="top" textRotation="0" wrapText="false" indent="0" shrinkToFit="false"/>
      <protection locked="true" hidden="false"/>
    </xf>
    <xf numFmtId="164" fontId="4" fillId="17" borderId="13" xfId="0" applyFont="true" applyBorder="true" applyAlignment="true" applyProtection="false">
      <alignment horizontal="center" vertical="top" textRotation="0" wrapText="false" indent="0" shrinkToFit="false"/>
      <protection locked="true" hidden="false"/>
    </xf>
    <xf numFmtId="164" fontId="4" fillId="17" borderId="7" xfId="0" applyFont="true" applyBorder="true" applyAlignment="true" applyProtection="false">
      <alignment horizontal="center" vertical="top" textRotation="0" wrapText="false" indent="0" shrinkToFit="false"/>
      <protection locked="true" hidden="false"/>
    </xf>
    <xf numFmtId="164" fontId="4" fillId="17" borderId="7" xfId="0" applyFont="true" applyBorder="true" applyAlignment="true" applyProtection="false">
      <alignment horizontal="general" vertical="top" textRotation="0" wrapText="false" indent="0" shrinkToFit="false"/>
      <protection locked="true" hidden="false"/>
    </xf>
    <xf numFmtId="164" fontId="4" fillId="17"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ED1C24"/>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Pitch</c:v>
                </c:pt>
                <c:pt idx="1">
                  <c:v>Elias</c:v>
                </c:pt>
                <c:pt idx="2">
                  <c:v>Robertinho</c:v>
                </c:pt>
                <c:pt idx="3">
                  <c:v>Magritto</c:v>
                </c:pt>
                <c:pt idx="4">
                  <c:v>Luiz Henrique</c:v>
                </c:pt>
                <c:pt idx="5">
                  <c:v>Duclerc</c:v>
                </c:pt>
                <c:pt idx="6">
                  <c:v>Persio</c:v>
                </c:pt>
                <c:pt idx="7">
                  <c:v>Caio</c:v>
                </c:pt>
                <c:pt idx="8">
                  <c:v>Costinha</c:v>
                </c:pt>
                <c:pt idx="9">
                  <c:v>Oswald</c:v>
                </c:pt>
                <c:pt idx="10">
                  <c:v>Flavio</c:v>
                </c:pt>
                <c:pt idx="11">
                  <c:v>Juan</c:v>
                </c:pt>
                <c:pt idx="12">
                  <c:v>Xuru</c:v>
                </c:pt>
                <c:pt idx="13">
                  <c:v>Pinga</c:v>
                </c:pt>
                <c:pt idx="14">
                  <c:v>Paulo</c:v>
                </c:pt>
                <c:pt idx="15">
                  <c:v>Carlos Coimbra</c:v>
                </c:pt>
                <c:pt idx="16">
                  <c:v>Luis Carlos</c:v>
                </c:pt>
                <c:pt idx="17">
                  <c:v>Ivan</c:v>
                </c:pt>
                <c:pt idx="18">
                  <c:v>Rubens</c:v>
                </c:pt>
                <c:pt idx="19">
                  <c:v>Felipe</c:v>
                </c:pt>
                <c:pt idx="20">
                  <c:v>Salgado</c:v>
                </c:pt>
                <c:pt idx="21">
                  <c:v>Pedrão</c:v>
                </c:pt>
                <c:pt idx="22">
                  <c:v>Sérgio Nacif</c:v>
                </c:pt>
                <c:pt idx="23">
                  <c:v>Guto</c:v>
                </c:pt>
                <c:pt idx="24">
                  <c:v>Bruno</c:v>
                </c:pt>
                <c:pt idx="25">
                  <c:v>Fabinho</c:v>
                </c:pt>
                <c:pt idx="26">
                  <c:v>Palazzo</c:v>
                </c:pt>
                <c:pt idx="27">
                  <c:v>Andre Bruni</c:v>
                </c:pt>
                <c:pt idx="28">
                  <c:v>Danilo</c:v>
                </c:pt>
                <c:pt idx="29">
                  <c:v>Yokota</c:v>
                </c:pt>
                <c:pt idx="30">
                  <c:v>Fernando Bio</c:v>
                </c:pt>
                <c:pt idx="31">
                  <c:v>Fontalvo</c:v>
                </c:pt>
                <c:pt idx="32">
                  <c:v>Walderi</c:v>
                </c:pt>
                <c:pt idx="33">
                  <c:v>Grilovic</c:v>
                </c:pt>
                <c:pt idx="34">
                  <c:v>Arthur Fontalvinho</c:v>
                </c:pt>
                <c:pt idx="35">
                  <c:v>Bérgamo</c:v>
                </c:pt>
                <c:pt idx="36">
                  <c:v>Bernardo</c:v>
                </c:pt>
                <c:pt idx="37">
                  <c:v>Daniel Borges</c:v>
                </c:pt>
                <c:pt idx="38">
                  <c:v>Fiorito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789.000942656593</c:v>
                </c:pt>
                <c:pt idx="1">
                  <c:v>784.000666754667</c:v>
                </c:pt>
                <c:pt idx="2">
                  <c:v>577.000773137923</c:v>
                </c:pt>
                <c:pt idx="3">
                  <c:v>439.000903199</c:v>
                </c:pt>
                <c:pt idx="4">
                  <c:v>428.00080945</c:v>
                </c:pt>
                <c:pt idx="5">
                  <c:v>393.000705352158</c:v>
                </c:pt>
                <c:pt idx="6">
                  <c:v>389.000903191</c:v>
                </c:pt>
                <c:pt idx="7">
                  <c:v>381.000834710385</c:v>
                </c:pt>
                <c:pt idx="8">
                  <c:v>379.000691269471</c:v>
                </c:pt>
                <c:pt idx="9">
                  <c:v>374.000750071</c:v>
                </c:pt>
                <c:pt idx="10">
                  <c:v>338.000535083</c:v>
                </c:pt>
                <c:pt idx="11">
                  <c:v>333.000305846231</c:v>
                </c:pt>
                <c:pt idx="12">
                  <c:v>267.000265961091</c:v>
                </c:pt>
                <c:pt idx="13">
                  <c:v>266.000461176111</c:v>
                </c:pt>
                <c:pt idx="14">
                  <c:v>263.000631887182</c:v>
                </c:pt>
                <c:pt idx="15">
                  <c:v>248.000820094</c:v>
                </c:pt>
                <c:pt idx="16">
                  <c:v>244.000423605412</c:v>
                </c:pt>
                <c:pt idx="17">
                  <c:v>195.000625078</c:v>
                </c:pt>
                <c:pt idx="18">
                  <c:v>194.000746210846</c:v>
                </c:pt>
                <c:pt idx="19">
                  <c:v>177.000800086</c:v>
                </c:pt>
                <c:pt idx="20">
                  <c:v>169.000750059</c:v>
                </c:pt>
                <c:pt idx="21">
                  <c:v>154.000855623556</c:v>
                </c:pt>
                <c:pt idx="22">
                  <c:v>152.000620058</c:v>
                </c:pt>
                <c:pt idx="23">
                  <c:v>108.000577830778</c:v>
                </c:pt>
                <c:pt idx="24">
                  <c:v>103.000557238857</c:v>
                </c:pt>
                <c:pt idx="25">
                  <c:v>96.000720087</c:v>
                </c:pt>
                <c:pt idx="26">
                  <c:v>90.00112507</c:v>
                </c:pt>
                <c:pt idx="27">
                  <c:v>79.0005643407143</c:v>
                </c:pt>
                <c:pt idx="28">
                  <c:v>24.000600091</c:v>
                </c:pt>
                <c:pt idx="29">
                  <c:v>24.000200051</c:v>
                </c:pt>
                <c:pt idx="30">
                  <c:v>20.0003334183333</c:v>
                </c:pt>
                <c:pt idx="31">
                  <c:v>7.000350082</c:v>
                </c:pt>
                <c:pt idx="32">
                  <c:v>4.00020009</c:v>
                </c:pt>
                <c:pt idx="33">
                  <c:v>4.000200081</c:v>
                </c:pt>
                <c:pt idx="34">
                  <c:v>9.9E-008</c:v>
                </c:pt>
                <c:pt idx="35">
                  <c:v>9.8E-008</c:v>
                </c:pt>
                <c:pt idx="36">
                  <c:v>9.7E-008</c:v>
                </c:pt>
                <c:pt idx="37">
                  <c:v>9.2E-008</c:v>
                </c:pt>
                <c:pt idx="38">
                  <c:v>8.4E-008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20947667"/>
        <c:axId val="3335105"/>
      </c:barChart>
      <c:catAx>
        <c:axId val="20947667"/>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335105"/>
        <c:crosses val="autoZero"/>
        <c:auto val="1"/>
        <c:lblAlgn val="ctr"/>
        <c:lblOffset val="100"/>
      </c:catAx>
      <c:valAx>
        <c:axId val="333510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20947667"/>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275400</xdr:colOff>
      <xdr:row>42</xdr:row>
      <xdr:rowOff>142920</xdr:rowOff>
    </xdr:to>
    <xdr:graphicFrame>
      <xdr:nvGraphicFramePr>
        <xdr:cNvPr id="0" name="Chart 1"/>
        <xdr:cNvGraphicFramePr/>
      </xdr:nvGraphicFramePr>
      <xdr:xfrm>
        <a:off x="0" y="0"/>
        <a:ext cx="10115280" cy="6970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O1" activeCellId="0" sqref="AO1"/>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Pitch</v>
      </c>
      <c r="C3" s="20" t="n">
        <f aca="false">VLOOKUP($A3,$N:$Z,Q$1,0)</f>
        <v>27</v>
      </c>
      <c r="D3" s="22" t="str">
        <f aca="false">VLOOKUP($A3,$N:$Z,R$1,0)&amp;"-"&amp;VLOOKUP($A3,$N:$Z,S$1,0)</f>
        <v>23-4</v>
      </c>
      <c r="E3" s="20" t="n">
        <f aca="false">VLOOKUP($A3,$N:$Z,X$1,0)</f>
        <v>509</v>
      </c>
      <c r="F3" s="20" t="n">
        <f aca="false">VLOOKUP($A3,$N:$Z,V$1,0)</f>
        <v>0</v>
      </c>
      <c r="G3" s="20" t="n">
        <f aca="false">VLOOKUP($A3,$N:$Z,W$1,0)</f>
        <v>80</v>
      </c>
      <c r="H3" s="20" t="n">
        <f aca="false">VLOOKUP($A3,$N:$Z,Y$1,0)</f>
        <v>200</v>
      </c>
      <c r="I3" s="23" t="n">
        <f aca="false">VLOOKUP($A3,$N:$Z,13,0)</f>
        <v>789.000942656593</v>
      </c>
      <c r="J3" s="24" t="s">
        <v>75</v>
      </c>
      <c r="K3" s="25" t="n">
        <f aca="false">VLOOKUP($A3,$N:$Z,R$1,0)</f>
        <v>23</v>
      </c>
      <c r="L3" s="25" t="n">
        <f aca="false">VLOOKUP($A3,$N:$Z,S$1,0)</f>
        <v>4</v>
      </c>
      <c r="M3" s="25"/>
      <c r="N3" s="26" t="n">
        <f aca="false">RANK(Z3,Z:Z)</f>
        <v>35</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1589</v>
      </c>
      <c r="AE3" s="2" t="n">
        <f aca="false">AC3-AB3</f>
        <v>150</v>
      </c>
      <c r="AF3" s="2" t="n">
        <f aca="false">AD3/AE3</f>
        <v>10.5933333333333</v>
      </c>
      <c r="AG3" s="30" t="n">
        <f aca="false">E3/$AF$3</f>
        <v>48.0490874764003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Elias</v>
      </c>
      <c r="C4" s="31" t="n">
        <f aca="false">VLOOKUP($A4,$N:$Z,Q$1,0)</f>
        <v>39</v>
      </c>
      <c r="D4" s="33" t="str">
        <f aca="false">VLOOKUP($A4,$N:$Z,R$1,0)&amp;"-"&amp;VLOOKUP($A4,$N:$Z,S$1,0)</f>
        <v>22-17</v>
      </c>
      <c r="E4" s="31" t="n">
        <f aca="false">VLOOKUP($A4,$N:$Z,X$1,0)</f>
        <v>520</v>
      </c>
      <c r="F4" s="31" t="n">
        <f aca="false">VLOOKUP($A4,$N:$Z,V$1,0)</f>
        <v>0</v>
      </c>
      <c r="G4" s="31" t="n">
        <f aca="false">VLOOKUP($A4,$N:$Z,W$1,0)</f>
        <v>64</v>
      </c>
      <c r="H4" s="31" t="n">
        <f aca="false">VLOOKUP($A4,$N:$Z,Y$1,0)</f>
        <v>200</v>
      </c>
      <c r="I4" s="34" t="n">
        <f aca="false">VLOOKUP($A4,$N:$Z,13,0)</f>
        <v>784.000666754667</v>
      </c>
      <c r="J4" s="24"/>
      <c r="K4" s="35" t="n">
        <f aca="false">VLOOKUP($A4,$N:$Z,R$1,0)</f>
        <v>22</v>
      </c>
      <c r="L4" s="35" t="n">
        <f aca="false">VLOOKUP($A4,$N:$Z,S$1,0)</f>
        <v>17</v>
      </c>
      <c r="M4" s="35"/>
      <c r="N4" s="36" t="n">
        <f aca="false">RANK(Z4,Z:Z)</f>
        <v>36</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49.0874764002517</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26</v>
      </c>
      <c r="D5" s="33" t="str">
        <f aca="false">VLOOKUP($A5,$N:$Z,R$1,0)&amp;"-"&amp;VLOOKUP($A5,$N:$Z,S$1,0)</f>
        <v>17-9</v>
      </c>
      <c r="E5" s="31" t="n">
        <f aca="false">VLOOKUP($A5,$N:$Z,X$1,0)</f>
        <v>427</v>
      </c>
      <c r="F5" s="31" t="n">
        <f aca="false">VLOOKUP($A5,$N:$Z,V$1,0)</f>
        <v>25</v>
      </c>
      <c r="G5" s="31" t="n">
        <f aca="false">VLOOKUP($A5,$N:$Z,W$1,0)</f>
        <v>0</v>
      </c>
      <c r="H5" s="31" t="n">
        <f aca="false">VLOOKUP($A5,$N:$Z,Y$1,0)</f>
        <v>150</v>
      </c>
      <c r="I5" s="34" t="n">
        <f aca="false">VLOOKUP($A5,$N:$Z,13,0)</f>
        <v>577.000773137923</v>
      </c>
      <c r="J5" s="24"/>
      <c r="K5" s="35" t="n">
        <f aca="false">VLOOKUP($A5,$N:$Z,R$1,0)</f>
        <v>17</v>
      </c>
      <c r="L5" s="35" t="n">
        <f aca="false">VLOOKUP($A5,$N:$Z,S$1,0)</f>
        <v>9</v>
      </c>
      <c r="M5" s="35"/>
      <c r="N5" s="36" t="n">
        <f aca="false">RANK(Z5,Z:Z)</f>
        <v>37</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40.3083700440529</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Magritto</v>
      </c>
      <c r="C6" s="31" t="n">
        <f aca="false">VLOOKUP($A6,$N:$Z,Q$1,0)</f>
        <v>16</v>
      </c>
      <c r="D6" s="33" t="str">
        <f aca="false">VLOOKUP($A6,$N:$Z,R$1,0)&amp;"-"&amp;VLOOKUP($A6,$N:$Z,S$1,0)</f>
        <v>14-2</v>
      </c>
      <c r="E6" s="31" t="n">
        <f aca="false">VLOOKUP($A6,$N:$Z,X$1,0)</f>
        <v>289</v>
      </c>
      <c r="F6" s="31" t="n">
        <f aca="false">VLOOKUP($A6,$N:$Z,V$1,0)</f>
        <v>0</v>
      </c>
      <c r="G6" s="31" t="n">
        <f aca="false">VLOOKUP($A6,$N:$Z,W$1,0)</f>
        <v>0</v>
      </c>
      <c r="H6" s="31" t="n">
        <f aca="false">VLOOKUP($A6,$N:$Z,Y$1,0)</f>
        <v>150</v>
      </c>
      <c r="I6" s="34" t="n">
        <f aca="false">VLOOKUP($A6,$N:$Z,13,0)</f>
        <v>439.000903199</v>
      </c>
      <c r="J6" s="24"/>
      <c r="K6" s="35" t="n">
        <f aca="false">VLOOKUP($A6,$N:$Z,R$1,0)</f>
        <v>14</v>
      </c>
      <c r="L6" s="35" t="n">
        <f aca="false">VLOOKUP($A6,$N:$Z,S$1,0)</f>
        <v>2</v>
      </c>
      <c r="M6" s="35"/>
      <c r="N6" s="36" t="n">
        <f aca="false">RANK(Z6,Z:Z)</f>
        <v>25</v>
      </c>
      <c r="O6" s="35" t="n">
        <v>4</v>
      </c>
      <c r="P6" s="36" t="s">
        <v>5</v>
      </c>
      <c r="Q6" s="36" t="n">
        <f aca="false">COUNTIF(CORRIDA!G:G,CLASSIF!P6)+COUNTIF(CORRIDA!I:I,CLASSIF!P6)</f>
        <v>7</v>
      </c>
      <c r="R6" s="36" t="n">
        <f aca="false">COUNTIF(CORRIDA!G:G,CLASSIF!$P6)</f>
        <v>2</v>
      </c>
      <c r="S6" s="36" t="n">
        <f aca="false">COUNTIF(CORRIDA!I:I,CLASSIF!P6)</f>
        <v>5</v>
      </c>
      <c r="T6" s="37" t="n">
        <f aca="false">IF(Q6=0,0,U6/(Q6*20))</f>
        <v>0.557142857142857</v>
      </c>
      <c r="U6" s="36" t="n">
        <f aca="false">SUMIF(CORRIDA!G:G,CLASSIF!P6,CORRIDA!H:H)+SUMIF(CORRIDA!I:I,CLASSIF!P6,CORRIDA!J:J)</f>
        <v>78</v>
      </c>
      <c r="V6" s="36" t="n">
        <f aca="false">SUMIF(WOs!G:G,CLASSIF!P6,WOs!H:H)+SUMIF(WOs!I:I,CLASSIF!P6,WOs!J:J)</f>
        <v>25</v>
      </c>
      <c r="W6" s="36" t="n">
        <f aca="false">SUMIF(TORNEIO!G:G,CLASSIF!P6,TORNEIO!H:H)+SUMIF(TORNEIO!I:I,CLASSIF!P6,TORNEIO!J:J)+SUMIF(TORNEIO!S:S,CLASSIF!P6,TORNEIO!T:T)</f>
        <v>0</v>
      </c>
      <c r="X6" s="36" t="n">
        <f aca="false">SUM(U6:V6)</f>
        <v>103</v>
      </c>
      <c r="Y6" s="36" t="n">
        <f aca="false">VLOOKUP(P6,STATS!$B$2:$DF$52,109,0)</f>
        <v>0</v>
      </c>
      <c r="Z6" s="38" t="n">
        <f aca="false">SUM(W6:Y6)+T6/1000+(100-O6)/1000000000</f>
        <v>103.000557238857</v>
      </c>
      <c r="AA6" s="36"/>
      <c r="AG6" s="30" t="n">
        <f aca="false">E6/$AF$3</f>
        <v>27.2813089993707</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Luiz Henrique</v>
      </c>
      <c r="C7" s="31" t="n">
        <f aca="false">VLOOKUP($A7,$N:$Z,Q$1,0)</f>
        <v>16</v>
      </c>
      <c r="D7" s="33" t="str">
        <f aca="false">VLOOKUP($A7,$N:$Z,R$1,0)&amp;"-"&amp;VLOOKUP($A7,$N:$Z,S$1,0)</f>
        <v>11-5</v>
      </c>
      <c r="E7" s="31" t="n">
        <f aca="false">VLOOKUP($A7,$N:$Z,X$1,0)</f>
        <v>284</v>
      </c>
      <c r="F7" s="31" t="n">
        <f aca="false">VLOOKUP($A7,$N:$Z,V$1,0)</f>
        <v>25</v>
      </c>
      <c r="G7" s="31" t="n">
        <f aca="false">VLOOKUP($A7,$N:$Z,W$1,0)</f>
        <v>44</v>
      </c>
      <c r="H7" s="31" t="n">
        <f aca="false">VLOOKUP($A7,$N:$Z,Y$1,0)</f>
        <v>100</v>
      </c>
      <c r="I7" s="34" t="n">
        <f aca="false">VLOOKUP($A7,$N:$Z,13,0)</f>
        <v>428.00080945</v>
      </c>
      <c r="J7" s="24"/>
      <c r="K7" s="35" t="n">
        <f aca="false">VLOOKUP($A7,$N:$Z,R$1,0)</f>
        <v>11</v>
      </c>
      <c r="L7" s="35" t="n">
        <f aca="false">VLOOKUP($A7,$N:$Z,S$1,0)</f>
        <v>5</v>
      </c>
      <c r="M7" s="35"/>
      <c r="N7" s="36" t="n">
        <f aca="false">RANK(Z7,Z:Z)</f>
        <v>8</v>
      </c>
      <c r="O7" s="35" t="n">
        <v>5</v>
      </c>
      <c r="P7" s="36" t="s">
        <v>6</v>
      </c>
      <c r="Q7" s="36" t="n">
        <f aca="false">COUNTIF(CORRIDA!G:G,CLASSIF!P7)+COUNTIF(CORRIDA!I:I,CLASSIF!P7)</f>
        <v>13</v>
      </c>
      <c r="R7" s="36" t="n">
        <f aca="false">COUNTIF(CORRIDA!G:G,CLASSIF!$P7)</f>
        <v>10</v>
      </c>
      <c r="S7" s="36" t="n">
        <f aca="false">COUNTIF(CORRIDA!I:I,CLASSIF!P7)</f>
        <v>3</v>
      </c>
      <c r="T7" s="37" t="n">
        <f aca="false">IF(Q7=0,0,U7/(Q7*20))</f>
        <v>0.834615384615385</v>
      </c>
      <c r="U7" s="36" t="n">
        <f aca="false">SUMIF(CORRIDA!G:G,CLASSIF!P7,CORRIDA!H:H)+SUMIF(CORRIDA!I:I,CLASSIF!P7,CORRIDA!J:J)</f>
        <v>217</v>
      </c>
      <c r="V7" s="36" t="n">
        <f aca="false">SUMIF(WOs!G:G,CLASSIF!P7,WOs!H:H)+SUMIF(WOs!I:I,CLASSIF!P7,WOs!J:J)</f>
        <v>0</v>
      </c>
      <c r="W7" s="36" t="n">
        <f aca="false">SUMIF(TORNEIO!G:G,CLASSIF!P7,TORNEIO!H:H)+SUMIF(TORNEIO!I:I,CLASSIF!P7,TORNEIO!J:J)+SUMIF(TORNEIO!S:S,CLASSIF!P7,TORNEIO!T:T)</f>
        <v>64</v>
      </c>
      <c r="X7" s="36" t="n">
        <f aca="false">SUM(U7:V7)</f>
        <v>217</v>
      </c>
      <c r="Y7" s="36" t="n">
        <f aca="false">VLOOKUP(P7,STATS!$B$2:$DF$52,109,0)</f>
        <v>100</v>
      </c>
      <c r="Z7" s="38" t="n">
        <f aca="false">SUM(W7:Y7)+T7/1000+(100-O7)/1000000000</f>
        <v>381.000834710385</v>
      </c>
      <c r="AA7" s="36"/>
      <c r="AG7" s="30" t="n">
        <f aca="false">E7/$AF$3</f>
        <v>26.8093140339836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Duclerc</v>
      </c>
      <c r="C8" s="31" t="n">
        <f aca="false">VLOOKUP($A8,$N:$Z,Q$1,0)</f>
        <v>19</v>
      </c>
      <c r="D8" s="33" t="str">
        <f aca="false">VLOOKUP($A8,$N:$Z,R$1,0)&amp;"-"&amp;VLOOKUP($A8,$N:$Z,S$1,0)</f>
        <v>10-9</v>
      </c>
      <c r="E8" s="31" t="n">
        <f aca="false">VLOOKUP($A8,$N:$Z,X$1,0)</f>
        <v>268</v>
      </c>
      <c r="F8" s="31" t="n">
        <f aca="false">VLOOKUP($A8,$N:$Z,V$1,0)</f>
        <v>0</v>
      </c>
      <c r="G8" s="31" t="n">
        <f aca="false">VLOOKUP($A8,$N:$Z,W$1,0)</f>
        <v>25</v>
      </c>
      <c r="H8" s="31" t="n">
        <f aca="false">VLOOKUP($A8,$N:$Z,Y$1,0)</f>
        <v>100</v>
      </c>
      <c r="I8" s="34" t="n">
        <f aca="false">VLOOKUP($A8,$N:$Z,13,0)</f>
        <v>393.000705352158</v>
      </c>
      <c r="J8" s="24"/>
      <c r="K8" s="35" t="n">
        <f aca="false">VLOOKUP($A8,$N:$Z,R$1,0)</f>
        <v>10</v>
      </c>
      <c r="L8" s="35" t="n">
        <f aca="false">VLOOKUP($A8,$N:$Z,S$1,0)</f>
        <v>9</v>
      </c>
      <c r="M8" s="35"/>
      <c r="N8" s="36" t="n">
        <f aca="false">RANK(Z8,Z:Z)</f>
        <v>16</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25.2989301447451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16</v>
      </c>
      <c r="D9" s="33" t="str">
        <f aca="false">VLOOKUP($A9,$N:$Z,R$1,0)&amp;"-"&amp;VLOOKUP($A9,$N:$Z,S$1,0)</f>
        <v>13-3</v>
      </c>
      <c r="E9" s="31" t="n">
        <f aca="false">VLOOKUP($A9,$N:$Z,X$1,0)</f>
        <v>289</v>
      </c>
      <c r="F9" s="31" t="n">
        <f aca="false">VLOOKUP($A9,$N:$Z,V$1,0)</f>
        <v>0</v>
      </c>
      <c r="G9" s="31" t="n">
        <f aca="false">VLOOKUP($A9,$N:$Z,W$1,0)</f>
        <v>0</v>
      </c>
      <c r="H9" s="31" t="n">
        <f aca="false">VLOOKUP($A9,$N:$Z,Y$1,0)</f>
        <v>100</v>
      </c>
      <c r="I9" s="34" t="n">
        <f aca="false">VLOOKUP($A9,$N:$Z,13,0)</f>
        <v>389.000903191</v>
      </c>
      <c r="J9" s="24"/>
      <c r="K9" s="35" t="n">
        <f aca="false">VLOOKUP($A9,$N:$Z,R$1,0)</f>
        <v>13</v>
      </c>
      <c r="L9" s="35" t="n">
        <f aca="false">VLOOKUP($A9,$N:$Z,S$1,0)</f>
        <v>3</v>
      </c>
      <c r="M9" s="35"/>
      <c r="N9" s="36" t="n">
        <f aca="false">RANK(Z9,Z:Z)</f>
        <v>9</v>
      </c>
      <c r="O9" s="35" t="n">
        <v>7</v>
      </c>
      <c r="P9" s="36" t="s">
        <v>8</v>
      </c>
      <c r="Q9" s="36" t="n">
        <f aca="false">COUNTIF(CORRIDA!G:G,CLASSIF!P9)+COUNTIF(CORRIDA!I:I,CLASSIF!P9)</f>
        <v>17</v>
      </c>
      <c r="R9" s="36" t="n">
        <f aca="false">COUNTIF(CORRIDA!G:G,CLASSIF!$P9)</f>
        <v>9</v>
      </c>
      <c r="S9" s="36" t="n">
        <f aca="false">COUNTIF(CORRIDA!I:I,CLASSIF!P9)</f>
        <v>8</v>
      </c>
      <c r="T9" s="37" t="n">
        <f aca="false">IF(Q9=0,0,U9/(Q9*20))</f>
        <v>0.691176470588235</v>
      </c>
      <c r="U9" s="36" t="n">
        <f aca="false">SUMIF(CORRIDA!G:G,CLASSIF!P9,CORRIDA!H:H)+SUMIF(CORRIDA!I:I,CLASSIF!P9,CORRIDA!J:J)</f>
        <v>235</v>
      </c>
      <c r="V9" s="36" t="n">
        <f aca="false">SUMIF(WOs!G:G,CLASSIF!P9,WOs!H:H)+SUMIF(WOs!I:I,CLASSIF!P9,WOs!J:J)</f>
        <v>0</v>
      </c>
      <c r="W9" s="36" t="n">
        <f aca="false">SUMIF(TORNEIO!G:G,CLASSIF!P9,TORNEIO!H:H)+SUMIF(TORNEIO!I:I,CLASSIF!P9,TORNEIO!J:J)+SUMIF(TORNEIO!S:S,CLASSIF!P9,TORNEIO!T:T)</f>
        <v>44</v>
      </c>
      <c r="X9" s="36" t="n">
        <f aca="false">SUM(U9:V9)</f>
        <v>235</v>
      </c>
      <c r="Y9" s="36" t="n">
        <f aca="false">VLOOKUP(P9,STATS!$B$2:$DF$52,109,0)</f>
        <v>100</v>
      </c>
      <c r="Z9" s="38" t="n">
        <f aca="false">SUM(W9:Y9)+T9/1000+(100-O9)/1000000000</f>
        <v>379.000691269471</v>
      </c>
      <c r="AA9" s="36"/>
      <c r="AG9" s="30" t="n">
        <f aca="false">E9/$AF$3</f>
        <v>27.2813089993707</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Caio</v>
      </c>
      <c r="C10" s="31" t="n">
        <f aca="false">VLOOKUP($A10,$N:$Z,Q$1,0)</f>
        <v>13</v>
      </c>
      <c r="D10" s="33" t="str">
        <f aca="false">VLOOKUP($A10,$N:$Z,R$1,0)&amp;"-"&amp;VLOOKUP($A10,$N:$Z,S$1,0)</f>
        <v>10-3</v>
      </c>
      <c r="E10" s="31" t="n">
        <f aca="false">VLOOKUP($A10,$N:$Z,X$1,0)</f>
        <v>217</v>
      </c>
      <c r="F10" s="31" t="n">
        <f aca="false">VLOOKUP($A10,$N:$Z,V$1,0)</f>
        <v>0</v>
      </c>
      <c r="G10" s="31" t="n">
        <f aca="false">VLOOKUP($A10,$N:$Z,W$1,0)</f>
        <v>64</v>
      </c>
      <c r="H10" s="31" t="n">
        <f aca="false">VLOOKUP($A10,$N:$Z,Y$1,0)</f>
        <v>100</v>
      </c>
      <c r="I10" s="34" t="n">
        <f aca="false">VLOOKUP($A10,$N:$Z,13,0)</f>
        <v>381.000834710385</v>
      </c>
      <c r="J10" s="24"/>
      <c r="K10" s="35" t="n">
        <f aca="false">VLOOKUP($A10,$N:$Z,R$1,0)</f>
        <v>10</v>
      </c>
      <c r="L10" s="35" t="n">
        <f aca="false">VLOOKUP($A10,$N:$Z,S$1,0)</f>
        <v>3</v>
      </c>
      <c r="M10" s="35"/>
      <c r="N10" s="36" t="n">
        <f aca="false">RANK(Z10,Z:Z)</f>
        <v>38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20.4845814977974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Costinha</v>
      </c>
      <c r="C11" s="39" t="n">
        <f aca="false">VLOOKUP($A11,$N:$Z,Q$1,0)</f>
        <v>17</v>
      </c>
      <c r="D11" s="41" t="str">
        <f aca="false">VLOOKUP($A11,$N:$Z,R$1,0)&amp;"-"&amp;VLOOKUP($A11,$N:$Z,S$1,0)</f>
        <v>9-8</v>
      </c>
      <c r="E11" s="39" t="n">
        <f aca="false">VLOOKUP($A11,$N:$Z,X$1,0)</f>
        <v>235</v>
      </c>
      <c r="F11" s="39" t="n">
        <f aca="false">VLOOKUP($A11,$N:$Z,V$1,0)</f>
        <v>0</v>
      </c>
      <c r="G11" s="39" t="n">
        <f aca="false">VLOOKUP($A11,$N:$Z,W$1,0)</f>
        <v>44</v>
      </c>
      <c r="H11" s="39" t="n">
        <f aca="false">VLOOKUP($A11,$N:$Z,Y$1,0)</f>
        <v>100</v>
      </c>
      <c r="I11" s="42" t="n">
        <f aca="false">VLOOKUP($A11,$N:$Z,13,0)</f>
        <v>379.000691269471</v>
      </c>
      <c r="J11" s="43" t="s">
        <v>76</v>
      </c>
      <c r="K11" s="35" t="n">
        <f aca="false">VLOOKUP($A11,$N:$Z,R$1,0)</f>
        <v>9</v>
      </c>
      <c r="L11" s="35" t="n">
        <f aca="false">VLOOKUP($A11,$N:$Z,S$1,0)</f>
        <v>8</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22.1837633731907</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18</v>
      </c>
      <c r="D12" s="41" t="str">
        <f aca="false">VLOOKUP($A12,$N:$Z,R$1,0)&amp;"-"&amp;VLOOKUP($A12,$N:$Z,S$1,0)</f>
        <v>11-7</v>
      </c>
      <c r="E12" s="39" t="n">
        <f aca="false">VLOOKUP($A12,$N:$Z,X$1,0)</f>
        <v>274</v>
      </c>
      <c r="F12" s="39" t="n">
        <f aca="false">VLOOKUP($A12,$N:$Z,V$1,0)</f>
        <v>4</v>
      </c>
      <c r="G12" s="39" t="n">
        <f aca="false">VLOOKUP($A12,$N:$Z,W$1,0)</f>
        <v>0</v>
      </c>
      <c r="H12" s="39" t="n">
        <f aca="false">VLOOKUP($A12,$N:$Z,Y$1,0)</f>
        <v>100</v>
      </c>
      <c r="I12" s="42" t="n">
        <f aca="false">VLOOKUP($A12,$N:$Z,13,0)</f>
        <v>374.000750071</v>
      </c>
      <c r="J12" s="43"/>
      <c r="K12" s="35" t="n">
        <f aca="false">VLOOKUP($A12,$N:$Z,R$1,0)</f>
        <v>11</v>
      </c>
      <c r="L12" s="35" t="n">
        <f aca="false">VLOOKUP($A12,$N:$Z,S$1,0)</f>
        <v>7</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25.8653241032096</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Flavio</v>
      </c>
      <c r="C13" s="39" t="n">
        <f aca="false">VLOOKUP($A13,$N:$Z,Q$1,0)</f>
        <v>20</v>
      </c>
      <c r="D13" s="41" t="str">
        <f aca="false">VLOOKUP($A13,$N:$Z,R$1,0)&amp;"-"&amp;VLOOKUP($A13,$N:$Z,S$1,0)</f>
        <v>7-13</v>
      </c>
      <c r="E13" s="39" t="n">
        <f aca="false">VLOOKUP($A13,$N:$Z,X$1,0)</f>
        <v>214</v>
      </c>
      <c r="F13" s="39" t="n">
        <f aca="false">VLOOKUP($A13,$N:$Z,V$1,0)</f>
        <v>0</v>
      </c>
      <c r="G13" s="39" t="n">
        <f aca="false">VLOOKUP($A13,$N:$Z,W$1,0)</f>
        <v>24</v>
      </c>
      <c r="H13" s="39" t="n">
        <f aca="false">VLOOKUP($A13,$N:$Z,Y$1,0)</f>
        <v>100</v>
      </c>
      <c r="I13" s="42" t="n">
        <f aca="false">VLOOKUP($A13,$N:$Z,13,0)</f>
        <v>338.000535083</v>
      </c>
      <c r="J13" s="43"/>
      <c r="K13" s="35" t="n">
        <f aca="false">VLOOKUP($A13,$N:$Z,R$1,0)</f>
        <v>7</v>
      </c>
      <c r="L13" s="35" t="n">
        <f aca="false">VLOOKUP($A13,$N:$Z,S$1,0)</f>
        <v>13</v>
      </c>
      <c r="M13" s="35"/>
      <c r="N13" s="36" t="n">
        <f aca="false">RANK(Z13,Z:Z)</f>
        <v>6</v>
      </c>
      <c r="O13" s="35" t="n">
        <v>11</v>
      </c>
      <c r="P13" s="36" t="s">
        <v>12</v>
      </c>
      <c r="Q13" s="36" t="n">
        <f aca="false">COUNTIF(CORRIDA!G:G,CLASSIF!P13)+COUNTIF(CORRIDA!I:I,CLASSIF!P13)</f>
        <v>19</v>
      </c>
      <c r="R13" s="36" t="n">
        <f aca="false">COUNTIF(CORRIDA!G:G,CLASSIF!$P13)</f>
        <v>10</v>
      </c>
      <c r="S13" s="36" t="n">
        <f aca="false">COUNTIF(CORRIDA!I:I,CLASSIF!P13)</f>
        <v>9</v>
      </c>
      <c r="T13" s="37" t="n">
        <f aca="false">IF(Q13=0,0,U13/(Q13*20))</f>
        <v>0.705263157894737</v>
      </c>
      <c r="U13" s="36" t="n">
        <f aca="false">SUMIF(CORRIDA!G:G,CLASSIF!P13,CORRIDA!H:H)+SUMIF(CORRIDA!I:I,CLASSIF!P13,CORRIDA!J:J)</f>
        <v>268</v>
      </c>
      <c r="V13" s="36" t="n">
        <f aca="false">SUMIF(WOs!G:G,CLASSIF!P13,WOs!H:H)+SUMIF(WOs!I:I,CLASSIF!P13,WOs!J:J)</f>
        <v>0</v>
      </c>
      <c r="W13" s="36" t="n">
        <f aca="false">SUMIF(TORNEIO!G:G,CLASSIF!P13,TORNEIO!H:H)+SUMIF(TORNEIO!I:I,CLASSIF!P13,TORNEIO!J:J)+SUMIF(TORNEIO!S:S,CLASSIF!P13,TORNEIO!T:T)</f>
        <v>25</v>
      </c>
      <c r="X13" s="36" t="n">
        <f aca="false">SUM(U13:V13)</f>
        <v>268</v>
      </c>
      <c r="Y13" s="36" t="n">
        <f aca="false">VLOOKUP(P13,STATS!$B$2:$DF$52,109,0)</f>
        <v>100</v>
      </c>
      <c r="Z13" s="38" t="n">
        <f aca="false">SUM(W13:Y13)+T13/1000+(100-O13)/1000000000</f>
        <v>393.000705352158</v>
      </c>
      <c r="AA13" s="36"/>
      <c r="AG13" s="30" t="n">
        <f aca="false">E13/$AF$3</f>
        <v>20.2013845185651</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Juan</v>
      </c>
      <c r="C14" s="39" t="n">
        <f aca="false">VLOOKUP($A14,$N:$Z,Q$1,0)</f>
        <v>26</v>
      </c>
      <c r="D14" s="41" t="str">
        <f aca="false">VLOOKUP($A14,$N:$Z,R$1,0)&amp;"-"&amp;VLOOKUP($A14,$N:$Z,S$1,0)</f>
        <v>2-24</v>
      </c>
      <c r="E14" s="39" t="n">
        <f aca="false">VLOOKUP($A14,$N:$Z,X$1,0)</f>
        <v>159</v>
      </c>
      <c r="F14" s="39" t="n">
        <f aca="false">VLOOKUP($A14,$N:$Z,V$1,0)</f>
        <v>0</v>
      </c>
      <c r="G14" s="39" t="n">
        <f aca="false">VLOOKUP($A14,$N:$Z,W$1,0)</f>
        <v>24</v>
      </c>
      <c r="H14" s="39" t="n">
        <f aca="false">VLOOKUP($A14,$N:$Z,Y$1,0)</f>
        <v>150</v>
      </c>
      <c r="I14" s="42" t="n">
        <f aca="false">VLOOKUP($A14,$N:$Z,13,0)</f>
        <v>333.000305846231</v>
      </c>
      <c r="J14" s="43"/>
      <c r="K14" s="35" t="n">
        <f aca="false">VLOOKUP($A14,$N:$Z,R$1,0)</f>
        <v>2</v>
      </c>
      <c r="L14" s="35" t="n">
        <f aca="false">VLOOKUP($A14,$N:$Z,S$1,0)</f>
        <v>24</v>
      </c>
      <c r="M14" s="35"/>
      <c r="N14" s="36" t="n">
        <f aca="false">RANK(Z14,Z:Z)</f>
        <v>2</v>
      </c>
      <c r="O14" s="35" t="n">
        <v>12</v>
      </c>
      <c r="P14" s="36" t="s">
        <v>13</v>
      </c>
      <c r="Q14" s="36" t="n">
        <f aca="false">COUNTIF(CORRIDA!G:G,CLASSIF!P14)+COUNTIF(CORRIDA!I:I,CLASSIF!P14)</f>
        <v>39</v>
      </c>
      <c r="R14" s="36" t="n">
        <f aca="false">COUNTIF(CORRIDA!G:G,CLASSIF!$P14)</f>
        <v>22</v>
      </c>
      <c r="S14" s="36" t="n">
        <f aca="false">COUNTIF(CORRIDA!I:I,CLASSIF!P14)</f>
        <v>17</v>
      </c>
      <c r="T14" s="37" t="n">
        <f aca="false">IF(Q14=0,0,U14/(Q14*20))</f>
        <v>0.666666666666667</v>
      </c>
      <c r="U14" s="36" t="n">
        <f aca="false">SUMIF(CORRIDA!G:G,CLASSIF!P14,CORRIDA!H:H)+SUMIF(CORRIDA!I:I,CLASSIF!P14,CORRIDA!J:J)</f>
        <v>520</v>
      </c>
      <c r="V14" s="36" t="n">
        <f aca="false">SUMIF(WOs!G:G,CLASSIF!P14,WOs!H:H)+SUMIF(WOs!I:I,CLASSIF!P14,WOs!J:J)</f>
        <v>0</v>
      </c>
      <c r="W14" s="36" t="n">
        <f aca="false">SUMIF(TORNEIO!G:G,CLASSIF!P14,TORNEIO!H:H)+SUMIF(TORNEIO!I:I,CLASSIF!P14,TORNEIO!J:J)+SUMIF(TORNEIO!S:S,CLASSIF!P14,TORNEIO!T:T)</f>
        <v>64</v>
      </c>
      <c r="X14" s="36" t="n">
        <f aca="false">SUM(U14:V14)</f>
        <v>520</v>
      </c>
      <c r="Y14" s="36" t="n">
        <f aca="false">VLOOKUP(P14,STATS!$B$2:$DF$52,109,0)</f>
        <v>200</v>
      </c>
      <c r="Z14" s="38" t="n">
        <f aca="false">SUM(W14:Y14)+T14/1000+(100-O14)/1000000000</f>
        <v>784.000666754667</v>
      </c>
      <c r="AA14" s="36"/>
      <c r="AG14" s="30" t="n">
        <f aca="false">E14/$AF$3</f>
        <v>15.0094398993077</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22</v>
      </c>
      <c r="D15" s="41" t="str">
        <f aca="false">VLOOKUP($A15,$N:$Z,R$1,0)&amp;"-"&amp;VLOOKUP($A15,$N:$Z,S$1,0)</f>
        <v>1-21</v>
      </c>
      <c r="E15" s="39" t="n">
        <f aca="false">VLOOKUP($A15,$N:$Z,X$1,0)</f>
        <v>117</v>
      </c>
      <c r="F15" s="39" t="n">
        <f aca="false">VLOOKUP($A15,$N:$Z,V$1,0)</f>
        <v>0</v>
      </c>
      <c r="G15" s="39" t="n">
        <f aca="false">VLOOKUP($A15,$N:$Z,W$1,0)</f>
        <v>0</v>
      </c>
      <c r="H15" s="39" t="n">
        <f aca="false">VLOOKUP($A15,$N:$Z,Y$1,0)</f>
        <v>150</v>
      </c>
      <c r="I15" s="42" t="n">
        <f aca="false">VLOOKUP($A15,$N:$Z,13,0)</f>
        <v>267.000265961091</v>
      </c>
      <c r="J15" s="43"/>
      <c r="K15" s="35" t="n">
        <f aca="false">VLOOKUP($A15,$N:$Z,R$1,0)</f>
        <v>1</v>
      </c>
      <c r="L15" s="35" t="n">
        <f aca="false">VLOOKUP($A15,$N:$Z,S$1,0)</f>
        <v>21</v>
      </c>
      <c r="M15" s="35"/>
      <c r="N15" s="36" t="n">
        <f aca="false">RANK(Z15,Z:Z)</f>
        <v>26</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11.0446821900566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18</v>
      </c>
      <c r="D16" s="41" t="str">
        <f aca="false">VLOOKUP($A16,$N:$Z,R$1,0)&amp;"-"&amp;VLOOKUP($A16,$N:$Z,S$1,0)</f>
        <v>4-14</v>
      </c>
      <c r="E16" s="39" t="n">
        <f aca="false">VLOOKUP($A16,$N:$Z,X$1,0)</f>
        <v>166</v>
      </c>
      <c r="F16" s="39" t="n">
        <f aca="false">VLOOKUP($A16,$N:$Z,V$1,0)</f>
        <v>0</v>
      </c>
      <c r="G16" s="39" t="n">
        <f aca="false">VLOOKUP($A16,$N:$Z,W$1,0)</f>
        <v>0</v>
      </c>
      <c r="H16" s="39" t="n">
        <f aca="false">VLOOKUP($A16,$N:$Z,Y$1,0)</f>
        <v>100</v>
      </c>
      <c r="I16" s="42" t="n">
        <f aca="false">VLOOKUP($A16,$N:$Z,13,0)</f>
        <v>266.000461176111</v>
      </c>
      <c r="J16" s="43"/>
      <c r="K16" s="35" t="n">
        <f aca="false">VLOOKUP($A16,$N:$Z,R$1,0)</f>
        <v>4</v>
      </c>
      <c r="L16" s="35" t="n">
        <f aca="false">VLOOKUP($A16,$N:$Z,S$1,0)</f>
        <v>14</v>
      </c>
      <c r="M16" s="36"/>
      <c r="N16" s="36" t="n">
        <f aca="false">RANK(Z16,Z:Z)</f>
        <v>20</v>
      </c>
      <c r="O16" s="35" t="n">
        <v>14</v>
      </c>
      <c r="P16" s="36" t="s">
        <v>15</v>
      </c>
      <c r="Q16" s="36" t="n">
        <f aca="false">COUNTIF(CORRIDA!G:G,CLASSIF!P16)+COUNTIF(CORRIDA!I:I,CLASSIF!P16)</f>
        <v>8</v>
      </c>
      <c r="R16" s="36" t="n">
        <f aca="false">COUNTIF(CORRIDA!G:G,CLASSIF!$P16)</f>
        <v>5</v>
      </c>
      <c r="S16" s="36" t="n">
        <f aca="false">COUNTIF(CORRIDA!I:I,CLASSIF!P16)</f>
        <v>3</v>
      </c>
      <c r="T16" s="37" t="n">
        <f aca="false">IF(Q16=0,0,U16/(Q16*20))</f>
        <v>0.8</v>
      </c>
      <c r="U16" s="36" t="n">
        <f aca="false">SUMIF(CORRIDA!G:G,CLASSIF!P16,CORRIDA!H:H)+SUMIF(CORRIDA!I:I,CLASSIF!P16,CORRIDA!J:J)</f>
        <v>128</v>
      </c>
      <c r="V16" s="36" t="n">
        <f aca="false">SUMIF(WOs!G:G,CLASSIF!P16,WOs!H:H)+SUMIF(WOs!I:I,CLASSIF!P16,WOs!J:J)</f>
        <v>0</v>
      </c>
      <c r="W16" s="36" t="n">
        <f aca="false">SUMIF(TORNEIO!G:G,CLASSIF!P16,TORNEIO!H:H)+SUMIF(TORNEIO!I:I,CLASSIF!P16,TORNEIO!J:J)+SUMIF(TORNEIO!S:S,CLASSIF!P16,TORNEIO!T:T)</f>
        <v>49</v>
      </c>
      <c r="X16" s="36" t="n">
        <f aca="false">SUM(U16:V16)</f>
        <v>128</v>
      </c>
      <c r="Y16" s="36" t="n">
        <f aca="false">VLOOKUP(P16,STATS!$B$2:$DF$52,109,0)</f>
        <v>0</v>
      </c>
      <c r="Z16" s="38" t="n">
        <f aca="false">SUM(W16:Y16)+T16/1000+(100-O16)/1000000000</f>
        <v>177.000800086</v>
      </c>
      <c r="AA16" s="36"/>
      <c r="AG16" s="30" t="n">
        <f aca="false">E16/$AF$3</f>
        <v>15.6702328508496</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Paulo</v>
      </c>
      <c r="C17" s="39" t="n">
        <f aca="false">VLOOKUP($A17,$N:$Z,Q$1,0)</f>
        <v>11</v>
      </c>
      <c r="D17" s="41" t="str">
        <f aca="false">VLOOKUP($A17,$N:$Z,R$1,0)&amp;"-"&amp;VLOOKUP($A17,$N:$Z,S$1,0)</f>
        <v>5-6</v>
      </c>
      <c r="E17" s="39" t="n">
        <f aca="false">VLOOKUP($A17,$N:$Z,X$1,0)</f>
        <v>139</v>
      </c>
      <c r="F17" s="39" t="n">
        <f aca="false">VLOOKUP($A17,$N:$Z,V$1,0)</f>
        <v>0</v>
      </c>
      <c r="G17" s="39" t="n">
        <f aca="false">VLOOKUP($A17,$N:$Z,W$1,0)</f>
        <v>24</v>
      </c>
      <c r="H17" s="39" t="n">
        <f aca="false">VLOOKUP($A17,$N:$Z,Y$1,0)</f>
        <v>100</v>
      </c>
      <c r="I17" s="42" t="n">
        <f aca="false">VLOOKUP($A17,$N:$Z,13,0)</f>
        <v>263.000631887182</v>
      </c>
      <c r="J17" s="43"/>
      <c r="K17" s="35" t="n">
        <f aca="false">VLOOKUP($A17,$N:$Z,R$1,0)</f>
        <v>5</v>
      </c>
      <c r="L17" s="35" t="n">
        <f aca="false">VLOOKUP($A17,$N:$Z,S$1,0)</f>
        <v>6</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13.1214600377596</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Carlos Coimbra</v>
      </c>
      <c r="C18" s="39" t="n">
        <f aca="false">VLOOKUP($A18,$N:$Z,Q$1,0)</f>
        <v>10</v>
      </c>
      <c r="D18" s="41" t="str">
        <f aca="false">VLOOKUP($A18,$N:$Z,R$1,0)&amp;"-"&amp;VLOOKUP($A18,$N:$Z,S$1,0)</f>
        <v>7-3</v>
      </c>
      <c r="E18" s="39" t="n">
        <f aca="false">VLOOKUP($A18,$N:$Z,X$1,0)</f>
        <v>164</v>
      </c>
      <c r="F18" s="39" t="n">
        <f aca="false">VLOOKUP($A18,$N:$Z,V$1,0)</f>
        <v>0</v>
      </c>
      <c r="G18" s="39" t="n">
        <f aca="false">VLOOKUP($A18,$N:$Z,W$1,0)</f>
        <v>84</v>
      </c>
      <c r="H18" s="39" t="n">
        <f aca="false">VLOOKUP($A18,$N:$Z,Y$1,0)</f>
        <v>0</v>
      </c>
      <c r="I18" s="42" t="n">
        <f aca="false">VLOOKUP($A18,$N:$Z,13,0)</f>
        <v>248.000820094</v>
      </c>
      <c r="J18" s="43"/>
      <c r="K18" s="35" t="n">
        <f aca="false">VLOOKUP($A18,$N:$Z,R$1,0)</f>
        <v>7</v>
      </c>
      <c r="L18" s="35" t="n">
        <f aca="false">VLOOKUP($A18,$N:$Z,S$1,0)</f>
        <v>3</v>
      </c>
      <c r="M18" s="36"/>
      <c r="N18" s="36" t="n">
        <f aca="false">RANK(Z18,Z:Z)</f>
        <v>39</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15.4814348646948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17</v>
      </c>
      <c r="D19" s="46" t="str">
        <f aca="false">VLOOKUP($A19,$N:$Z,R$1,0)&amp;"-"&amp;VLOOKUP($A19,$N:$Z,S$1,0)</f>
        <v>3-14</v>
      </c>
      <c r="E19" s="44" t="n">
        <f aca="false">VLOOKUP($A19,$N:$Z,X$1,0)</f>
        <v>144</v>
      </c>
      <c r="F19" s="44" t="n">
        <f aca="false">VLOOKUP($A19,$N:$Z,V$1,0)</f>
        <v>0</v>
      </c>
      <c r="G19" s="44" t="n">
        <f aca="false">VLOOKUP($A19,$N:$Z,W$1,0)</f>
        <v>0</v>
      </c>
      <c r="H19" s="44" t="n">
        <f aca="false">VLOOKUP($A19,$N:$Z,Y$1,0)</f>
        <v>100</v>
      </c>
      <c r="I19" s="47" t="n">
        <f aca="false">VLOOKUP($A19,$N:$Z,13,0)</f>
        <v>244.000423605412</v>
      </c>
      <c r="J19" s="48" t="s">
        <v>77</v>
      </c>
      <c r="K19" s="35" t="n">
        <f aca="false">VLOOKUP($A19,$N:$Z,R$1,0)</f>
        <v>3</v>
      </c>
      <c r="L19" s="35" t="n">
        <f aca="false">VLOOKUP($A19,$N:$Z,S$1,0)</f>
        <v>14</v>
      </c>
      <c r="M19" s="36"/>
      <c r="N19" s="36" t="n">
        <f aca="false">RANK(Z19,Z:Z)</f>
        <v>11</v>
      </c>
      <c r="O19" s="35" t="n">
        <v>17</v>
      </c>
      <c r="P19" s="36" t="s">
        <v>18</v>
      </c>
      <c r="Q19" s="36" t="n">
        <f aca="false">COUNTIF(CORRIDA!G:G,CLASSIF!P19)+COUNTIF(CORRIDA!I:I,CLASSIF!P19)</f>
        <v>20</v>
      </c>
      <c r="R19" s="36" t="n">
        <f aca="false">COUNTIF(CORRIDA!G:G,CLASSIF!$P19)</f>
        <v>7</v>
      </c>
      <c r="S19" s="36" t="n">
        <f aca="false">COUNTIF(CORRIDA!I:I,CLASSIF!P19)</f>
        <v>13</v>
      </c>
      <c r="T19" s="37" t="n">
        <f aca="false">IF(Q19=0,0,U19/(Q19*20))</f>
        <v>0.535</v>
      </c>
      <c r="U19" s="36" t="n">
        <f aca="false">SUMIF(CORRIDA!G:G,CLASSIF!P19,CORRIDA!H:H)+SUMIF(CORRIDA!I:I,CLASSIF!P19,CORRIDA!J:J)</f>
        <v>214</v>
      </c>
      <c r="V19" s="36" t="n">
        <f aca="false">SUMIF(WOs!G:G,CLASSIF!P19,WOs!H:H)+SUMIF(WOs!I:I,CLASSIF!P19,WOs!J:J)</f>
        <v>0</v>
      </c>
      <c r="W19" s="36" t="n">
        <f aca="false">SUMIF(TORNEIO!G:G,CLASSIF!P19,TORNEIO!H:H)+SUMIF(TORNEIO!I:I,CLASSIF!P19,TORNEIO!J:J)+SUMIF(TORNEIO!S:S,CLASSIF!P19,TORNEIO!T:T)</f>
        <v>24</v>
      </c>
      <c r="X19" s="36" t="n">
        <f aca="false">SUM(U19:V19)</f>
        <v>214</v>
      </c>
      <c r="Y19" s="36" t="n">
        <f aca="false">VLOOKUP(P19,STATS!$B$2:$DF$52,109,0)</f>
        <v>100</v>
      </c>
      <c r="Z19" s="38" t="n">
        <f aca="false">SUM(W19:Y19)+T19/1000+(100-O19)/1000000000</f>
        <v>338.000535083</v>
      </c>
      <c r="AA19" s="36"/>
      <c r="AG19" s="30" t="n">
        <f aca="false">E19/$AF$3</f>
        <v>13.5934550031466</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12</v>
      </c>
      <c r="D20" s="46" t="str">
        <f aca="false">VLOOKUP($A20,$N:$Z,R$1,0)&amp;"-"&amp;VLOOKUP($A20,$N:$Z,S$1,0)</f>
        <v>5-7</v>
      </c>
      <c r="E20" s="44" t="n">
        <f aca="false">VLOOKUP($A20,$N:$Z,X$1,0)</f>
        <v>150</v>
      </c>
      <c r="F20" s="44" t="n">
        <f aca="false">VLOOKUP($A20,$N:$Z,V$1,0)</f>
        <v>0</v>
      </c>
      <c r="G20" s="44" t="n">
        <f aca="false">VLOOKUP($A20,$N:$Z,W$1,0)</f>
        <v>45</v>
      </c>
      <c r="H20" s="44" t="n">
        <f aca="false">VLOOKUP($A20,$N:$Z,Y$1,0)</f>
        <v>0</v>
      </c>
      <c r="I20" s="47" t="n">
        <f aca="false">VLOOKUP($A20,$N:$Z,13,0)</f>
        <v>195.000625078</v>
      </c>
      <c r="J20" s="48"/>
      <c r="K20" s="35" t="n">
        <f aca="false">VLOOKUP($A20,$N:$Z,R$1,0)</f>
        <v>5</v>
      </c>
      <c r="L20" s="35" t="n">
        <f aca="false">VLOOKUP($A20,$N:$Z,S$1,0)</f>
        <v>7</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14.1598489616111</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Rubens</v>
      </c>
      <c r="C21" s="44" t="n">
        <f aca="false">VLOOKUP($A21,$N:$Z,Q$1,0)</f>
        <v>13</v>
      </c>
      <c r="D21" s="46" t="str">
        <f aca="false">VLOOKUP($A21,$N:$Z,R$1,0)&amp;"-"&amp;VLOOKUP($A21,$N:$Z,S$1,0)</f>
        <v>7-6</v>
      </c>
      <c r="E21" s="44" t="n">
        <f aca="false">VLOOKUP($A21,$N:$Z,X$1,0)</f>
        <v>194</v>
      </c>
      <c r="F21" s="44" t="n">
        <f aca="false">VLOOKUP($A21,$N:$Z,V$1,0)</f>
        <v>0</v>
      </c>
      <c r="G21" s="44" t="n">
        <f aca="false">VLOOKUP($A21,$N:$Z,W$1,0)</f>
        <v>0</v>
      </c>
      <c r="H21" s="44" t="n">
        <f aca="false">VLOOKUP($A21,$N:$Z,Y$1,0)</f>
        <v>0</v>
      </c>
      <c r="I21" s="47" t="n">
        <f aca="false">VLOOKUP($A21,$N:$Z,13,0)</f>
        <v>194.000746210846</v>
      </c>
      <c r="J21" s="48"/>
      <c r="K21" s="35" t="n">
        <f aca="false">VLOOKUP($A21,$N:$Z,R$1,0)</f>
        <v>7</v>
      </c>
      <c r="L21" s="35" t="n">
        <f aca="false">VLOOKUP($A21,$N:$Z,S$1,0)</f>
        <v>6</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18.313404657017</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Felipe</v>
      </c>
      <c r="C22" s="44" t="n">
        <f aca="false">VLOOKUP($A22,$N:$Z,Q$1,0)</f>
        <v>8</v>
      </c>
      <c r="D22" s="46" t="str">
        <f aca="false">VLOOKUP($A22,$N:$Z,R$1,0)&amp;"-"&amp;VLOOKUP($A22,$N:$Z,S$1,0)</f>
        <v>5-3</v>
      </c>
      <c r="E22" s="44" t="n">
        <f aca="false">VLOOKUP($A22,$N:$Z,X$1,0)</f>
        <v>128</v>
      </c>
      <c r="F22" s="44" t="n">
        <f aca="false">VLOOKUP($A22,$N:$Z,V$1,0)</f>
        <v>0</v>
      </c>
      <c r="G22" s="44" t="n">
        <f aca="false">VLOOKUP($A22,$N:$Z,W$1,0)</f>
        <v>49</v>
      </c>
      <c r="H22" s="44" t="n">
        <f aca="false">VLOOKUP($A22,$N:$Z,Y$1,0)</f>
        <v>0</v>
      </c>
      <c r="I22" s="47" t="n">
        <f aca="false">VLOOKUP($A22,$N:$Z,13,0)</f>
        <v>177.000800086</v>
      </c>
      <c r="J22" s="48"/>
      <c r="K22" s="35" t="n">
        <f aca="false">VLOOKUP($A22,$N:$Z,R$1,0)</f>
        <v>5</v>
      </c>
      <c r="L22" s="35" t="n">
        <f aca="false">VLOOKUP($A22,$N:$Z,S$1,0)</f>
        <v>3</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12.0830711139081</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Salgado</v>
      </c>
      <c r="C23" s="44" t="n">
        <f aca="false">VLOOKUP($A23,$N:$Z,Q$1,0)</f>
        <v>8</v>
      </c>
      <c r="D23" s="46" t="str">
        <f aca="false">VLOOKUP($A23,$N:$Z,R$1,0)&amp;"-"&amp;VLOOKUP($A23,$N:$Z,S$1,0)</f>
        <v>5-3</v>
      </c>
      <c r="E23" s="44" t="n">
        <f aca="false">VLOOKUP($A23,$N:$Z,X$1,0)</f>
        <v>145</v>
      </c>
      <c r="F23" s="44" t="n">
        <f aca="false">VLOOKUP($A23,$N:$Z,V$1,0)</f>
        <v>25</v>
      </c>
      <c r="G23" s="44" t="n">
        <f aca="false">VLOOKUP($A23,$N:$Z,W$1,0)</f>
        <v>24</v>
      </c>
      <c r="H23" s="44" t="n">
        <f aca="false">VLOOKUP($A23,$N:$Z,Y$1,0)</f>
        <v>0</v>
      </c>
      <c r="I23" s="47" t="n">
        <f aca="false">VLOOKUP($A23,$N:$Z,13,0)</f>
        <v>169.000750059</v>
      </c>
      <c r="J23" s="48"/>
      <c r="K23" s="35" t="n">
        <f aca="false">VLOOKUP($A23,$N:$Z,R$1,0)</f>
        <v>5</v>
      </c>
      <c r="L23" s="35" t="n">
        <f aca="false">VLOOKUP($A23,$N:$Z,S$1,0)</f>
        <v>3</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13.687853996224</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Pedrão</v>
      </c>
      <c r="C24" s="44" t="n">
        <f aca="false">VLOOKUP($A24,$N:$Z,Q$1,0)</f>
        <v>9</v>
      </c>
      <c r="D24" s="46" t="str">
        <f aca="false">VLOOKUP($A24,$N:$Z,R$1,0)&amp;"-"&amp;VLOOKUP($A24,$N:$Z,S$1,0)</f>
        <v>7-2</v>
      </c>
      <c r="E24" s="44" t="n">
        <f aca="false">VLOOKUP($A24,$N:$Z,X$1,0)</f>
        <v>154</v>
      </c>
      <c r="F24" s="44" t="n">
        <f aca="false">VLOOKUP($A24,$N:$Z,V$1,0)</f>
        <v>0</v>
      </c>
      <c r="G24" s="44" t="n">
        <f aca="false">VLOOKUP($A24,$N:$Z,W$1,0)</f>
        <v>0</v>
      </c>
      <c r="H24" s="44" t="n">
        <f aca="false">VLOOKUP($A24,$N:$Z,Y$1,0)</f>
        <v>0</v>
      </c>
      <c r="I24" s="47" t="n">
        <f aca="false">VLOOKUP($A24,$N:$Z,13,0)</f>
        <v>154.000855623556</v>
      </c>
      <c r="J24" s="48"/>
      <c r="K24" s="35" t="n">
        <f aca="false">VLOOKUP($A24,$N:$Z,R$1,0)</f>
        <v>7</v>
      </c>
      <c r="L24" s="35" t="n">
        <f aca="false">VLOOKUP($A24,$N:$Z,S$1,0)</f>
        <v>2</v>
      </c>
      <c r="M24" s="36"/>
      <c r="N24" s="36" t="n">
        <f aca="false">RANK(Z24,Z:Z)</f>
        <v>18</v>
      </c>
      <c r="O24" s="35" t="n">
        <v>22</v>
      </c>
      <c r="P24" s="36" t="s">
        <v>23</v>
      </c>
      <c r="Q24" s="36" t="n">
        <f aca="false">COUNTIF(CORRIDA!G:G,CLASSIF!P24)+COUNTIF(CORRIDA!I:I,CLASSIF!P24)</f>
        <v>12</v>
      </c>
      <c r="R24" s="36" t="n">
        <f aca="false">COUNTIF(CORRIDA!G:G,CLASSIF!$P24)</f>
        <v>5</v>
      </c>
      <c r="S24" s="36" t="n">
        <f aca="false">COUNTIF(CORRIDA!I:I,CLASSIF!P24)</f>
        <v>7</v>
      </c>
      <c r="T24" s="37" t="n">
        <f aca="false">IF(Q24=0,0,U24/(Q24*20))</f>
        <v>0.625</v>
      </c>
      <c r="U24" s="36" t="n">
        <f aca="false">SUMIF(CORRIDA!G:G,CLASSIF!P24,CORRIDA!H:H)+SUMIF(CORRIDA!I:I,CLASSIF!P24,CORRIDA!J:J)</f>
        <v>150</v>
      </c>
      <c r="V24" s="36" t="n">
        <f aca="false">SUMIF(WOs!G:G,CLASSIF!P24,WOs!H:H)+SUMIF(WOs!I:I,CLASSIF!P24,WOs!J:J)</f>
        <v>0</v>
      </c>
      <c r="W24" s="36" t="n">
        <f aca="false">SUMIF(TORNEIO!G:G,CLASSIF!P24,TORNEIO!H:H)+SUMIF(TORNEIO!I:I,CLASSIF!P24,TORNEIO!J:J)+SUMIF(TORNEIO!S:S,CLASSIF!P24,TORNEIO!T:T)</f>
        <v>45</v>
      </c>
      <c r="X24" s="36" t="n">
        <f aca="false">SUM(U24:V24)</f>
        <v>150</v>
      </c>
      <c r="Y24" s="36" t="n">
        <f aca="false">VLOOKUP(P24,STATS!$B$2:$DF$52,109,0)</f>
        <v>0</v>
      </c>
      <c r="Z24" s="38" t="n">
        <f aca="false">SUM(W24:Y24)+T24/1000+(100-O24)/1000000000</f>
        <v>195.000625078</v>
      </c>
      <c r="AA24" s="36"/>
      <c r="AG24" s="30" t="n">
        <f aca="false">E24/$AF$3</f>
        <v>14.5374449339207</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Sérgio Nacif</v>
      </c>
      <c r="C25" s="44" t="n">
        <f aca="false">VLOOKUP($A25,$N:$Z,Q$1,0)</f>
        <v>10</v>
      </c>
      <c r="D25" s="46" t="str">
        <f aca="false">VLOOKUP($A25,$N:$Z,R$1,0)&amp;"-"&amp;VLOOKUP($A25,$N:$Z,S$1,0)</f>
        <v>4-6</v>
      </c>
      <c r="E25" s="44" t="n">
        <f aca="false">VLOOKUP($A25,$N:$Z,X$1,0)</f>
        <v>128</v>
      </c>
      <c r="F25" s="44" t="n">
        <f aca="false">VLOOKUP($A25,$N:$Z,V$1,0)</f>
        <v>4</v>
      </c>
      <c r="G25" s="44" t="n">
        <f aca="false">VLOOKUP($A25,$N:$Z,W$1,0)</f>
        <v>24</v>
      </c>
      <c r="H25" s="44" t="n">
        <f aca="false">VLOOKUP($A25,$N:$Z,Y$1,0)</f>
        <v>0</v>
      </c>
      <c r="I25" s="47" t="n">
        <f aca="false">VLOOKUP($A25,$N:$Z,13,0)</f>
        <v>152.000620058</v>
      </c>
      <c r="J25" s="48"/>
      <c r="K25" s="35" t="n">
        <f aca="false">VLOOKUP($A25,$N:$Z,R$1,0)</f>
        <v>4</v>
      </c>
      <c r="L25" s="35" t="n">
        <f aca="false">VLOOKUP($A25,$N:$Z,S$1,0)</f>
        <v>6</v>
      </c>
      <c r="M25" s="36"/>
      <c r="N25" s="36" t="n">
        <f aca="false">RANK(Z25,Z:Z)</f>
        <v>12</v>
      </c>
      <c r="O25" s="35" t="n">
        <v>23</v>
      </c>
      <c r="P25" s="36" t="s">
        <v>24</v>
      </c>
      <c r="Q25" s="36" t="n">
        <f aca="false">COUNTIF(CORRIDA!G:G,CLASSIF!P25)+COUNTIF(CORRIDA!I:I,CLASSIF!P25)</f>
        <v>26</v>
      </c>
      <c r="R25" s="36" t="n">
        <f aca="false">COUNTIF(CORRIDA!G:G,CLASSIF!$P25)</f>
        <v>2</v>
      </c>
      <c r="S25" s="36" t="n">
        <f aca="false">COUNTIF(CORRIDA!I:I,CLASSIF!P25)</f>
        <v>24</v>
      </c>
      <c r="T25" s="37" t="n">
        <f aca="false">IF(Q25=0,0,U25/(Q25*20))</f>
        <v>0.305769230769231</v>
      </c>
      <c r="U25" s="36" t="n">
        <f aca="false">SUMIF(CORRIDA!G:G,CLASSIF!P25,CORRIDA!H:H)+SUMIF(CORRIDA!I:I,CLASSIF!P25,CORRIDA!J:J)</f>
        <v>159</v>
      </c>
      <c r="V25" s="36" t="n">
        <f aca="false">SUMIF(WOs!G:G,CLASSIF!P25,WOs!H:H)+SUMIF(WOs!I:I,CLASSIF!P25,WOs!J:J)</f>
        <v>0</v>
      </c>
      <c r="W25" s="36" t="n">
        <f aca="false">SUMIF(TORNEIO!G:G,CLASSIF!P25,TORNEIO!H:H)+SUMIF(TORNEIO!I:I,CLASSIF!P25,TORNEIO!J:J)+SUMIF(TORNEIO!S:S,CLASSIF!P25,TORNEIO!T:T)</f>
        <v>24</v>
      </c>
      <c r="X25" s="36" t="n">
        <f aca="false">SUM(U25:V25)</f>
        <v>159</v>
      </c>
      <c r="Y25" s="36" t="n">
        <f aca="false">VLOOKUP(P25,STATS!$B$2:$DF$52,109,0)</f>
        <v>150</v>
      </c>
      <c r="Z25" s="38" t="n">
        <f aca="false">SUM(W25:Y25)+T25/1000+(100-O25)/1000000000</f>
        <v>333.000305846231</v>
      </c>
      <c r="AA25" s="36"/>
      <c r="AG25" s="30" t="n">
        <f aca="false">E25/$AF$3</f>
        <v>12.0830711139081</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17</v>
      </c>
      <c r="R26" s="36" t="n">
        <f aca="false">COUNTIF(CORRIDA!G:G,CLASSIF!$P26)</f>
        <v>3</v>
      </c>
      <c r="S26" s="36" t="n">
        <f aca="false">COUNTIF(CORRIDA!I:I,CLASSIF!P26)</f>
        <v>14</v>
      </c>
      <c r="T26" s="37" t="n">
        <f aca="false">IF(Q26=0,0,U26/(Q26*20))</f>
        <v>0.423529411764706</v>
      </c>
      <c r="U26" s="36" t="n">
        <f aca="false">SUMIF(CORRIDA!G:G,CLASSIF!P26,CORRIDA!H:H)+SUMIF(CORRIDA!I:I,CLASSIF!P26,CORRIDA!J:J)</f>
        <v>144</v>
      </c>
      <c r="V26" s="36" t="n">
        <f aca="false">SUMIF(WOs!G:G,CLASSIF!P26,WOs!H:H)+SUMIF(WOs!I:I,CLASSIF!P26,WOs!J:J)</f>
        <v>0</v>
      </c>
      <c r="W26" s="36" t="n">
        <f aca="false">SUMIF(TORNEIO!G:G,CLASSIF!P26,TORNEIO!H:H)+SUMIF(TORNEIO!I:I,CLASSIF!P26,TORNEIO!J:J)+SUMIF(TORNEIO!S:S,CLASSIF!P26,TORNEIO!T:T)</f>
        <v>0</v>
      </c>
      <c r="X26" s="36" t="n">
        <f aca="false">SUM(U26:V26)</f>
        <v>144</v>
      </c>
      <c r="Y26" s="36" t="n">
        <f aca="false">VLOOKUP(P26,STATS!$B$2:$DF$52,109,0)</f>
        <v>100</v>
      </c>
      <c r="Z26" s="38" t="n">
        <f aca="false">SUM(W26:Y26)+T26/1000+(100-O26)/1000000000</f>
        <v>244.000423605412</v>
      </c>
      <c r="AA26" s="36"/>
      <c r="AG26" s="30" t="n">
        <f aca="false">E26/$AF$3</f>
        <v>10.19509125236</v>
      </c>
      <c r="AH26" s="30" t="e">
        <f aca="true">E26+AH$2*20*D26*(($AC$3-TODAY())/7)</f>
        <v>#VALUE!</v>
      </c>
      <c r="AJ26" s="1"/>
      <c r="AL26" s="1"/>
    </row>
    <row r="27" customFormat="false" ht="12.75" hidden="false" customHeight="false" outlineLevel="0" collapsed="false">
      <c r="A27" s="49" t="n">
        <v>25</v>
      </c>
      <c r="B27" s="50" t="str">
        <f aca="false">VLOOKUP($A27,$N:$Z,P$1,0)</f>
        <v>Bruno</v>
      </c>
      <c r="C27" s="49" t="n">
        <f aca="false">VLOOKUP($A27,$N:$Z,Q$1,0)</f>
        <v>7</v>
      </c>
      <c r="D27" s="51" t="str">
        <f aca="false">VLOOKUP($A27,$N:$Z,R$1,0)&amp;"-"&amp;VLOOKUP($A27,$N:$Z,S$1,0)</f>
        <v>2-5</v>
      </c>
      <c r="E27" s="49" t="n">
        <f aca="false">VLOOKUP($A27,$N:$Z,X$1,0)</f>
        <v>103</v>
      </c>
      <c r="F27" s="49" t="n">
        <f aca="false">VLOOKUP($A27,$N:$Z,V$1,0)</f>
        <v>25</v>
      </c>
      <c r="G27" s="49" t="n">
        <f aca="false">VLOOKUP($A27,$N:$Z,W$1,0)</f>
        <v>0</v>
      </c>
      <c r="H27" s="49" t="n">
        <f aca="false">VLOOKUP($A27,$N:$Z,Y$1,0)</f>
        <v>0</v>
      </c>
      <c r="I27" s="52" t="n">
        <f aca="false">VLOOKUP($A27,$N:$Z,13,0)</f>
        <v>103.000557238857</v>
      </c>
      <c r="J27" s="53"/>
      <c r="K27" s="35" t="n">
        <f aca="false">VLOOKUP($A27,$N:$Z,R$1,0)</f>
        <v>2</v>
      </c>
      <c r="L27" s="35" t="n">
        <f aca="false">VLOOKUP($A27,$N:$Z,S$1,0)</f>
        <v>5</v>
      </c>
      <c r="M27" s="36"/>
      <c r="N27" s="36" t="n">
        <f aca="false">RANK(Z27,Z:Z)</f>
        <v>5</v>
      </c>
      <c r="O27" s="35" t="n">
        <v>25</v>
      </c>
      <c r="P27" s="36" t="s">
        <v>26</v>
      </c>
      <c r="Q27" s="36" t="n">
        <f aca="false">COUNTIF(CORRIDA!G:G,CLASSIF!P27)+COUNTIF(CORRIDA!I:I,CLASSIF!P27)</f>
        <v>16</v>
      </c>
      <c r="R27" s="36" t="n">
        <f aca="false">COUNTIF(CORRIDA!G:G,CLASSIF!$P27)</f>
        <v>11</v>
      </c>
      <c r="S27" s="36" t="n">
        <f aca="false">COUNTIF(CORRIDA!I:I,CLASSIF!P27)</f>
        <v>5</v>
      </c>
      <c r="T27" s="37" t="n">
        <f aca="false">IF(Q27=0,0,U27/(Q27*20))</f>
        <v>0.809375</v>
      </c>
      <c r="U27" s="36" t="n">
        <f aca="false">SUMIF(CORRIDA!G:G,CLASSIF!P27,CORRIDA!H:H)+SUMIF(CORRIDA!I:I,CLASSIF!P27,CORRIDA!J:J)</f>
        <v>259</v>
      </c>
      <c r="V27" s="36" t="n">
        <f aca="false">SUMIF(WOs!G:G,CLASSIF!P27,WOs!H:H)+SUMIF(WOs!I:I,CLASSIF!P27,WOs!J:J)</f>
        <v>25</v>
      </c>
      <c r="W27" s="36" t="n">
        <f aca="false">SUMIF(TORNEIO!G:G,CLASSIF!P27,TORNEIO!H:H)+SUMIF(TORNEIO!I:I,CLASSIF!P27,TORNEIO!J:J)+SUMIF(TORNEIO!S:S,CLASSIF!P27,TORNEIO!T:T)</f>
        <v>44</v>
      </c>
      <c r="X27" s="36" t="n">
        <f aca="false">SUM(U27:V27)</f>
        <v>284</v>
      </c>
      <c r="Y27" s="36" t="n">
        <f aca="false">VLOOKUP(P27,STATS!$B$2:$DF$52,109,0)</f>
        <v>100</v>
      </c>
      <c r="Z27" s="38" t="n">
        <f aca="false">SUM(W27:Y27)+T27/1000+(100-O27)/1000000000</f>
        <v>428.00080945</v>
      </c>
      <c r="AA27" s="36"/>
      <c r="AG27" s="30" t="n">
        <f aca="false">E27/$AF$3</f>
        <v>9.72309628697294</v>
      </c>
      <c r="AH27" s="30" t="e">
        <f aca="true">E27+AH$2*20*D27*(($AC$3-TODAY())/7)</f>
        <v>#VALUE!</v>
      </c>
      <c r="AJ27" s="1"/>
      <c r="AL27" s="1"/>
    </row>
    <row r="28" customFormat="false" ht="12.75" hidden="false" customHeight="false" outlineLevel="0" collapsed="false">
      <c r="A28" s="49" t="n">
        <v>26</v>
      </c>
      <c r="B28" s="50" t="str">
        <f aca="false">VLOOKUP($A28,$N:$Z,P$1,0)</f>
        <v>Fabinho</v>
      </c>
      <c r="C28" s="49" t="n">
        <f aca="false">VLOOKUP($A28,$N:$Z,Q$1,0)</f>
        <v>5</v>
      </c>
      <c r="D28" s="51" t="str">
        <f aca="false">VLOOKUP($A28,$N:$Z,R$1,0)&amp;"-"&amp;VLOOKUP($A28,$N:$Z,S$1,0)</f>
        <v>3-2</v>
      </c>
      <c r="E28" s="49" t="n">
        <f aca="false">VLOOKUP($A28,$N:$Z,X$1,0)</f>
        <v>72</v>
      </c>
      <c r="F28" s="49" t="n">
        <f aca="false">VLOOKUP($A28,$N:$Z,V$1,0)</f>
        <v>0</v>
      </c>
      <c r="G28" s="49" t="n">
        <f aca="false">VLOOKUP($A28,$N:$Z,W$1,0)</f>
        <v>24</v>
      </c>
      <c r="H28" s="49" t="n">
        <f aca="false">VLOOKUP($A28,$N:$Z,Y$1,0)</f>
        <v>0</v>
      </c>
      <c r="I28" s="52" t="n">
        <f aca="false">VLOOKUP($A28,$N:$Z,13,0)</f>
        <v>96.000720087</v>
      </c>
      <c r="J28" s="53"/>
      <c r="K28" s="35" t="n">
        <f aca="false">VLOOKUP($A28,$N:$Z,R$1,0)</f>
        <v>3</v>
      </c>
      <c r="L28" s="35" t="n">
        <f aca="false">VLOOKUP($A28,$N:$Z,S$1,0)</f>
        <v>2</v>
      </c>
      <c r="M28" s="36"/>
      <c r="N28" s="36" t="n">
        <f aca="false">RANK(Z28,Z:Z)</f>
        <v>4</v>
      </c>
      <c r="O28" s="35" t="n">
        <v>26</v>
      </c>
      <c r="P28" s="36" t="s">
        <v>27</v>
      </c>
      <c r="Q28" s="36" t="n">
        <f aca="false">COUNTIF(CORRIDA!G:G,CLASSIF!P28)+COUNTIF(CORRIDA!I:I,CLASSIF!P28)</f>
        <v>16</v>
      </c>
      <c r="R28" s="36" t="n">
        <f aca="false">COUNTIF(CORRIDA!G:G,CLASSIF!$P28)</f>
        <v>14</v>
      </c>
      <c r="S28" s="36" t="n">
        <f aca="false">COUNTIF(CORRIDA!I:I,CLASSIF!P28)</f>
        <v>2</v>
      </c>
      <c r="T28" s="37" t="n">
        <f aca="false">IF(Q28=0,0,U28/(Q28*20))</f>
        <v>0.903125</v>
      </c>
      <c r="U28" s="36" t="n">
        <f aca="false">SUMIF(CORRIDA!G:G,CLASSIF!P28,CORRIDA!H:H)+SUMIF(CORRIDA!I:I,CLASSIF!P28,CORRIDA!J:J)</f>
        <v>289</v>
      </c>
      <c r="V28" s="36" t="n">
        <f aca="false">SUMIF(WOs!G:G,CLASSIF!P28,WOs!H:H)+SUMIF(WOs!I:I,CLASSIF!P28,WOs!J:J)</f>
        <v>0</v>
      </c>
      <c r="W28" s="36" t="n">
        <f aca="false">SUMIF(TORNEIO!G:G,CLASSIF!P28,TORNEIO!H:H)+SUMIF(TORNEIO!I:I,CLASSIF!P28,TORNEIO!J:J)+SUMIF(TORNEIO!S:S,CLASSIF!P28,TORNEIO!T:T)</f>
        <v>0</v>
      </c>
      <c r="X28" s="36" t="n">
        <f aca="false">SUM(U28:V28)</f>
        <v>289</v>
      </c>
      <c r="Y28" s="36" t="n">
        <f aca="false">VLOOKUP(P28,STATS!$B$2:$DF$52,109,0)</f>
        <v>150</v>
      </c>
      <c r="Z28" s="38" t="n">
        <f aca="false">SUM(W28:Y28)+T28/1000+(100-O28)/1000000000</f>
        <v>439.000903199</v>
      </c>
      <c r="AA28" s="36"/>
      <c r="AG28" s="30" t="n">
        <f aca="false">E28/$AF$3</f>
        <v>6.79672750157332</v>
      </c>
      <c r="AH28" s="30" t="e">
        <f aca="true">E28+AH$2*20*D28*(($AC$3-TODAY())/7)</f>
        <v>#VALUE!</v>
      </c>
      <c r="AJ28" s="1"/>
      <c r="AL28" s="1"/>
    </row>
    <row r="29" customFormat="false" ht="12.75" hidden="false" customHeight="false" outlineLevel="0" collapsed="false">
      <c r="A29" s="49" t="n">
        <v>27</v>
      </c>
      <c r="B29" s="50" t="str">
        <f aca="false">VLOOKUP($A29,$N:$Z,P$1,0)</f>
        <v>Palazzo</v>
      </c>
      <c r="C29" s="49" t="n">
        <f aca="false">VLOOKUP($A29,$N:$Z,Q$1,0)</f>
        <v>4</v>
      </c>
      <c r="D29" s="51" t="str">
        <f aca="false">VLOOKUP($A29,$N:$Z,R$1,0)&amp;"-"&amp;VLOOKUP($A29,$N:$Z,S$1,0)</f>
        <v>4-0</v>
      </c>
      <c r="E29" s="49" t="n">
        <f aca="false">VLOOKUP($A29,$N:$Z,X$1,0)</f>
        <v>90</v>
      </c>
      <c r="F29" s="49" t="n">
        <f aca="false">VLOOKUP($A29,$N:$Z,V$1,0)</f>
        <v>0</v>
      </c>
      <c r="G29" s="49" t="n">
        <f aca="false">VLOOKUP($A29,$N:$Z,W$1,0)</f>
        <v>0</v>
      </c>
      <c r="H29" s="49" t="n">
        <f aca="false">VLOOKUP($A29,$N:$Z,Y$1,0)</f>
        <v>0</v>
      </c>
      <c r="I29" s="52" t="n">
        <f aca="false">VLOOKUP($A29,$N:$Z,13,0)</f>
        <v>90.00112507</v>
      </c>
      <c r="J29" s="53"/>
      <c r="K29" s="35" t="n">
        <f aca="false">VLOOKUP($A29,$N:$Z,R$1,0)</f>
        <v>4</v>
      </c>
      <c r="L29" s="35" t="n">
        <f aca="false">VLOOKUP($A29,$N:$Z,S$1,0)</f>
        <v>0</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Andre Bruni</v>
      </c>
      <c r="C30" s="49" t="n">
        <f aca="false">VLOOKUP($A30,$N:$Z,Q$1,0)</f>
        <v>7</v>
      </c>
      <c r="D30" s="51" t="str">
        <f aca="false">VLOOKUP($A30,$N:$Z,R$1,0)&amp;"-"&amp;VLOOKUP($A30,$N:$Z,S$1,0)</f>
        <v>2-5</v>
      </c>
      <c r="E30" s="49" t="n">
        <f aca="false">VLOOKUP($A30,$N:$Z,X$1,0)</f>
        <v>79</v>
      </c>
      <c r="F30" s="49" t="n">
        <f aca="false">VLOOKUP($A30,$N:$Z,V$1,0)</f>
        <v>0</v>
      </c>
      <c r="G30" s="49" t="n">
        <f aca="false">VLOOKUP($A30,$N:$Z,W$1,0)</f>
        <v>0</v>
      </c>
      <c r="H30" s="49" t="n">
        <f aca="false">VLOOKUP($A30,$N:$Z,Y$1,0)</f>
        <v>0</v>
      </c>
      <c r="I30" s="52" t="n">
        <f aca="false">VLOOKUP($A30,$N:$Z,13,0)</f>
        <v>79.0005643407143</v>
      </c>
      <c r="J30" s="53"/>
      <c r="K30" s="35" t="n">
        <f aca="false">VLOOKUP($A30,$N:$Z,R$1,0)</f>
        <v>2</v>
      </c>
      <c r="L30" s="35" t="n">
        <f aca="false">VLOOKUP($A30,$N:$Z,S$1,0)</f>
        <v>5</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10</v>
      </c>
      <c r="O31" s="35" t="n">
        <v>29</v>
      </c>
      <c r="P31" s="36" t="s">
        <v>30</v>
      </c>
      <c r="Q31" s="36" t="n">
        <f aca="false">COUNTIF(CORRIDA!G:G,CLASSIF!P31)+COUNTIF(CORRIDA!I:I,CLASSIF!P31)</f>
        <v>18</v>
      </c>
      <c r="R31" s="36" t="n">
        <f aca="false">COUNTIF(CORRIDA!G:G,CLASSIF!$P31)</f>
        <v>11</v>
      </c>
      <c r="S31" s="36" t="n">
        <f aca="false">COUNTIF(CORRIDA!I:I,CLASSIF!P31)</f>
        <v>7</v>
      </c>
      <c r="T31" s="37" t="n">
        <f aca="false">IF(Q31=0,0,U31/(Q31*20))</f>
        <v>0.75</v>
      </c>
      <c r="U31" s="36" t="n">
        <f aca="false">SUMIF(CORRIDA!G:G,CLASSIF!P31,CORRIDA!H:H)+SUMIF(CORRIDA!I:I,CLASSIF!P31,CORRIDA!J:J)</f>
        <v>270</v>
      </c>
      <c r="V31" s="36" t="n">
        <f aca="false">SUMIF(WOs!G:G,CLASSIF!P31,WOs!H:H)+SUMIF(WOs!I:I,CLASSIF!P31,WOs!J:J)</f>
        <v>4</v>
      </c>
      <c r="W31" s="36" t="n">
        <f aca="false">SUMIF(TORNEIO!G:G,CLASSIF!P31,TORNEIO!H:H)+SUMIF(TORNEIO!I:I,CLASSIF!P31,TORNEIO!J:J)+SUMIF(TORNEIO!S:S,CLASSIF!P31,TORNEIO!T:T)</f>
        <v>0</v>
      </c>
      <c r="X31" s="36" t="n">
        <f aca="false">SUM(U31:V31)</f>
        <v>274</v>
      </c>
      <c r="Y31" s="36" t="n">
        <f aca="false">VLOOKUP(P31,STATS!$B$2:$DF$52,109,0)</f>
        <v>100</v>
      </c>
      <c r="Z31" s="38" t="n">
        <f aca="false">SUM(W31:Y31)+T31/1000+(100-O31)/1000000000</f>
        <v>374.000750071</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27</v>
      </c>
      <c r="O32" s="35" t="n">
        <v>30</v>
      </c>
      <c r="P32" s="36" t="s">
        <v>31</v>
      </c>
      <c r="Q32" s="36" t="n">
        <f aca="false">COUNTIF(CORRIDA!G:G,CLASSIF!P32)+COUNTIF(CORRIDA!I:I,CLASSIF!P32)</f>
        <v>4</v>
      </c>
      <c r="R32" s="36" t="n">
        <f aca="false">COUNTIF(CORRIDA!G:G,CLASSIF!$P32)</f>
        <v>4</v>
      </c>
      <c r="S32" s="36" t="n">
        <f aca="false">COUNTIF(CORRIDA!I:I,CLASSIF!P32)</f>
        <v>0</v>
      </c>
      <c r="T32" s="37" t="n">
        <f aca="false">IF(Q32=0,0,U32/(Q32*20))</f>
        <v>1.125</v>
      </c>
      <c r="U32" s="36" t="n">
        <f aca="false">SUMIF(CORRIDA!G:G,CLASSIF!P32,CORRIDA!H:H)+SUMIF(CORRIDA!I:I,CLASSIF!P32,CORRIDA!J:J)</f>
        <v>90</v>
      </c>
      <c r="V32" s="36" t="n">
        <f aca="false">SUMIF(WOs!G:G,CLASSIF!P32,WOs!H:H)+SUMIF(WOs!I:I,CLASSIF!P32,WOs!J:J)</f>
        <v>0</v>
      </c>
      <c r="W32" s="36" t="n">
        <f aca="false">SUMIF(TORNEIO!G:G,CLASSIF!P32,TORNEIO!H:H)+SUMIF(TORNEIO!I:I,CLASSIF!P32,TORNEIO!J:J)+SUMIF(TORNEIO!S:S,CLASSIF!P32,TORNEIO!T:T)</f>
        <v>0</v>
      </c>
      <c r="X32" s="36" t="n">
        <f aca="false">SUM(U32:V32)</f>
        <v>90</v>
      </c>
      <c r="Y32" s="36" t="n">
        <f aca="false">VLOOKUP(P32,STATS!$B$2:$DF$52,109,0)</f>
        <v>0</v>
      </c>
      <c r="Z32" s="38" t="n">
        <f aca="false">SUM(W32:Y32)+T32/1000+(100-O32)/1000000000</f>
        <v>90.00112507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15</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22</v>
      </c>
      <c r="O34" s="35" t="n">
        <v>32</v>
      </c>
      <c r="P34" s="36" t="s">
        <v>33</v>
      </c>
      <c r="Q34" s="36" t="n">
        <f aca="false">COUNTIF(CORRIDA!G:G,CLASSIF!P34)+COUNTIF(CORRIDA!I:I,CLASSIF!P34)</f>
        <v>9</v>
      </c>
      <c r="R34" s="36" t="n">
        <f aca="false">COUNTIF(CORRIDA!G:G,CLASSIF!$P34)</f>
        <v>7</v>
      </c>
      <c r="S34" s="36" t="n">
        <f aca="false">COUNTIF(CORRIDA!I:I,CLASSIF!P34)</f>
        <v>2</v>
      </c>
      <c r="T34" s="37" t="n">
        <f aca="false">IF(Q34=0,0,U34/(Q34*20))</f>
        <v>0.855555555555556</v>
      </c>
      <c r="U34" s="36" t="n">
        <f aca="false">SUMIF(CORRIDA!G:G,CLASSIF!P34,CORRIDA!H:H)+SUMIF(CORRIDA!I:I,CLASSIF!P34,CORRIDA!J:J)</f>
        <v>154</v>
      </c>
      <c r="V34" s="36" t="n">
        <f aca="false">SUMIF(WOs!G:G,CLASSIF!P34,WOs!H:H)+SUMIF(WOs!I:I,CLASSIF!P34,WOs!J:J)</f>
        <v>0</v>
      </c>
      <c r="W34" s="36" t="n">
        <f aca="false">SUMIF(TORNEIO!G:G,CLASSIF!P34,TORNEIO!H:H)+SUMIF(TORNEIO!I:I,CLASSIF!P34,TORNEIO!J:J)+SUMIF(TORNEIO!S:S,CLASSIF!P34,TORNEIO!T:T)</f>
        <v>0</v>
      </c>
      <c r="X34" s="36" t="n">
        <f aca="false">SUM(U34:V34)</f>
        <v>154</v>
      </c>
      <c r="Y34" s="36" t="n">
        <f aca="false">VLOOKUP(P34,STATS!$B$2:$DF$52,109,0)</f>
        <v>0</v>
      </c>
      <c r="Z34" s="38" t="n">
        <f aca="false">SUM(W34:Y34)+T34/1000+(100-O34)/1000000000</f>
        <v>154.000855623556</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7</v>
      </c>
      <c r="O36" s="35" t="n">
        <v>34</v>
      </c>
      <c r="P36" s="36" t="s">
        <v>35</v>
      </c>
      <c r="Q36" s="36" t="n">
        <f aca="false">COUNTIF(CORRIDA!G:G,CLASSIF!P36)+COUNTIF(CORRIDA!I:I,CLASSIF!P36)</f>
        <v>16</v>
      </c>
      <c r="R36" s="36" t="n">
        <f aca="false">COUNTIF(CORRIDA!G:G,CLASSIF!$P36)</f>
        <v>13</v>
      </c>
      <c r="S36" s="36" t="n">
        <f aca="false">COUNTIF(CORRIDA!I:I,CLASSIF!P36)</f>
        <v>3</v>
      </c>
      <c r="T36" s="37" t="n">
        <f aca="false">IF(Q36=0,0,U36/(Q36*20))</f>
        <v>0.903125</v>
      </c>
      <c r="U36" s="36" t="n">
        <f aca="false">SUMIF(CORRIDA!G:G,CLASSIF!P36,CORRIDA!H:H)+SUMIF(CORRIDA!I:I,CLASSIF!P36,CORRIDA!J:J)</f>
        <v>289</v>
      </c>
      <c r="V36" s="36" t="n">
        <f aca="false">SUMIF(WOs!G:G,CLASSIF!P36,WOs!H:H)+SUMIF(WOs!I:I,CLASSIF!P36,WOs!J:J)</f>
        <v>0</v>
      </c>
      <c r="W36" s="36" t="n">
        <f aca="false">SUMIF(TORNEIO!G:G,CLASSIF!P36,TORNEIO!H:H)+SUMIF(TORNEIO!I:I,CLASSIF!P36,TORNEIO!J:J)+SUMIF(TORNEIO!S:S,CLASSIF!P36,TORNEIO!T:T)</f>
        <v>0</v>
      </c>
      <c r="X36" s="36" t="n">
        <f aca="false">SUM(U36:V36)</f>
        <v>289</v>
      </c>
      <c r="Y36" s="36" t="n">
        <f aca="false">VLOOKUP(P36,STATS!$B$2:$DF$52,109,0)</f>
        <v>100</v>
      </c>
      <c r="Z36" s="38" t="n">
        <f aca="false">SUM(W36:Y36)+T36/1000+(100-O36)/1000000000</f>
        <v>389.000903191</v>
      </c>
      <c r="AA36" s="36"/>
    </row>
    <row r="37" customFormat="false" ht="12.75" hidden="false" customHeight="false" outlineLevel="0" collapsed="false">
      <c r="A37" s="49" t="n">
        <v>35</v>
      </c>
      <c r="B37" s="50" t="str">
        <f aca="false">VLOOKUP($A37,$N:$Z,P$1,0)</f>
        <v>Arthur Fontalvinho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9.9E-008</v>
      </c>
      <c r="J37" s="53"/>
      <c r="K37" s="35" t="n">
        <f aca="false">VLOOKUP($A37,$N:$Z,R$1,0)</f>
        <v>0</v>
      </c>
      <c r="L37" s="35" t="n">
        <f aca="false">VLOOKUP($A37,$N:$Z,S$1,0)</f>
        <v>0</v>
      </c>
      <c r="M37" s="36"/>
      <c r="N37" s="36" t="n">
        <f aca="false">RANK(Z37,Z:Z)</f>
        <v>14</v>
      </c>
      <c r="O37" s="35" t="n">
        <v>35</v>
      </c>
      <c r="P37" s="36" t="s">
        <v>36</v>
      </c>
      <c r="Q37" s="36" t="n">
        <f aca="false">COUNTIF(CORRIDA!G:G,CLASSIF!P37)+COUNTIF(CORRIDA!I:I,CLASSIF!P37)</f>
        <v>18</v>
      </c>
      <c r="R37" s="36" t="n">
        <f aca="false">COUNTIF(CORRIDA!G:G,CLASSIF!$P37)</f>
        <v>4</v>
      </c>
      <c r="S37" s="36" t="n">
        <f aca="false">COUNTIF(CORRIDA!I:I,CLASSIF!P37)</f>
        <v>14</v>
      </c>
      <c r="T37" s="37" t="n">
        <f aca="false">IF(Q37=0,0,U37/(Q37*20))</f>
        <v>0.461111111111111</v>
      </c>
      <c r="U37" s="36" t="n">
        <f aca="false">SUMIF(CORRIDA!G:G,CLASSIF!P37,CORRIDA!H:H)+SUMIF(CORRIDA!I:I,CLASSIF!P37,CORRIDA!J:J)</f>
        <v>166</v>
      </c>
      <c r="V37" s="36" t="n">
        <f aca="false">SUMIF(WOs!G:G,CLASSIF!P37,WOs!H:H)+SUMIF(WOs!I:I,CLASSIF!P37,WOs!J:J)</f>
        <v>0</v>
      </c>
      <c r="W37" s="36" t="n">
        <f aca="false">SUMIF(TORNEIO!G:G,CLASSIF!P37,TORNEIO!H:H)+SUMIF(TORNEIO!I:I,CLASSIF!P37,TORNEIO!J:J)+SUMIF(TORNEIO!S:S,CLASSIF!P37,TORNEIO!T:T)</f>
        <v>0</v>
      </c>
      <c r="X37" s="36" t="n">
        <f aca="false">SUM(U37:V37)</f>
        <v>166</v>
      </c>
      <c r="Y37" s="36" t="n">
        <f aca="false">VLOOKUP(P37,STATS!$B$2:$DF$52,109,0)</f>
        <v>100</v>
      </c>
      <c r="Z37" s="38" t="n">
        <f aca="false">SUM(W37:Y37)+T37/1000+(100-O37)/1000000000</f>
        <v>266.000461176111</v>
      </c>
      <c r="AA37" s="36"/>
    </row>
    <row r="38" customFormat="false" ht="12.75" hidden="false" customHeight="false" outlineLevel="0" collapsed="false">
      <c r="A38" s="49" t="n">
        <v>36</v>
      </c>
      <c r="B38" s="50" t="str">
        <f aca="false">VLOOKUP($A38,$N:$Z,P$1,0)</f>
        <v>Bérgamo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9.8E-008</v>
      </c>
      <c r="J38" s="53"/>
      <c r="K38" s="35" t="n">
        <f aca="false">VLOOKUP($A38,$N:$Z,R$1,0)</f>
        <v>0</v>
      </c>
      <c r="L38" s="35" t="n">
        <f aca="false">VLOOKUP($A38,$N:$Z,S$1,0)</f>
        <v>0</v>
      </c>
      <c r="M38" s="36"/>
      <c r="N38" s="36" t="n">
        <f aca="false">RANK(Z38,Z:Z)</f>
        <v>1</v>
      </c>
      <c r="O38" s="35" t="n">
        <v>36</v>
      </c>
      <c r="P38" s="36" t="s">
        <v>37</v>
      </c>
      <c r="Q38" s="36" t="n">
        <f aca="false">COUNTIF(CORRIDA!G:G,CLASSIF!P38)+COUNTIF(CORRIDA!I:I,CLASSIF!P38)</f>
        <v>27</v>
      </c>
      <c r="R38" s="36" t="n">
        <f aca="false">COUNTIF(CORRIDA!G:G,CLASSIF!$P38)</f>
        <v>23</v>
      </c>
      <c r="S38" s="36" t="n">
        <f aca="false">COUNTIF(CORRIDA!I:I,CLASSIF!P38)</f>
        <v>4</v>
      </c>
      <c r="T38" s="37" t="n">
        <f aca="false">IF(Q38=0,0,U38/(Q38*20))</f>
        <v>0.942592592592593</v>
      </c>
      <c r="U38" s="36" t="n">
        <f aca="false">SUMIF(CORRIDA!G:G,CLASSIF!P38,CORRIDA!H:H)+SUMIF(CORRIDA!I:I,CLASSIF!P38,CORRIDA!J:J)</f>
        <v>509</v>
      </c>
      <c r="V38" s="36" t="n">
        <f aca="false">SUMIF(WOs!G:G,CLASSIF!P38,WOs!H:H)+SUMIF(WOs!I:I,CLASSIF!P38,WOs!J:J)</f>
        <v>0</v>
      </c>
      <c r="W38" s="36" t="n">
        <f aca="false">SUMIF(TORNEIO!G:G,CLASSIF!P38,TORNEIO!H:H)+SUMIF(TORNEIO!I:I,CLASSIF!P38,TORNEIO!J:J)+SUMIF(TORNEIO!S:S,CLASSIF!P38,TORNEIO!T:T)</f>
        <v>80</v>
      </c>
      <c r="X38" s="36" t="n">
        <f aca="false">SUM(U38:V38)</f>
        <v>509</v>
      </c>
      <c r="Y38" s="36" t="n">
        <f aca="false">VLOOKUP(P38,STATS!$B$2:$DF$52,109,0)</f>
        <v>200</v>
      </c>
      <c r="Z38" s="38" t="n">
        <f aca="false">SUM(W38:Y38)+T38/1000+(100-O38)/1000000000</f>
        <v>789.000942656593</v>
      </c>
      <c r="AA38" s="36"/>
    </row>
    <row r="39" customFormat="false" ht="12.75" hidden="false" customHeight="false" outlineLevel="0" collapsed="false">
      <c r="A39" s="49" t="n">
        <v>37</v>
      </c>
      <c r="B39" s="50" t="str">
        <f aca="false">VLOOKUP($A39,$N:$Z,P$1,0)</f>
        <v>Bernardo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9.7E-008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Daniel Borges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Fiorito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8.4E-008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26</v>
      </c>
      <c r="R41" s="36" t="n">
        <f aca="false">COUNTIF(CORRIDA!G:G,CLASSIF!$P41)</f>
        <v>17</v>
      </c>
      <c r="S41" s="36" t="n">
        <f aca="false">COUNTIF(CORRIDA!I:I,CLASSIF!P41)</f>
        <v>9</v>
      </c>
      <c r="T41" s="37" t="n">
        <f aca="false">IF(Q41=0,0,U41/(Q41*20))</f>
        <v>0.773076923076923</v>
      </c>
      <c r="U41" s="36" t="n">
        <f aca="false">SUMIF(CORRIDA!G:G,CLASSIF!P41,CORRIDA!H:H)+SUMIF(CORRIDA!I:I,CLASSIF!P41,CORRIDA!J:J)</f>
        <v>402</v>
      </c>
      <c r="V41" s="36" t="n">
        <f aca="false">SUMIF(WOs!G:G,CLASSIF!P41,WOs!H:H)+SUMIF(WOs!I:I,CLASSIF!P41,WOs!J:J)</f>
        <v>25</v>
      </c>
      <c r="W41" s="36" t="n">
        <f aca="false">SUMIF(TORNEIO!G:G,CLASSIF!P41,TORNEIO!H:H)+SUMIF(TORNEIO!I:I,CLASSIF!P41,TORNEIO!J:J)+SUMIF(TORNEIO!S:S,CLASSIF!P41,TORNEIO!T:T)</f>
        <v>0</v>
      </c>
      <c r="X41" s="36" t="n">
        <f aca="false">SUM(U41:V41)</f>
        <v>427</v>
      </c>
      <c r="Y41" s="36" t="n">
        <f aca="false">VLOOKUP(P41,STATS!$B$2:$DF$52,109,0)</f>
        <v>150</v>
      </c>
      <c r="Z41" s="38" t="n">
        <f aca="false">SUM(W41:Y41)+T41/1000+(100-O41)/1000000000</f>
        <v>577.000773137923</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8</v>
      </c>
      <c r="R43" s="36" t="n">
        <f aca="false">COUNTIF(CORRIDA!G:G,CLASSIF!$P43)</f>
        <v>5</v>
      </c>
      <c r="S43" s="36" t="n">
        <f aca="false">COUNTIF(CORRIDA!I:I,CLASSIF!P43)</f>
        <v>3</v>
      </c>
      <c r="T43" s="37" t="n">
        <f aca="false">IF(Q43=0,0,U43/(Q43*20))</f>
        <v>0.75</v>
      </c>
      <c r="U43" s="36" t="n">
        <f aca="false">SUMIF(CORRIDA!G:G,CLASSIF!P43,CORRIDA!H:H)+SUMIF(CORRIDA!I:I,CLASSIF!P43,CORRIDA!J:J)</f>
        <v>120</v>
      </c>
      <c r="V43" s="36" t="n">
        <f aca="false">SUMIF(WOs!G:G,CLASSIF!P43,WOs!H:H)+SUMIF(WOs!I:I,CLASSIF!P43,WOs!J:J)</f>
        <v>25</v>
      </c>
      <c r="W43" s="36" t="n">
        <f aca="false">SUMIF(TORNEIO!G:G,CLASSIF!P43,TORNEIO!H:H)+SUMIF(TORNEIO!I:I,CLASSIF!P43,TORNEIO!J:J)+SUMIF(TORNEIO!S:S,CLASSIF!P43,TORNEIO!T:T)</f>
        <v>24</v>
      </c>
      <c r="X43" s="36" t="n">
        <f aca="false">SUM(U43:V43)</f>
        <v>145</v>
      </c>
      <c r="Y43" s="36" t="n">
        <f aca="false">VLOOKUP(P43,STATS!$B$2:$DF$52,109,0)</f>
        <v>0</v>
      </c>
      <c r="Z43" s="38" t="n">
        <f aca="false">SUM(W43:Y43)+T43/1000+(100-O43)/1000000000</f>
        <v>169.000750059</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23</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19</v>
      </c>
      <c r="O45" s="35" t="n">
        <v>43</v>
      </c>
      <c r="P45" s="36" t="s">
        <v>44</v>
      </c>
      <c r="Q45" s="36" t="n">
        <f aca="false">COUNTIF(CORRIDA!G:G,CLASSIF!P45)+COUNTIF(CORRIDA!I:I,CLASSIF!P45)</f>
        <v>13</v>
      </c>
      <c r="R45" s="36" t="n">
        <f aca="false">COUNTIF(CORRIDA!G:G,CLASSIF!$P45)</f>
        <v>7</v>
      </c>
      <c r="S45" s="36" t="n">
        <f aca="false">COUNTIF(CORRIDA!I:I,CLASSIF!P45)</f>
        <v>6</v>
      </c>
      <c r="T45" s="37" t="n">
        <f aca="false">IF(Q45=0,0,U45/(Q45*20))</f>
        <v>0.746153846153846</v>
      </c>
      <c r="U45" s="36" t="n">
        <f aca="false">SUMIF(CORRIDA!G:G,CLASSIF!P45,CORRIDA!H:H)+SUMIF(CORRIDA!I:I,CLASSIF!P45,CORRIDA!J:J)</f>
        <v>194</v>
      </c>
      <c r="V45" s="36" t="n">
        <f aca="false">SUMIF(WOs!G:G,CLASSIF!P45,WOs!H:H)+SUMIF(WOs!I:I,CLASSIF!P45,WOs!J:J)</f>
        <v>0</v>
      </c>
      <c r="W45" s="36" t="n">
        <f aca="false">SUMIF(TORNEIO!G:G,CLASSIF!P45,TORNEIO!H:H)+SUMIF(TORNEIO!I:I,CLASSIF!P45,TORNEIO!J:J)+SUMIF(TORNEIO!S:S,CLASSIF!P45,TORNEIO!T:T)</f>
        <v>0</v>
      </c>
      <c r="X45" s="36" t="n">
        <f aca="false">SUM(U45:V45)</f>
        <v>194</v>
      </c>
      <c r="Y45" s="36" t="n">
        <f aca="false">VLOOKUP(P45,STATS!$B$2:$DF$52,109,0)</f>
        <v>0</v>
      </c>
      <c r="Z45" s="38" t="n">
        <f aca="false">SUM(W45:Y45)+T45/1000+(100-O45)/1000000000</f>
        <v>194.000746210846</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28</v>
      </c>
      <c r="O47" s="35" t="n">
        <v>45</v>
      </c>
      <c r="P47" s="36" t="s">
        <v>46</v>
      </c>
      <c r="Q47" s="36" t="n">
        <f aca="false">COUNTIF(CORRIDA!G:G,CLASSIF!P47)+COUNTIF(CORRIDA!I:I,CLASSIF!P47)</f>
        <v>7</v>
      </c>
      <c r="R47" s="36" t="n">
        <f aca="false">COUNTIF(CORRIDA!G:G,CLASSIF!$P47)</f>
        <v>2</v>
      </c>
      <c r="S47" s="36" t="n">
        <f aca="false">COUNTIF(CORRIDA!I:I,CLASSIF!P47)</f>
        <v>5</v>
      </c>
      <c r="T47" s="37" t="n">
        <f aca="false">IF(Q47=0,0,U47/(Q47*20))</f>
        <v>0.564285714285714</v>
      </c>
      <c r="U47" s="36" t="n">
        <f aca="false">SUMIF(CORRIDA!G:G,CLASSIF!P47,CORRIDA!H:H)+SUMIF(CORRIDA!I:I,CLASSIF!P47,CORRIDA!J:J)</f>
        <v>79</v>
      </c>
      <c r="V47" s="36" t="n">
        <f aca="false">SUMIF(WOs!G:G,CLASSIF!P47,WOs!H:H)+SUMIF(WOs!I:I,CLASSIF!P47,WOs!J:J)</f>
        <v>0</v>
      </c>
      <c r="W47" s="36" t="n">
        <f aca="false">SUMIF(TORNEIO!G:G,CLASSIF!P47,TORNEIO!H:H)+SUMIF(TORNEIO!I:I,CLASSIF!P47,TORNEIO!J:J)+SUMIF(TORNEIO!S:S,CLASSIF!P47,TORNEIO!T:T)</f>
        <v>0</v>
      </c>
      <c r="X47" s="36" t="n">
        <f aca="false">SUM(U47:V47)</f>
        <v>79</v>
      </c>
      <c r="Y47" s="36" t="n">
        <f aca="false">VLOOKUP(P47,STATS!$B$2:$DF$52,109,0)</f>
        <v>0</v>
      </c>
      <c r="Z47" s="38" t="n">
        <f aca="false">SUM(W47:Y47)+T47/1000+(100-O47)/1000000000</f>
        <v>79.0005643407143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22</v>
      </c>
      <c r="R50" s="36" t="n">
        <f aca="false">COUNTIF(CORRIDA!G:G,CLASSIF!$P50)</f>
        <v>1</v>
      </c>
      <c r="S50" s="36" t="n">
        <f aca="false">COUNTIF(CORRIDA!I:I,CLASSIF!P50)</f>
        <v>21</v>
      </c>
      <c r="T50" s="37" t="n">
        <f aca="false">IF(Q50=0,0,U50/(Q50*20))</f>
        <v>0.265909090909091</v>
      </c>
      <c r="U50" s="36" t="n">
        <f aca="false">SUMIF(CORRIDA!G:G,CLASSIF!P50,CORRIDA!H:H)+SUMIF(CORRIDA!I:I,CLASSIF!P50,CORRIDA!J:J)</f>
        <v>117</v>
      </c>
      <c r="V50" s="36" t="n">
        <f aca="false">SUMIF(WOs!G:G,CLASSIF!P50,WOs!H:H)+SUMIF(WOs!I:I,CLASSIF!P50,WOs!J:J)</f>
        <v>0</v>
      </c>
      <c r="W50" s="36" t="n">
        <f aca="false">SUMIF(TORNEIO!G:G,CLASSIF!P50,TORNEIO!H:H)+SUMIF(TORNEIO!I:I,CLASSIF!P50,TORNEIO!J:J)+SUMIF(TORNEIO!S:S,CLASSIF!P50,TORNEIO!T:T)</f>
        <v>0</v>
      </c>
      <c r="X50" s="36" t="n">
        <f aca="false">SUM(U50:V50)</f>
        <v>117</v>
      </c>
      <c r="Y50" s="36" t="n">
        <f aca="false">VLOOKUP(P50,STATS!$B$2:$DF$52,109,0)</f>
        <v>150</v>
      </c>
      <c r="Z50" s="38" t="n">
        <f aca="false">SUM(W50:Y50)+T50/1000+(100-O50)/1000000000</f>
        <v>267.000265961091</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 activePane="bottomRight" state="frozen"/>
      <selection pane="topLeft" activeCell="A1" activeCellId="0" sqref="A1"/>
      <selection pane="topRight" activeCell="C1" activeCellId="0" sqref="C1"/>
      <selection pane="bottomLeft" activeCell="A24" activeCellId="0" sqref="A24"/>
      <selection pane="bottomRight" activeCell="DF41" activeCellId="0" sqref="DF41"/>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n">
        <f aca="false">IF($B6=BJ$2,"-",IF(COUNTIF(CORRIDA!$M:$M,$B6&amp;" d. "&amp;BJ$2)+COUNTIF(CORRIDA!$M:$M,BJ$2&amp;" d. "&amp;$B6)=0,"",COUNTIF(CORRIDA!$M:$M,$B6&amp;" d. "&amp;BJ$2)+COUNTIF(CORRIDA!$M:$M,BJ$2&amp;" d. "&amp;$B6)))</f>
        <v>1</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7</v>
      </c>
      <c r="DE6" s="77" t="n">
        <f aca="false">COUNTIF(BF6:DC6,"&gt;0")</f>
        <v>7</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1</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7</v>
      </c>
      <c r="FH6" s="80"/>
      <c r="FI6" s="73" t="str">
        <f aca="false">BE6</f>
        <v>Bruno</v>
      </c>
      <c r="FJ6" s="81" t="n">
        <f aca="false">COUNTIF(BF6:DC6,"&gt;0")</f>
        <v>7</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n">
        <f aca="false">IF($B7=F$2,"-",IF(COUNTIF(CORRIDA!$M:$M,$B7&amp;" d. "&amp;F$2)=0,"",COUNTIF(CORRIDA!$M:$M,$B7&amp;" d. "&amp;F$2)))</f>
        <v>1</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10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n">
        <f aca="false">IF($B7=BI$2,"-",IF(COUNTIF(CORRIDA!$M:$M,$B7&amp;" d. "&amp;BI$2)+COUNTIF(CORRIDA!$M:$M,BI$2&amp;" d. "&amp;$B7)=0,"",COUNTIF(CORRIDA!$M:$M,$B7&amp;" d. "&amp;BI$2)+COUNTIF(CORRIDA!$M:$M,BI$2&amp;" d. "&amp;$B7)))</f>
        <v>1</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13</v>
      </c>
      <c r="DE7" s="77" t="n">
        <f aca="false">COUNTIF(BF7:DC7,"&gt;0")</f>
        <v>10</v>
      </c>
      <c r="DF7" s="78" t="n">
        <f aca="false">IF(COUNTIF(BF7:DC7,"&gt;0")&lt;10,0,QUOTIENT(COUNTIF(BF7:DC7,"&gt;0"),5)*50)</f>
        <v>100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1</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10</v>
      </c>
      <c r="FH7" s="80"/>
      <c r="FI7" s="73" t="str">
        <f aca="false">BE7</f>
        <v>Caio</v>
      </c>
      <c r="FJ7" s="81" t="n">
        <f aca="false">COUNTIF(BF7:DC7,"&gt;0")</f>
        <v>10</v>
      </c>
      <c r="FK7" s="81" t="n">
        <f aca="false">AVERAGE(BF7:DC7)</f>
        <v>1.3</v>
      </c>
      <c r="FL7" s="81" t="n">
        <f aca="false">_xlfn.STDEV.P(BF7:DC7)</f>
        <v>0.458257569495584</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n">
        <f aca="false">IF($B9=AA$2,"-",IF(COUNTIF(CORRIDA!$M:$M,$B9&amp;" d. "&amp;AA$2)=0,"",COUNTIF(CORRIDA!$M:$M,$B9&amp;" d. "&amp;AA$2)))</f>
        <v>1</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9</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n">
        <f aca="false">IF($B9=CD$2,"-",IF(COUNTIF(CORRIDA!$M:$M,$B9&amp;" d. "&amp;CD$2)+COUNTIF(CORRIDA!$M:$M,CD$2&amp;" d. "&amp;$B9)=0,"",COUNTIF(CORRIDA!$M:$M,$B9&amp;" d. "&amp;CD$2)+COUNTIF(CORRIDA!$M:$M,CD$2&amp;" d. "&amp;$B9)))</f>
        <v>1</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3</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17</v>
      </c>
      <c r="DE9" s="77" t="n">
        <f aca="false">COUNTIF(BF9:DC9,"&gt;0")</f>
        <v>12</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1</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3</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16</v>
      </c>
      <c r="FH9" s="80"/>
      <c r="FI9" s="73" t="str">
        <f aca="false">BE9</f>
        <v>Costinha</v>
      </c>
      <c r="FJ9" s="81" t="n">
        <f aca="false">COUNTIF(BF9:DC9,"&gt;0")</f>
        <v>12</v>
      </c>
      <c r="FK9" s="81" t="n">
        <f aca="false">AVERAGE(BF9:DC9)</f>
        <v>1.41666666666667</v>
      </c>
      <c r="FL9" s="81" t="n">
        <f aca="false">_xlfn.STDEV.P(BF9:DC9)</f>
        <v>0.759202798262025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n">
        <f aca="false">IF($B13=AS$2,"-",IF(COUNTIF(CORRIDA!$M:$M,$B13&amp;" d. "&amp;AS$2)=0,"",COUNTIF(CORRIDA!$M:$M,$B13&amp;" d. "&amp;AS$2)))</f>
        <v>1</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10</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n">
        <f aca="false">IF($B13=CV$2,"-",IF(COUNTIF(CORRIDA!$M:$M,$B13&amp;" d. "&amp;CV$2)+COUNTIF(CORRIDA!$M:$M,CV$2&amp;" d. "&amp;$B13)=0,"",COUNTIF(CORRIDA!$M:$M,$B13&amp;" d. "&amp;CV$2)+COUNTIF(CORRIDA!$M:$M,CV$2&amp;" d. "&amp;$B13)))</f>
        <v>1</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19</v>
      </c>
      <c r="DE13" s="77" t="n">
        <f aca="false">COUNTIF(BF13:DC13,"&gt;0")</f>
        <v>14</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1</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17</v>
      </c>
      <c r="FH13" s="80"/>
      <c r="FI13" s="73" t="str">
        <f aca="false">BE13</f>
        <v>Duclerc</v>
      </c>
      <c r="FJ13" s="81" t="n">
        <f aca="false">COUNTIF(BF13:DC13,"&gt;0")</f>
        <v>14</v>
      </c>
      <c r="FK13" s="81" t="n">
        <f aca="false">AVERAGE(BF13:DC13)</f>
        <v>1.35714285714286</v>
      </c>
      <c r="FL13" s="81" t="n">
        <f aca="false">_xlfn.STDEV.P(BF13:DC13)</f>
        <v>0.610285981808395</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n">
        <f aca="false">IF($B14=Z$2,"-",IF(COUNTIF(CORRIDA!$M:$M,$B14&amp;" d. "&amp;Z$2)=0,"",COUNTIF(CORRIDA!$M:$M,$B14&amp;" d. "&amp;Z$2)))</f>
        <v>1</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5</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4</v>
      </c>
      <c r="AY14" s="82" t="str">
        <f aca="false">IF($B14=AY$2,"-",IF(COUNTIF(CORRIDA!$M:$M,$B14&amp;" d. "&amp;AY$2)=0,"",COUNTIF(CORRIDA!$M:$M,$B14&amp;" d. "&amp;AY$2)))</f>
        <v/>
      </c>
      <c r="AZ14" s="82" t="str">
        <f aca="false">IF($B14=AZ$2,"-",IF(COUNTIF(CORRIDA!$M:$M,$B14&amp;" d. "&amp;AZ$2)=0,"",COUNTIF(CORRIDA!$M:$M,$B14&amp;" d. "&amp;AZ$2)))</f>
        <v/>
      </c>
      <c r="BA14" s="75" t="n">
        <f aca="false">SUM(C14:AZ14)</f>
        <v>22</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n">
        <f aca="false">IF($B14=CC$2,"-",IF(COUNTIF(CORRIDA!$M:$M,$B14&amp;" d. "&amp;CC$2)+COUNTIF(CORRIDA!$M:$M,CC$2&amp;" d. "&amp;$B14)=0,"",COUNTIF(CORRIDA!$M:$M,$B14&amp;" d. "&amp;CC$2)+COUNTIF(CORRIDA!$M:$M,CC$2&amp;" d. "&amp;$B14)))</f>
        <v>1</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6</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4</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39</v>
      </c>
      <c r="DE14" s="77" t="n">
        <f aca="false">COUNTIF(BF14:DC14,"&gt;0")</f>
        <v>21</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1</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6</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4</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31</v>
      </c>
      <c r="FH14" s="80"/>
      <c r="FI14" s="73" t="str">
        <f aca="false">BE14</f>
        <v>Elias</v>
      </c>
      <c r="FJ14" s="81" t="n">
        <f aca="false">COUNTIF(BF14:DC14,"&gt;0")</f>
        <v>21</v>
      </c>
      <c r="FK14" s="81" t="n">
        <f aca="false">AVERAGE(BF14:DC14)</f>
        <v>1.85714285714286</v>
      </c>
      <c r="FL14" s="81" t="n">
        <f aca="false">_xlfn.STDEV.P(BF14:DC14)</f>
        <v>1.35526185435788</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n">
        <f aca="false">IF($B16=CO$2,"-",IF(COUNTIF(CORRIDA!$M:$M,$B16&amp;" d. "&amp;CO$2)+COUNTIF(CORRIDA!$M:$M,CO$2&amp;" d. "&amp;$B16)=0,"",COUNTIF(CORRIDA!$M:$M,$B16&amp;" d. "&amp;CO$2)+COUNTIF(CORRIDA!$M:$M,CO$2&amp;" d. "&amp;$B16)))</f>
        <v>1</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8</v>
      </c>
      <c r="DE16" s="77" t="n">
        <f aca="false">COUNTIF(BF16:DC16,"&gt;0")</f>
        <v>8</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1</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7</v>
      </c>
      <c r="FH16" s="80"/>
      <c r="FI16" s="73" t="str">
        <f aca="false">BE16</f>
        <v>Felipe</v>
      </c>
      <c r="FJ16" s="81" t="n">
        <f aca="false">COUNTIF(BF16:DC16,"&gt;0")</f>
        <v>8</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20</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18</v>
      </c>
      <c r="FH19" s="80"/>
      <c r="FI19" s="73" t="str">
        <f aca="false">BE19</f>
        <v>Flavio</v>
      </c>
      <c r="FJ19" s="81" t="n">
        <f aca="false">COUNTIF(BF19:DC19,"&gt;0")</f>
        <v>13</v>
      </c>
      <c r="FK19" s="81" t="n">
        <f aca="false">AVERAGE(BF19:DC19)</f>
        <v>1.53846153846154</v>
      </c>
      <c r="FL19" s="81" t="n">
        <f aca="false">_xlfn.STDEV.P(BF19:DC19)</f>
        <v>0.634323942402717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n">
        <f aca="false">IF($B24=CH$2,"-",IF(COUNTIF(CORRIDA!$M:$M,$B24&amp;" d. "&amp;CH$2)+COUNTIF(CORRIDA!$M:$M,CH$2&amp;" d. "&amp;$B24)=0,"",COUNTIF(CORRIDA!$M:$M,$B24&amp;" d. "&amp;CH$2)+COUNTIF(CORRIDA!$M:$M,CH$2&amp;" d. "&amp;$B24)))</f>
        <v>1</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3</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12</v>
      </c>
      <c r="DE24" s="77" t="n">
        <f aca="false">COUNTIF(BF24:DC24,"&gt;0")</f>
        <v>9</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1</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3</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9</v>
      </c>
      <c r="FH24" s="80"/>
      <c r="FI24" s="73" t="str">
        <f aca="false">BE24</f>
        <v>Ivan</v>
      </c>
      <c r="FJ24" s="81" t="n">
        <f aca="false">COUNTIF(BF24:DC24,"&gt;0")</f>
        <v>9</v>
      </c>
      <c r="FK24" s="81" t="n">
        <f aca="false">AVERAGE(BF24:DC24)</f>
        <v>1.33333333333333</v>
      </c>
      <c r="FL24" s="81" t="n">
        <f aca="false">_xlfn.STDEV.P(BF24:DC24)</f>
        <v>0.666666666666667</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3</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26</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3</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21</v>
      </c>
      <c r="FH25" s="80"/>
      <c r="FI25" s="73" t="str">
        <f aca="false">BE25</f>
        <v>Juan</v>
      </c>
      <c r="FJ25" s="81" t="n">
        <f aca="false">COUNTIF(BF25:DC25,"&gt;0")</f>
        <v>17</v>
      </c>
      <c r="FK25" s="81" t="n">
        <f aca="false">AVERAGE(BF25:DC25)</f>
        <v>1.52941176470588</v>
      </c>
      <c r="FL25" s="81" t="n">
        <f aca="false">_xlfn.STDEV.P(BF25:DC25)</f>
        <v>0.848365005991527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n">
        <f aca="false">IF($B26=BQ$2,"-",IF(COUNTIF(CORRIDA!$M:$M,$B26&amp;" d. "&amp;BQ$2)+COUNTIF(CORRIDA!$M:$M,BQ$2&amp;" d. "&amp;$B26)=0,"",COUNTIF(CORRIDA!$M:$M,$B26&amp;" d. "&amp;BQ$2)+COUNTIF(CORRIDA!$M:$M,BQ$2&amp;" d. "&amp;$B26)))</f>
        <v>1</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n">
        <f aca="false">IF($B26=CT$2,"-",IF(COUNTIF(CORRIDA!$M:$M,$B26&amp;" d. "&amp;CT$2)+COUNTIF(CORRIDA!$M:$M,CT$2&amp;" d. "&amp;$B26)=0,"",COUNTIF(CORRIDA!$M:$M,$B26&amp;" d. "&amp;CT$2)+COUNTIF(CORRIDA!$M:$M,CT$2&amp;" d. "&amp;$B26)))</f>
        <v>1</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17</v>
      </c>
      <c r="DE26" s="77" t="n">
        <f aca="false">COUNTIF(BF26:DC26,"&gt;0")</f>
        <v>13</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1</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1</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12</v>
      </c>
      <c r="FH26" s="80"/>
      <c r="FI26" s="73" t="str">
        <f aca="false">BE26</f>
        <v>Luis Carlos</v>
      </c>
      <c r="FJ26" s="81" t="n">
        <f aca="false">COUNTIF(BF26:DC26,"&gt;0")</f>
        <v>13</v>
      </c>
      <c r="FK26" s="81" t="n">
        <f aca="false">AVERAGE(BF26:DC26)</f>
        <v>1.30769230769231</v>
      </c>
      <c r="FL26" s="81" t="n">
        <f aca="false">_xlfn.STDEV.P(BF26:DC26)</f>
        <v>0.605692913385524</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n">
        <f aca="false">IF($B27=BL$2,"-",IF(COUNTIF(CORRIDA!$M:$M,$B27&amp;" d. "&amp;BL$2)+COUNTIF(CORRIDA!$M:$M,BL$2&amp;" d. "&amp;$B27)=0,"",COUNTIF(CORRIDA!$M:$M,$B27&amp;" d. "&amp;BL$2)+COUNTIF(CORRIDA!$M:$M,BL$2&amp;" d. "&amp;$B27)))</f>
        <v>1</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16</v>
      </c>
      <c r="DE27" s="77" t="n">
        <f aca="false">COUNTIF(BF27:DC27,"&gt;0")</f>
        <v>13</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1</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13</v>
      </c>
      <c r="FH27" s="80"/>
      <c r="FI27" s="73" t="str">
        <f aca="false">BE27</f>
        <v>Luiz Henrique</v>
      </c>
      <c r="FJ27" s="81" t="n">
        <f aca="false">COUNTIF(BF27:DC27,"&gt;0")</f>
        <v>13</v>
      </c>
      <c r="FK27" s="81" t="n">
        <f aca="false">AVERAGE(BF27:DC27)</f>
        <v>1.23076923076923</v>
      </c>
      <c r="FL27" s="81" t="n">
        <f aca="false">_xlfn.STDEV.P(BF27:DC27)</f>
        <v>0.421325044234743</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n">
        <f aca="false">IF($B28=AH$2,"-",IF(COUNTIF(CORRIDA!$M:$M,$B28&amp;" d. "&amp;AH$2)=0,"",COUNTIF(CORRIDA!$M:$M,$B28&amp;" d. "&amp;AH$2)))</f>
        <v>1</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14</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n">
        <f aca="false">IF($B28=CI$2,"-",IF(COUNTIF(CORRIDA!$M:$M,$B28&amp;" d. "&amp;CI$2)+COUNTIF(CORRIDA!$M:$M,CI$2&amp;" d. "&amp;$B28)=0,"",COUNTIF(CORRIDA!$M:$M,$B28&amp;" d. "&amp;CI$2)+COUNTIF(CORRIDA!$M:$M,CI$2&amp;" d. "&amp;$B28)))</f>
        <v>1</v>
      </c>
      <c r="CJ28" s="83" t="n">
        <f aca="false">IF($B28=CJ$2,"-",IF(COUNTIF(CORRIDA!$M:$M,$B28&amp;" d. "&amp;CJ$2)+COUNTIF(CORRIDA!$M:$M,CJ$2&amp;" d. "&amp;$B28)=0,"",COUNTIF(CORRIDA!$M:$M,$B28&amp;" d. "&amp;CJ$2)+COUNTIF(CORRIDA!$M:$M,CJ$2&amp;" d. "&amp;$B28)))</f>
        <v>1</v>
      </c>
      <c r="CK28" s="83" t="n">
        <f aca="false">IF($B28=CK$2,"-",IF(COUNTIF(CORRIDA!$M:$M,$B28&amp;" d. "&amp;CK$2)+COUNTIF(CORRIDA!$M:$M,CK$2&amp;" d. "&amp;$B28)=0,"",COUNTIF(CORRIDA!$M:$M,$B28&amp;" d. "&amp;CK$2)+COUNTIF(CORRIDA!$M:$M,CK$2&amp;" d. "&amp;$B28)))</f>
        <v>1</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16</v>
      </c>
      <c r="DE28" s="77" t="n">
        <f aca="false">COUNTIF(BF28:DC28,"&gt;0")</f>
        <v>15</v>
      </c>
      <c r="DF28" s="78" t="n">
        <f aca="false">IF(COUNTIF(BF28:DC28,"&gt;0")&lt;10,0,QUOTIENT(COUNTIF(BF28:DC28,"&gt;0"),5)*50)</f>
        <v>150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1</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1</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15</v>
      </c>
      <c r="FH28" s="80"/>
      <c r="FI28" s="73" t="str">
        <f aca="false">BE28</f>
        <v>Magritto</v>
      </c>
      <c r="FJ28" s="81" t="n">
        <f aca="false">COUNTIF(BF28:DC28,"&gt;0")</f>
        <v>15</v>
      </c>
      <c r="FK28" s="81" t="n">
        <f aca="false">AVERAGE(BF28:DC28)</f>
        <v>1.06666666666667</v>
      </c>
      <c r="FL28" s="81" t="n">
        <f aca="false">_xlfn.STDEV.P(BF28:DC28)</f>
        <v>0.249443825784929</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n">
        <f aca="false">IF($B31=X$2,"-",IF(COUNTIF(CORRIDA!$M:$M,$B31&amp;" d. "&amp;X$2)=0,"",COUNTIF(CORRIDA!$M:$M,$B31&amp;" d. "&amp;X$2)))</f>
        <v>1</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11</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n">
        <f aca="false">IF($B31=CA$2,"-",IF(COUNTIF(CORRIDA!$M:$M,$B31&amp;" d. "&amp;CA$2)+COUNTIF(CORRIDA!$M:$M,CA$2&amp;" d. "&amp;$B31)=0,"",COUNTIF(CORRIDA!$M:$M,$B31&amp;" d. "&amp;CA$2)+COUNTIF(CORRIDA!$M:$M,CA$2&amp;" d. "&amp;$B31)))</f>
        <v>1</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18</v>
      </c>
      <c r="DE31" s="77" t="n">
        <f aca="false">COUNTIF(BF31:DC31,"&gt;0")</f>
        <v>14</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1</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16</v>
      </c>
      <c r="FH31" s="80"/>
      <c r="FI31" s="73" t="str">
        <f aca="false">BE31</f>
        <v>Oswald</v>
      </c>
      <c r="FJ31" s="81" t="n">
        <f aca="false">COUNTIF(BF31:DC31,"&gt;0")</f>
        <v>14</v>
      </c>
      <c r="FK31" s="81" t="n">
        <f aca="false">AVERAGE(BF31:DC31)</f>
        <v>1.28571428571429</v>
      </c>
      <c r="FL31" s="81" t="n">
        <f aca="false">_xlfn.STDEV.P(BF31:DC31)</f>
        <v>0.589015089373951</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n">
        <f aca="false">IF($B32=AB$2,"-",IF(COUNTIF(CORRIDA!$M:$M,$B32&amp;" d. "&amp;AB$2)=0,"",COUNTIF(CORRIDA!$M:$M,$B32&amp;" d. "&amp;AB$2)))</f>
        <v>1</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4</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n">
        <f aca="false">IF($B32=CE$2,"-",IF(COUNTIF(CORRIDA!$M:$M,$B32&amp;" d. "&amp;CE$2)+COUNTIF(CORRIDA!$M:$M,CE$2&amp;" d. "&amp;$B32)=0,"",COUNTIF(CORRIDA!$M:$M,$B32&amp;" d. "&amp;CE$2)+COUNTIF(CORRIDA!$M:$M,CE$2&amp;" d. "&amp;$B32)))</f>
        <v>1</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4</v>
      </c>
      <c r="DE32" s="77" t="n">
        <f aca="false">COUNTIF(BF32:DC32,"&gt;0")</f>
        <v>3</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1</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4</v>
      </c>
      <c r="FH32" s="80"/>
      <c r="FI32" s="73" t="str">
        <f aca="false">BE32</f>
        <v>Palazzo</v>
      </c>
      <c r="FJ32" s="81" t="n">
        <f aca="false">COUNTIF(BF32:DC32,"&gt;0")</f>
        <v>3</v>
      </c>
      <c r="FK32" s="81" t="n">
        <f aca="false">AVERAGE(BF32:DC32)</f>
        <v>1.33333333333333</v>
      </c>
      <c r="FL32" s="81" t="n">
        <f aca="false">_xlfn.STDEV.P(BF32:DC32)</f>
        <v>0.471404520791032</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n">
        <f aca="false">IF($B34=CE$2,"-",IF(COUNTIF(CORRIDA!$M:$M,$B34&amp;" d. "&amp;CE$2)+COUNTIF(CORRIDA!$M:$M,CE$2&amp;" d. "&amp;$B34)=0,"",COUNTIF(CORRIDA!$M:$M,$B34&amp;" d. "&amp;CE$2)+COUNTIF(CORRIDA!$M:$M,CE$2&amp;" d. "&amp;$B34)))</f>
        <v>1</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9</v>
      </c>
      <c r="DE34" s="77" t="n">
        <f aca="false">COUNTIF(BF34:DC34,"&gt;0")</f>
        <v>7</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1</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9</v>
      </c>
      <c r="FH34" s="80"/>
      <c r="FI34" s="73" t="str">
        <f aca="false">BE34</f>
        <v>Pedrão</v>
      </c>
      <c r="FJ34" s="81" t="n">
        <f aca="false">COUNTIF(BF34:DC34,"&gt;0")</f>
        <v>7</v>
      </c>
      <c r="FK34" s="81" t="n">
        <f aca="false">AVERAGE(BF34:DC34)</f>
        <v>1.28571428571429</v>
      </c>
      <c r="FL34" s="81" t="n">
        <f aca="false">_xlfn.STDEV.P(BF34:DC34)</f>
        <v>0.451753951452626</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3</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13</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3</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16</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3</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14</v>
      </c>
      <c r="FH36" s="80"/>
      <c r="FI36" s="73" t="str">
        <f aca="false">BE36</f>
        <v>Persio</v>
      </c>
      <c r="FJ36" s="81" t="n">
        <f aca="false">COUNTIF(BF36:DC36,"&gt;0")</f>
        <v>10</v>
      </c>
      <c r="FK36" s="81" t="n">
        <f aca="false">AVERAGE(BF36:DC36)</f>
        <v>1.6</v>
      </c>
      <c r="FL36" s="81" t="n">
        <f aca="false">_xlfn.STDEV.P(BF36:DC36)</f>
        <v>0.66332495807108</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6</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18</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6</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16</v>
      </c>
      <c r="FH37" s="80"/>
      <c r="FI37" s="73" t="str">
        <f aca="false">BE37</f>
        <v>Pinga</v>
      </c>
      <c r="FJ37" s="81" t="n">
        <f aca="false">COUNTIF(BF37:DC37,"&gt;0")</f>
        <v>12</v>
      </c>
      <c r="FK37" s="81" t="n">
        <f aca="false">AVERAGE(BF37:DC37)</f>
        <v>1.5</v>
      </c>
      <c r="FL37" s="81" t="n">
        <f aca="false">_xlfn.STDEV.P(BF37:DC37)</f>
        <v>1.38443731048635</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3</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n">
        <f aca="false">IF($B38=P$2,"-",IF(COUNTIF(CORRIDA!$M:$M,$B38&amp;" d. "&amp;P$2)=0,"",COUNTIF(CORRIDA!$M:$M,$B38&amp;" d. "&amp;P$2)))</f>
        <v>1</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3</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23</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3</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n">
        <f aca="false">IF($B38=BS$2,"-",IF(COUNTIF(CORRIDA!$M:$M,$B38&amp;" d. "&amp;BS$2)+COUNTIF(CORRIDA!$M:$M,BS$2&amp;" d. "&amp;$B38)=0,"",COUNTIF(CORRIDA!$M:$M,$B38&amp;" d. "&amp;BS$2)+COUNTIF(CORRIDA!$M:$M,BS$2&amp;" d. "&amp;$B38)))</f>
        <v>1</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3</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27</v>
      </c>
      <c r="DE38" s="77" t="n">
        <f aca="false">COUNTIF(BF38:DC38,"&gt;0")</f>
        <v>22</v>
      </c>
      <c r="DF38" s="78" t="n">
        <f aca="false">IF(COUNTIF(BF38:DC38,"&gt;0")&lt;10,0,QUOTIENT(COUNTIF(BF38:DC38,"&gt;0"),5)*50)</f>
        <v>200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3</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1</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3</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21</v>
      </c>
      <c r="FH38" s="80"/>
      <c r="FI38" s="73" t="str">
        <f aca="false">BE38</f>
        <v>Pitch</v>
      </c>
      <c r="FJ38" s="81" t="n">
        <f aca="false">COUNTIF(BF38:DC38,"&gt;0")</f>
        <v>22</v>
      </c>
      <c r="FK38" s="81" t="n">
        <f aca="false">AVERAGE(BF38:DC38)</f>
        <v>1.22727272727273</v>
      </c>
      <c r="FL38" s="81" t="n">
        <f aca="false">_xlfn.STDEV.P(BF38:DC38)</f>
        <v>0.597861201725723</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3</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26</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3</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1.52941176470588</v>
      </c>
      <c r="FL41" s="81" t="n">
        <f aca="false">_xlfn.STDEV.P(BF41:DC41)</f>
        <v>0.775935644604289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n">
        <f aca="false">IF($B43=Z$2,"-",IF(COUNTIF(CORRIDA!$M:$M,$B43&amp;" d. "&amp;Z$2)=0,"",COUNTIF(CORRIDA!$M:$M,$B43&amp;" d. "&amp;Z$2)))</f>
        <v>1</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5</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n">
        <f aca="false">IF($B43=CC$2,"-",IF(COUNTIF(CORRIDA!$M:$M,$B43&amp;" d. "&amp;CC$2)+COUNTIF(CORRIDA!$M:$M,CC$2&amp;" d. "&amp;$B43)=0,"",COUNTIF(CORRIDA!$M:$M,$B43&amp;" d. "&amp;CC$2)+COUNTIF(CORRIDA!$M:$M,CC$2&amp;" d. "&amp;$B43)))</f>
        <v>1</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8</v>
      </c>
      <c r="DE43" s="77" t="n">
        <f aca="false">COUNTIF(BF43:DC43,"&gt;0")</f>
        <v>7</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1</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7</v>
      </c>
      <c r="FH43" s="80"/>
      <c r="FI43" s="73" t="str">
        <f aca="false">BE43</f>
        <v>Salgado</v>
      </c>
      <c r="FJ43" s="81" t="n">
        <f aca="false">COUNTIF(BF43:DC43,"&gt;0")</f>
        <v>7</v>
      </c>
      <c r="FK43" s="81" t="n">
        <f aca="false">AVERAGE(BF43:DC43)</f>
        <v>1.14285714285714</v>
      </c>
      <c r="FL43" s="81" t="n">
        <f aca="false">_xlfn.STDEV.P(BF43:DC43)</f>
        <v>0.349927106111883</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n">
        <f aca="false">IF($B45=AO$2,"-",IF(COUNTIF(CORRIDA!$M:$M,$B45&amp;" d. "&amp;AO$2)=0,"",COUNTIF(CORRIDA!$M:$M,$B45&amp;" d. "&amp;AO$2)))</f>
        <v>1</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7</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n">
        <f aca="false">IF($B45=BP$2,"-",IF(COUNTIF(CORRIDA!$M:$M,$B45&amp;" d. "&amp;BP$2)+COUNTIF(CORRIDA!$M:$M,BP$2&amp;" d. "&amp;$B45)=0,"",COUNTIF(CORRIDA!$M:$M,$B45&amp;" d. "&amp;BP$2)+COUNTIF(CORRIDA!$M:$M,BP$2&amp;" d. "&amp;$B45)))</f>
        <v>1</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3</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13</v>
      </c>
      <c r="DE45" s="77" t="n">
        <f aca="false">COUNTIF(BF45:DC45,"&gt;0")</f>
        <v>7</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1</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3</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13</v>
      </c>
      <c r="FH45" s="80"/>
      <c r="FI45" s="73" t="str">
        <f aca="false">BE45</f>
        <v>Rubens</v>
      </c>
      <c r="FJ45" s="81" t="n">
        <f aca="false">COUNTIF(BF45:DC45,"&gt;0")</f>
        <v>7</v>
      </c>
      <c r="FK45" s="81" t="n">
        <f aca="false">AVERAGE(BF45:DC45)</f>
        <v>1.85714285714286</v>
      </c>
      <c r="FL45" s="81" t="n">
        <f aca="false">_xlfn.STDEV.P(BF45:DC45)</f>
        <v>0.832993127835043</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7</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5</v>
      </c>
      <c r="FH47" s="80"/>
      <c r="FI47" s="73" t="str">
        <f aca="false">BE47</f>
        <v>Andre Bruni</v>
      </c>
      <c r="FJ47" s="81" t="n">
        <f aca="false">COUNTIF(BF47:DC47,"&gt;0")</f>
        <v>5</v>
      </c>
      <c r="FK47" s="81" t="n">
        <f aca="false">AVERAGE(BF47:DC47)</f>
        <v>1.4</v>
      </c>
      <c r="FL47" s="81" t="n">
        <f aca="false">_xlfn.STDEV.P(BF47:DC47)</f>
        <v>0.489897948556636</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4</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22</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4</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18</v>
      </c>
      <c r="FH50" s="80"/>
      <c r="FI50" s="73" t="str">
        <f aca="false">BE50</f>
        <v>Xuru</v>
      </c>
      <c r="FJ50" s="81" t="n">
        <f aca="false">COUNTIF(BF50:DC50,"&gt;0")</f>
        <v>16</v>
      </c>
      <c r="FK50" s="81" t="n">
        <f aca="false">AVERAGE(BF50:DC50)</f>
        <v>1.375</v>
      </c>
      <c r="FL50" s="81" t="n">
        <f aca="false">_xlfn.STDEV.P(BF50:DC50)</f>
        <v>0.7806247497998</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5</v>
      </c>
      <c r="G53" s="75" t="n">
        <f aca="false">SUM(G3:G52)</f>
        <v>3</v>
      </c>
      <c r="H53" s="75" t="n">
        <f aca="false">SUM(H3:H52)</f>
        <v>3</v>
      </c>
      <c r="I53" s="75" t="n">
        <f aca="false">SUM(I3:I52)</f>
        <v>8</v>
      </c>
      <c r="J53" s="75" t="n">
        <f aca="false">SUM(J3:J52)</f>
        <v>0</v>
      </c>
      <c r="K53" s="75" t="n">
        <f aca="false">SUM(K3:K52)</f>
        <v>1</v>
      </c>
      <c r="L53" s="75" t="n">
        <f aca="false">SUM(L3:L52)</f>
        <v>1</v>
      </c>
      <c r="M53" s="75" t="n">
        <f aca="false">SUM(M3:M52)</f>
        <v>9</v>
      </c>
      <c r="N53" s="75" t="n">
        <f aca="false">SUM(N3:N52)</f>
        <v>17</v>
      </c>
      <c r="O53" s="75" t="n">
        <f aca="false">SUM(O3:O52)</f>
        <v>2</v>
      </c>
      <c r="P53" s="75" t="n">
        <f aca="false">SUM(P3:P52)</f>
        <v>3</v>
      </c>
      <c r="Q53" s="75" t="n">
        <f aca="false">SUM(Q3:Q52)</f>
        <v>3</v>
      </c>
      <c r="R53" s="75" t="n">
        <f aca="false">SUM(R3:R52)</f>
        <v>0</v>
      </c>
      <c r="S53" s="75" t="n">
        <f aca="false">SUM(S3:S52)</f>
        <v>13</v>
      </c>
      <c r="T53" s="75" t="n">
        <f aca="false">SUM(T3:T52)</f>
        <v>1</v>
      </c>
      <c r="U53" s="75" t="n">
        <f aca="false">SUM(U3:U52)</f>
        <v>1</v>
      </c>
      <c r="V53" s="75" t="n">
        <f aca="false">SUM(V3:V52)</f>
        <v>0</v>
      </c>
      <c r="W53" s="75" t="n">
        <f aca="false">SUM(W3:W52)</f>
        <v>0</v>
      </c>
      <c r="X53" s="75" t="n">
        <f aca="false">SUM(X3:X52)</f>
        <v>7</v>
      </c>
      <c r="Y53" s="75" t="n">
        <f aca="false">SUM(Y3:Y52)</f>
        <v>24</v>
      </c>
      <c r="Z53" s="75" t="n">
        <f aca="false">SUM(Z3:Z52)</f>
        <v>14</v>
      </c>
      <c r="AA53" s="75" t="n">
        <f aca="false">SUM(AA3:AA52)</f>
        <v>5</v>
      </c>
      <c r="AB53" s="75" t="n">
        <f aca="false">SUM(AB3:AB52)</f>
        <v>2</v>
      </c>
      <c r="AC53" s="75" t="n">
        <f aca="false">SUM(AC3:AC52)</f>
        <v>0</v>
      </c>
      <c r="AD53" s="75" t="n">
        <f aca="false">SUM(AD3:AD52)</f>
        <v>0</v>
      </c>
      <c r="AE53" s="75" t="n">
        <f aca="false">SUM(AE3:AE52)</f>
        <v>7</v>
      </c>
      <c r="AF53" s="75" t="n">
        <f aca="false">SUM(AF3:AF52)</f>
        <v>0</v>
      </c>
      <c r="AG53" s="75" t="n">
        <f aca="false">SUM(AG3:AG52)</f>
        <v>6</v>
      </c>
      <c r="AH53" s="75" t="n">
        <f aca="false">SUM(AH3:AH52)</f>
        <v>2</v>
      </c>
      <c r="AI53" s="75" t="n">
        <f aca="false">SUM(AI3:AI52)</f>
        <v>0</v>
      </c>
      <c r="AJ53" s="75" t="n">
        <f aca="false">SUM(AJ3:AJ52)</f>
        <v>3</v>
      </c>
      <c r="AK53" s="75" t="n">
        <f aca="false">SUM(AK3:AK52)</f>
        <v>14</v>
      </c>
      <c r="AL53" s="75" t="n">
        <f aca="false">SUM(AL3:AL52)</f>
        <v>4</v>
      </c>
      <c r="AM53" s="75" t="n">
        <f aca="false">SUM(AM3:AM52)</f>
        <v>0</v>
      </c>
      <c r="AN53" s="75" t="n">
        <f aca="false">SUM(AN3:AN52)</f>
        <v>0</v>
      </c>
      <c r="AO53" s="75" t="n">
        <f aca="false">SUM(AO3:AO52)</f>
        <v>9</v>
      </c>
      <c r="AP53" s="75" t="n">
        <f aca="false">SUM(AP3:AP52)</f>
        <v>0</v>
      </c>
      <c r="AQ53" s="75" t="n">
        <f aca="false">SUM(AQ3:AQ52)</f>
        <v>3</v>
      </c>
      <c r="AR53" s="75" t="n">
        <f aca="false">SUM(AR3:AR52)</f>
        <v>6</v>
      </c>
      <c r="AS53" s="75" t="n">
        <f aca="false">SUM(AS3:AS52)</f>
        <v>6</v>
      </c>
      <c r="AT53" s="75" t="n">
        <f aca="false">SUM(AT3:AT52)</f>
        <v>0</v>
      </c>
      <c r="AU53" s="75" t="n">
        <f aca="false">SUM(AU3:AU52)</f>
        <v>5</v>
      </c>
      <c r="AV53" s="75" t="n">
        <f aca="false">SUM(AV3:AV52)</f>
        <v>0</v>
      </c>
      <c r="AW53" s="75" t="n">
        <f aca="false">SUM(AW3:AW52)</f>
        <v>5</v>
      </c>
      <c r="AX53" s="75" t="n">
        <f aca="false">SUM(AX3:AX52)</f>
        <v>21</v>
      </c>
      <c r="AY53" s="75" t="n">
        <f aca="false">SUM(AY3:AY52)</f>
        <v>5</v>
      </c>
      <c r="AZ53" s="75" t="n">
        <f aca="false">SUM(AZ3:AZ52)</f>
        <v>0</v>
      </c>
      <c r="BA53" s="75" t="n">
        <f aca="false">SUM(BA3:BA52)</f>
        <v>218</v>
      </c>
      <c r="BE53" s="84" t="s">
        <v>78</v>
      </c>
      <c r="BF53" s="75" t="n">
        <f aca="false">SUM(BF3:BF52)</f>
        <v>0</v>
      </c>
      <c r="BG53" s="75" t="n">
        <f aca="false">SUM(BG3:BG52)</f>
        <v>0</v>
      </c>
      <c r="BH53" s="75" t="n">
        <f aca="false">SUM(BH3:BH52)</f>
        <v>0</v>
      </c>
      <c r="BI53" s="75" t="n">
        <f aca="false">SUM(BI3:BI52)</f>
        <v>7</v>
      </c>
      <c r="BJ53" s="75" t="n">
        <f aca="false">SUM(BJ3:BJ52)</f>
        <v>13</v>
      </c>
      <c r="BK53" s="75" t="n">
        <f aca="false">SUM(BK3:BK52)</f>
        <v>10</v>
      </c>
      <c r="BL53" s="75" t="n">
        <f aca="false">SUM(BL3:BL52)</f>
        <v>17</v>
      </c>
      <c r="BM53" s="75" t="n">
        <f aca="false">SUM(BM3:BM52)</f>
        <v>0</v>
      </c>
      <c r="BN53" s="75" t="n">
        <f aca="false">SUM(BN3:BN52)</f>
        <v>2</v>
      </c>
      <c r="BO53" s="75" t="n">
        <f aca="false">SUM(BO3:BO52)</f>
        <v>1</v>
      </c>
      <c r="BP53" s="75" t="n">
        <f aca="false">SUM(BP3:BP52)</f>
        <v>19</v>
      </c>
      <c r="BQ53" s="75" t="n">
        <f aca="false">SUM(BQ3:BQ52)</f>
        <v>39</v>
      </c>
      <c r="BR53" s="75" t="n">
        <f aca="false">SUM(BR3:BR52)</f>
        <v>5</v>
      </c>
      <c r="BS53" s="75" t="n">
        <f aca="false">SUM(BS3:BS52)</f>
        <v>8</v>
      </c>
      <c r="BT53" s="75" t="n">
        <f aca="false">SUM(BT3:BT52)</f>
        <v>3</v>
      </c>
      <c r="BU53" s="75" t="n">
        <f aca="false">SUM(BU3:BU52)</f>
        <v>0</v>
      </c>
      <c r="BV53" s="75" t="n">
        <f aca="false">SUM(BV3:BV52)</f>
        <v>20</v>
      </c>
      <c r="BW53" s="75" t="n">
        <f aca="false">SUM(BW3:BW52)</f>
        <v>1</v>
      </c>
      <c r="BX53" s="75" t="n">
        <f aca="false">SUM(BX3:BX52)</f>
        <v>1</v>
      </c>
      <c r="BY53" s="75" t="n">
        <f aca="false">SUM(BY3:BY52)</f>
        <v>0</v>
      </c>
      <c r="BZ53" s="75" t="n">
        <f aca="false">SUM(BZ3:BZ52)</f>
        <v>0</v>
      </c>
      <c r="CA53" s="75" t="n">
        <f aca="false">SUM(CA3:CA52)</f>
        <v>12</v>
      </c>
      <c r="CB53" s="75" t="n">
        <f aca="false">SUM(CB3:CB52)</f>
        <v>26</v>
      </c>
      <c r="CC53" s="75" t="n">
        <f aca="false">SUM(CC3:CC52)</f>
        <v>17</v>
      </c>
      <c r="CD53" s="75" t="n">
        <f aca="false">SUM(CD3:CD52)</f>
        <v>16</v>
      </c>
      <c r="CE53" s="75" t="n">
        <f aca="false">SUM(CE3:CE52)</f>
        <v>16</v>
      </c>
      <c r="CF53" s="75" t="n">
        <f aca="false">SUM(CF3:CF52)</f>
        <v>0</v>
      </c>
      <c r="CG53" s="75" t="n">
        <f aca="false">SUM(CG3:CG52)</f>
        <v>0</v>
      </c>
      <c r="CH53" s="75" t="n">
        <f aca="false">SUM(CH3:CH52)</f>
        <v>18</v>
      </c>
      <c r="CI53" s="75" t="n">
        <f aca="false">SUM(CI3:CI52)</f>
        <v>4</v>
      </c>
      <c r="CJ53" s="75" t="n">
        <f aca="false">SUM(CJ3:CJ52)</f>
        <v>11</v>
      </c>
      <c r="CK53" s="75" t="n">
        <f aca="false">SUM(CK3:CK52)</f>
        <v>9</v>
      </c>
      <c r="CL53" s="75" t="n">
        <f aca="false">SUM(CL3:CL52)</f>
        <v>0</v>
      </c>
      <c r="CM53" s="75" t="n">
        <f aca="false">SUM(CM3:CM52)</f>
        <v>16</v>
      </c>
      <c r="CN53" s="75" t="n">
        <f aca="false">SUM(CN3:CN52)</f>
        <v>18</v>
      </c>
      <c r="CO53" s="75" t="n">
        <f aca="false">SUM(CO3:CO52)</f>
        <v>27</v>
      </c>
      <c r="CP53" s="75" t="n">
        <f aca="false">SUM(CP3:CP52)</f>
        <v>0</v>
      </c>
      <c r="CQ53" s="75" t="n">
        <f aca="false">SUM(CQ3:CQ52)</f>
        <v>0</v>
      </c>
      <c r="CR53" s="75" t="n">
        <f aca="false">SUM(CR3:CR52)</f>
        <v>26</v>
      </c>
      <c r="CS53" s="75" t="n">
        <f aca="false">SUM(CS3:CS52)</f>
        <v>0</v>
      </c>
      <c r="CT53" s="75" t="n">
        <f aca="false">SUM(CT3:CT52)</f>
        <v>8</v>
      </c>
      <c r="CU53" s="75" t="n">
        <f aca="false">SUM(CU3:CU52)</f>
        <v>10</v>
      </c>
      <c r="CV53" s="75" t="n">
        <f aca="false">SUM(CV3:CV52)</f>
        <v>13</v>
      </c>
      <c r="CW53" s="75" t="n">
        <f aca="false">SUM(CW3:CW52)</f>
        <v>0</v>
      </c>
      <c r="CX53" s="75" t="n">
        <f aca="false">SUM(CX3:CX52)</f>
        <v>7</v>
      </c>
      <c r="CY53" s="75" t="n">
        <f aca="false">SUM(CY3:CY52)</f>
        <v>0</v>
      </c>
      <c r="CZ53" s="75" t="n">
        <f aca="false">SUM(CZ3:CZ52)</f>
        <v>9</v>
      </c>
      <c r="DA53" s="75" t="n">
        <f aca="false">SUM(DA3:DA52)</f>
        <v>22</v>
      </c>
      <c r="DB53" s="75" t="n">
        <f aca="false">SUM(DB3:DB52)</f>
        <v>5</v>
      </c>
      <c r="DC53" s="75" t="n">
        <f aca="false">SUM(DC3:DC52)</f>
        <v>0</v>
      </c>
      <c r="DD53" s="75" t="n">
        <f aca="false">SUM(DD3:DD52)</f>
        <v>436</v>
      </c>
      <c r="DE53" s="77"/>
      <c r="DF53" s="78"/>
      <c r="DG53" s="79"/>
      <c r="DH53" s="84" t="s">
        <v>78</v>
      </c>
      <c r="DI53" s="75" t="n">
        <f aca="false">SUM(DI3:DI43)</f>
        <v>0</v>
      </c>
      <c r="DJ53" s="75" t="n">
        <f aca="false">SUM(DJ3:DJ43)</f>
        <v>0</v>
      </c>
      <c r="DK53" s="75" t="n">
        <f aca="false">SUM(DK3:DK43)</f>
        <v>0</v>
      </c>
      <c r="DL53" s="75" t="n">
        <f aca="false">SUM(DL3:DL43)</f>
        <v>7</v>
      </c>
      <c r="DM53" s="75" t="n">
        <f aca="false">SUM(DM3:DM43)</f>
        <v>10</v>
      </c>
      <c r="DN53" s="75" t="n">
        <f aca="false">SUM(DN3:DN43)</f>
        <v>8</v>
      </c>
      <c r="DO53" s="75" t="n">
        <f aca="false">SUM(DO3:DO43)</f>
        <v>16</v>
      </c>
      <c r="DP53" s="75" t="n">
        <f aca="false">SUM(DP3:DP43)</f>
        <v>0</v>
      </c>
      <c r="DQ53" s="75" t="n">
        <f aca="false">SUM(DQ3:DQ43)</f>
        <v>2</v>
      </c>
      <c r="DR53" s="75" t="n">
        <f aca="false">SUM(DR3:DR43)</f>
        <v>1</v>
      </c>
      <c r="DS53" s="75" t="n">
        <f aca="false">SUM(DS3:DS43)</f>
        <v>17</v>
      </c>
      <c r="DT53" s="75" t="n">
        <f aca="false">SUM(DT3:DT43)</f>
        <v>31</v>
      </c>
      <c r="DU53" s="75" t="n">
        <f aca="false">SUM(DU3:DU43)</f>
        <v>2</v>
      </c>
      <c r="DV53" s="75" t="n">
        <f aca="false">SUM(DV3:DV43)</f>
        <v>7</v>
      </c>
      <c r="DW53" s="75" t="n">
        <f aca="false">SUM(DW3:DW43)</f>
        <v>3</v>
      </c>
      <c r="DX53" s="75" t="n">
        <f aca="false">SUM(DX3:DX43)</f>
        <v>0</v>
      </c>
      <c r="DY53" s="75" t="n">
        <f aca="false">SUM(DY3:DY43)</f>
        <v>18</v>
      </c>
      <c r="DZ53" s="75" t="n">
        <f aca="false">SUM(DZ3:DZ43)</f>
        <v>1</v>
      </c>
      <c r="EA53" s="75" t="n">
        <f aca="false">SUM(EA3:EA43)</f>
        <v>1</v>
      </c>
      <c r="EB53" s="75" t="n">
        <f aca="false">SUM(EB3:EB43)</f>
        <v>0</v>
      </c>
      <c r="EC53" s="75" t="n">
        <f aca="false">SUM(EC3:EC43)</f>
        <v>0</v>
      </c>
      <c r="ED53" s="75" t="n">
        <f aca="false">SUM(ED3:ED43)</f>
        <v>9</v>
      </c>
      <c r="EE53" s="75" t="n">
        <f aca="false">SUM(EE3:EE43)</f>
        <v>21</v>
      </c>
      <c r="EF53" s="75" t="n">
        <f aca="false">SUM(EF3:EF43)</f>
        <v>12</v>
      </c>
      <c r="EG53" s="75" t="n">
        <f aca="false">SUM(EG3:EG43)</f>
        <v>13</v>
      </c>
      <c r="EH53" s="75" t="n">
        <f aca="false">SUM(EH3:EH43)</f>
        <v>15</v>
      </c>
      <c r="EI53" s="75" t="n">
        <f aca="false">SUM(EI3:EI43)</f>
        <v>0</v>
      </c>
      <c r="EJ53" s="75" t="n">
        <f aca="false">SUM(EJ3:EJ43)</f>
        <v>0</v>
      </c>
      <c r="EK53" s="75" t="n">
        <f aca="false">SUM(EK3:EK43)</f>
        <v>16</v>
      </c>
      <c r="EL53" s="75" t="n">
        <f aca="false">SUM(EL3:EL43)</f>
        <v>4</v>
      </c>
      <c r="EM53" s="75" t="n">
        <f aca="false">SUM(EM3:EM43)</f>
        <v>9</v>
      </c>
      <c r="EN53" s="75" t="n">
        <f aca="false">SUM(EN3:EN43)</f>
        <v>9</v>
      </c>
      <c r="EO53" s="75" t="n">
        <f aca="false">SUM(EO3:EO43)</f>
        <v>0</v>
      </c>
      <c r="EP53" s="75" t="n">
        <f aca="false">SUM(EP3:EP43)</f>
        <v>14</v>
      </c>
      <c r="EQ53" s="75" t="n">
        <f aca="false">SUM(EQ3:EQ43)</f>
        <v>16</v>
      </c>
      <c r="ER53" s="75" t="n">
        <f aca="false">SUM(ER3:ER43)</f>
        <v>21</v>
      </c>
      <c r="ES53" s="75" t="n">
        <f aca="false">SUM(ES3:ES43)</f>
        <v>0</v>
      </c>
      <c r="ET53" s="75" t="n">
        <f aca="false">SUM(ET3:ET43)</f>
        <v>0</v>
      </c>
      <c r="EU53" s="75" t="n">
        <f aca="false">SUM(EU3:EU43)</f>
        <v>22</v>
      </c>
      <c r="EV53" s="75" t="n">
        <f aca="false">SUM(EV3:EV43)</f>
        <v>0</v>
      </c>
      <c r="EW53" s="75" t="n">
        <f aca="false">SUM(EW3:EW43)</f>
        <v>7</v>
      </c>
      <c r="EX53" s="75" t="n">
        <f aca="false">SUM(EX3:EX43)</f>
        <v>9</v>
      </c>
      <c r="EY53" s="75" t="n">
        <f aca="false">SUM(EY3:EY43)</f>
        <v>13</v>
      </c>
      <c r="EZ53" s="75" t="n">
        <f aca="false">SUM(EZ3:EZ43)</f>
        <v>0</v>
      </c>
      <c r="FA53" s="75" t="n">
        <f aca="false">SUM(FA3:FA43)</f>
        <v>5</v>
      </c>
      <c r="FB53" s="75" t="n">
        <f aca="false">SUM(FB3:FB43)</f>
        <v>0</v>
      </c>
      <c r="FC53" s="75" t="n">
        <f aca="false">SUM(FC3:FC43)</f>
        <v>8</v>
      </c>
      <c r="FD53" s="75" t="n">
        <f aca="false">SUM(FD3:FD43)</f>
        <v>18</v>
      </c>
      <c r="FE53" s="75" t="n">
        <f aca="false">SUM(FE3:FE43)</f>
        <v>5</v>
      </c>
      <c r="FF53" s="75" t="n">
        <f aca="false">SUM(FF3:FF43)</f>
        <v>0</v>
      </c>
      <c r="FG53" s="75" t="n">
        <f aca="false">SUM(FG3:FG52)</f>
        <v>370</v>
      </c>
      <c r="FH53" s="80"/>
      <c r="FI53" s="84"/>
      <c r="FJ53" s="85"/>
      <c r="FK53" s="85"/>
      <c r="FL53" s="85"/>
    </row>
    <row r="54" customFormat="false" ht="12.75" hidden="false" customHeight="false" outlineLevel="0" collapsed="false">
      <c r="BA54" s="86" t="n">
        <f aca="false">SUM(C53:AZ53)</f>
        <v>218</v>
      </c>
      <c r="DD54" s="86" t="n">
        <f aca="false">SUM(BF53:DC53)</f>
        <v>436</v>
      </c>
      <c r="DE54" s="79"/>
      <c r="DF54" s="87"/>
      <c r="DG54" s="79"/>
      <c r="FG54" s="86" t="n">
        <f aca="false">SUM(DI53:FF53)</f>
        <v>370</v>
      </c>
      <c r="FH54" s="79"/>
      <c r="FJ54" s="88"/>
      <c r="FK54" s="88"/>
      <c r="FL54" s="88"/>
    </row>
    <row r="55" customFormat="false" ht="12.75" hidden="false" customHeight="false" outlineLevel="0" collapsed="false">
      <c r="DD55" s="86" t="n">
        <f aca="false">MAX(BF3:DC52)</f>
        <v>6</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0.792153795278795</v>
      </c>
      <c r="DM55" s="89" t="n">
        <f aca="false">SUMPRODUCT(DM3:DM52,CLASSIF!$T3:$T52)/DM53</f>
        <v>0.794703305466463</v>
      </c>
      <c r="DN55" s="89" t="n">
        <f aca="false">SUMPRODUCT(DN3:DN52,CLASSIF!$T3:$T52)/DN53</f>
        <v>0.897208375506073</v>
      </c>
      <c r="DO55" s="89" t="n">
        <f aca="false">SUMPRODUCT(DO3:DO52,CLASSIF!$T3:$T52)/DO53</f>
        <v>0.703086294577563</v>
      </c>
      <c r="DP55" s="89" t="e">
        <f aca="false">SUMPRODUCT(DP3:DP52,CLASSIF!$T3:$T52)/DP53</f>
        <v>#DIV/0!</v>
      </c>
      <c r="DQ55" s="89" t="n">
        <f aca="false">SUMPRODUCT(DQ3:DQ52,CLASSIF!$T3:$T52)/DQ53</f>
        <v>0.750275735294118</v>
      </c>
      <c r="DR55" s="89" t="n">
        <f aca="false">SUMPRODUCT(DR3:DR52,CLASSIF!$T3:$T52)/DR53</f>
        <v>1.125</v>
      </c>
      <c r="DS55" s="89" t="n">
        <f aca="false">SUMPRODUCT(DS3:DS52,CLASSIF!$T3:$T52)/DS53</f>
        <v>0.76872132513136</v>
      </c>
      <c r="DT55" s="89" t="n">
        <f aca="false">SUMPRODUCT(DT3:DT52,CLASSIF!$T3:$T52)/DT53</f>
        <v>0.749602723968923</v>
      </c>
      <c r="DU55" s="89" t="n">
        <f aca="false">SUMPRODUCT(DU3:DU52,CLASSIF!$T3:$T52)/DU53</f>
        <v>1.87481900452489</v>
      </c>
      <c r="DV55" s="89" t="n">
        <f aca="false">SUMPRODUCT(DV3:DV52,CLASSIF!$T3:$T52)/DV53</f>
        <v>0.743831670974528</v>
      </c>
      <c r="DW55" s="89" t="n">
        <f aca="false">SUMPRODUCT(DW3:DW52,CLASSIF!$T3:$T52)/DW53</f>
        <v>0.806977557854751</v>
      </c>
      <c r="DX55" s="89" t="e">
        <f aca="false">SUMPRODUCT(DX3:DX52,CLASSIF!$T3:$T52)/DX53</f>
        <v>#DIV/0!</v>
      </c>
      <c r="DY55" s="89" t="n">
        <f aca="false">SUMPRODUCT(DY3:DY52,CLASSIF!$T3:$T52)/DY53</f>
        <v>0.756180315192936</v>
      </c>
      <c r="DZ55" s="89" t="n">
        <f aca="false">SUMPRODUCT(DZ3:DZ52,CLASSIF!$T3:$T52)/DZ53</f>
        <v>0.691176470588235</v>
      </c>
      <c r="EA55" s="89" t="n">
        <f aca="false">SUMPRODUCT(EA3:EA52,CLASSIF!$T3:$T52)/EA53</f>
        <v>0.834615384615385</v>
      </c>
      <c r="EB55" s="89" t="e">
        <f aca="false">SUMPRODUCT(EB3:EB52,CLASSIF!$T3:$T52)/EB53</f>
        <v>#DIV/0!</v>
      </c>
      <c r="EC55" s="89" t="e">
        <f aca="false">SUMPRODUCT(EC3:EC52,CLASSIF!$T3:$T52)/EC53</f>
        <v>#DIV/0!</v>
      </c>
      <c r="ED55" s="89" t="n">
        <f aca="false">SUMPRODUCT(ED3:ED52,CLASSIF!$T3:$T52)/ED53</f>
        <v>0.983431907598574</v>
      </c>
      <c r="EE55" s="89" t="n">
        <f aca="false">SUMPRODUCT(EE3:EE52,CLASSIF!$T3:$T52)/EE53</f>
        <v>0.868613252216193</v>
      </c>
      <c r="EF55" s="89" t="n">
        <f aca="false">SUMPRODUCT(EF3:EF52,CLASSIF!$T3:$T52)/EF53</f>
        <v>0.938651298415875</v>
      </c>
      <c r="EG55" s="89" t="n">
        <f aca="false">SUMPRODUCT(EG3:EG52,CLASSIF!$T3:$T52)/EG53</f>
        <v>0.732598059724756</v>
      </c>
      <c r="EH55" s="89" t="n">
        <f aca="false">SUMPRODUCT(EH3:EH52,CLASSIF!$T3:$T52)/EH53</f>
        <v>0.722714121739018</v>
      </c>
      <c r="EI55" s="89" t="e">
        <f aca="false">SUMPRODUCT(EI3:EI52,CLASSIF!$T3:$T52)/EI53</f>
        <v>#DIV/0!</v>
      </c>
      <c r="EJ55" s="89" t="e">
        <f aca="false">SUMPRODUCT(EJ3:EJ52,CLASSIF!$T3:$T52)/EJ53</f>
        <v>#DIV/0!</v>
      </c>
      <c r="EK55" s="89" t="n">
        <f aca="false">SUMPRODUCT(EK3:EK52,CLASSIF!$T3:$T52)/EK53</f>
        <v>0.705112560745784</v>
      </c>
      <c r="EL55" s="89" t="n">
        <f aca="false">SUMPRODUCT(EL3:EL52,CLASSIF!$T3:$T52)/EL53</f>
        <v>0.662319711538462</v>
      </c>
      <c r="EM55" s="89" t="n">
        <f aca="false">SUMPRODUCT(EM3:EM52,CLASSIF!$T3:$T52)/EM53</f>
        <v>0.896308674229426</v>
      </c>
      <c r="EN55" s="89" t="n">
        <f aca="false">SUMPRODUCT(EN3:EN52,CLASSIF!$T3:$T52)/EN53</f>
        <v>0.636097482915293</v>
      </c>
      <c r="EO55" s="89" t="e">
        <f aca="false">SUMPRODUCT(EO3:EO52,CLASSIF!$T3:$T52)/EO53</f>
        <v>#DIV/0!</v>
      </c>
      <c r="EP55" s="89" t="n">
        <f aca="false">SUMPRODUCT(EP3:EP52,CLASSIF!$T3:$T52)/EP53</f>
        <v>0.697029872539741</v>
      </c>
      <c r="EQ55" s="89" t="n">
        <f aca="false">SUMPRODUCT(EQ3:EQ52,CLASSIF!$T3:$T52)/EQ53</f>
        <v>0.740626575683053</v>
      </c>
      <c r="ER55" s="89" t="n">
        <f aca="false">SUMPRODUCT(ER3:ER52,CLASSIF!$T3:$T52)/ER53</f>
        <v>0.738093368169662</v>
      </c>
      <c r="ES55" s="89" t="e">
        <f aca="false">SUMPRODUCT(ES3:ES52,CLASSIF!$T3:$T52)/ES53</f>
        <v>#DIV/0!</v>
      </c>
      <c r="ET55" s="89" t="e">
        <f aca="false">SUMPRODUCT(ET3:ET52,CLASSIF!$T3:$T52)/ET53</f>
        <v>#DIV/0!</v>
      </c>
      <c r="EU55" s="89" t="n">
        <f aca="false">SUMPRODUCT(EU3:EU52,CLASSIF!$T3:$T52)/EU53</f>
        <v>0.814790009410225</v>
      </c>
      <c r="EV55" s="89" t="e">
        <f aca="false">SUMPRODUCT(EV3:EV52,CLASSIF!$T3:$T52)/EV53</f>
        <v>#DIV/0!</v>
      </c>
      <c r="EW55" s="89" t="n">
        <f aca="false">SUMPRODUCT(EW3:EW52,CLASSIF!$T3:$T52)/EW53</f>
        <v>0.709534882329</v>
      </c>
      <c r="EX55" s="89" t="n">
        <f aca="false">SUMPRODUCT(EX3:EX52,CLASSIF!$T3:$T52)/EX53</f>
        <v>0.538917102777397</v>
      </c>
      <c r="EY55" s="89" t="n">
        <f aca="false">SUMPRODUCT(EY3:EY52,CLASSIF!$T3:$T52)/EY53</f>
        <v>0.777152611970426</v>
      </c>
      <c r="EZ55" s="89" t="e">
        <f aca="false">SUMPRODUCT(EZ3:EZ52,CLASSIF!$T3:$T52)/EZ53</f>
        <v>#DIV/0!</v>
      </c>
      <c r="FA55" s="89" t="n">
        <f aca="false">SUMPRODUCT(FA3:FA52,CLASSIF!$T3:$T52)/FA53</f>
        <v>0.804579124579125</v>
      </c>
      <c r="FB55" s="89" t="e">
        <f aca="false">SUMPRODUCT(FB3:FB52,CLASSIF!$T3:$T52)/FB53</f>
        <v>#DIV/0!</v>
      </c>
      <c r="FC55" s="89" t="n">
        <f aca="false">SUMPRODUCT(FC3:FC52,CLASSIF!$T3:$T52)/FC53</f>
        <v>0.634049535703947</v>
      </c>
      <c r="FD55" s="89" t="n">
        <f aca="false">SUMPRODUCT(FD3:FD52,CLASSIF!$T3:$T52)/FD53</f>
        <v>0.841490862608101</v>
      </c>
      <c r="FE55" s="89" t="n">
        <f aca="false">SUMPRODUCT(FE3:FE52,CLASSIF!$T3:$T52)/FE53</f>
        <v>0.72924351476983</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26" activePane="bottomLeft" state="frozen"/>
      <selection pane="topLeft" activeCell="A1" activeCellId="0" sqref="A1"/>
      <selection pane="bottomLeft" activeCell="H647" activeCellId="0" sqref="H64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125</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t="n">
        <v>44501</v>
      </c>
      <c r="C614" s="40" t="s">
        <v>12</v>
      </c>
      <c r="D614" s="96" t="n">
        <v>7</v>
      </c>
      <c r="E614" s="96" t="n">
        <v>6</v>
      </c>
      <c r="F614" s="40" t="s">
        <v>44</v>
      </c>
      <c r="G614" s="105" t="str">
        <f aca="false">C614</f>
        <v>Duclerc</v>
      </c>
      <c r="H614" s="104" t="n">
        <f aca="false">IF(AND(E614=0,E615=0),25,20)</f>
        <v>20</v>
      </c>
      <c r="I614" s="105" t="str">
        <f aca="false">F614</f>
        <v>Rubens</v>
      </c>
      <c r="J614" s="94" t="n">
        <f aca="false">IF(E614="WO40",-40,MAX(4,SUM(E614:E615)))</f>
        <v>12</v>
      </c>
      <c r="K614" s="104" t="n">
        <f aca="false">IF(D614&gt;E614,1,0)+IF(D615&gt;E615,1,0)+IF(D616&gt;E616,1,0)</f>
        <v>2</v>
      </c>
      <c r="L614" s="104" t="n">
        <f aca="false">IF(E614&gt;D614,1,0)+IF(E615&gt;D615,1,0)+IF(E616&gt;D616,1,0)</f>
        <v>1</v>
      </c>
      <c r="M614" s="97" t="str">
        <f aca="false">G614&amp;" d. "&amp;I614</f>
        <v>Duclerc d. Rubens</v>
      </c>
      <c r="N614" s="97" t="str">
        <f aca="false">G614&amp;" x "&amp;I614</f>
        <v>Duclerc x Rubens</v>
      </c>
      <c r="O614" s="97" t="str">
        <f aca="false">I614&amp;" x "&amp;G614</f>
        <v>Rubens x Duclerc</v>
      </c>
      <c r="P614" s="94" t="n">
        <f aca="false">MONTH(B614)</f>
        <v>11</v>
      </c>
      <c r="Q614" s="94" t="n">
        <f aca="false">QUOTIENT(B614-2,7)-6129</f>
        <v>228</v>
      </c>
    </row>
    <row r="615" customFormat="false" ht="12.75" hidden="false" customHeight="false" outlineLevel="0" collapsed="false">
      <c r="A615" s="94"/>
      <c r="B615" s="39"/>
      <c r="C615" s="40"/>
      <c r="D615" s="98" t="n">
        <v>2</v>
      </c>
      <c r="E615" s="98" t="n">
        <v>6</v>
      </c>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t="n">
        <v>10</v>
      </c>
      <c r="E616" s="102" t="n">
        <v>1</v>
      </c>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t="n">
        <v>44501</v>
      </c>
      <c r="C617" s="40" t="s">
        <v>13</v>
      </c>
      <c r="D617" s="96" t="n">
        <v>6</v>
      </c>
      <c r="E617" s="96" t="n">
        <v>7</v>
      </c>
      <c r="F617" s="40" t="s">
        <v>25</v>
      </c>
      <c r="G617" s="105" t="str">
        <f aca="false">C617</f>
        <v>Elias</v>
      </c>
      <c r="H617" s="104" t="n">
        <f aca="false">IF(AND(E617=0,E618=0),25,20)</f>
        <v>20</v>
      </c>
      <c r="I617" s="105" t="str">
        <f aca="false">F617</f>
        <v>Luis Carlos</v>
      </c>
      <c r="J617" s="94" t="n">
        <f aca="false">IF(E617="WO40",-40,MAX(4,SUM(E617:E618)))</f>
        <v>12</v>
      </c>
      <c r="K617" s="104" t="n">
        <f aca="false">IF(D617&gt;E617,1,0)+IF(D618&gt;E618,1,0)+IF(D619&gt;E619,1,0)</f>
        <v>2</v>
      </c>
      <c r="L617" s="104" t="n">
        <f aca="false">IF(E617&gt;D617,1,0)+IF(E618&gt;D618,1,0)+IF(E619&gt;D619,1,0)</f>
        <v>1</v>
      </c>
      <c r="M617" s="97" t="str">
        <f aca="false">G617&amp;" d. "&amp;I617</f>
        <v>Elias d. Luis Carlos</v>
      </c>
      <c r="N617" s="97" t="str">
        <f aca="false">G617&amp;" x "&amp;I617</f>
        <v>Elias x Luis Carlos</v>
      </c>
      <c r="O617" s="97" t="str">
        <f aca="false">I617&amp;" x "&amp;G617</f>
        <v>Luis Carlos x Elias</v>
      </c>
      <c r="P617" s="94" t="n">
        <f aca="false">MONTH(B617)</f>
        <v>11</v>
      </c>
      <c r="Q617" s="94" t="n">
        <f aca="false">QUOTIENT(B617-2,7)-6129</f>
        <v>228</v>
      </c>
    </row>
    <row r="618" customFormat="false" ht="12.75" hidden="false" customHeight="false" outlineLevel="0" collapsed="false">
      <c r="A618" s="94"/>
      <c r="B618" s="39"/>
      <c r="C618" s="40"/>
      <c r="D618" s="98" t="n">
        <v>7</v>
      </c>
      <c r="E618" s="98" t="n">
        <v>5</v>
      </c>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t="n">
        <v>10</v>
      </c>
      <c r="E619" s="102" t="n">
        <v>1</v>
      </c>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t="n">
        <v>44502</v>
      </c>
      <c r="C620" s="40" t="s">
        <v>6</v>
      </c>
      <c r="D620" s="96" t="n">
        <v>6</v>
      </c>
      <c r="E620" s="96" t="n">
        <v>4</v>
      </c>
      <c r="F620" s="40" t="s">
        <v>5</v>
      </c>
      <c r="G620" s="105" t="str">
        <f aca="false">C620</f>
        <v>Caio</v>
      </c>
      <c r="H620" s="104" t="n">
        <f aca="false">IF(AND(E620=0,E621=0),25,20)</f>
        <v>20</v>
      </c>
      <c r="I620" s="105" t="str">
        <f aca="false">F620</f>
        <v>Bruno</v>
      </c>
      <c r="J620" s="94" t="n">
        <f aca="false">IF(E620="WO40",-40,MAX(4,SUM(E620:E621)))</f>
        <v>5</v>
      </c>
      <c r="K620" s="104" t="n">
        <f aca="false">IF(D620&gt;E620,1,0)+IF(D621&gt;E621,1,0)+IF(D622&gt;E622,1,0)</f>
        <v>2</v>
      </c>
      <c r="L620" s="104" t="n">
        <f aca="false">IF(E620&gt;D620,1,0)+IF(E621&gt;D621,1,0)+IF(E622&gt;D622,1,0)</f>
        <v>0</v>
      </c>
      <c r="M620" s="97" t="str">
        <f aca="false">G620&amp;" d. "&amp;I620</f>
        <v>Caio d. Bruno</v>
      </c>
      <c r="N620" s="97" t="str">
        <f aca="false">G620&amp;" x "&amp;I620</f>
        <v>Caio x Bruno</v>
      </c>
      <c r="O620" s="97" t="str">
        <f aca="false">I620&amp;" x "&amp;G620</f>
        <v>Bruno x Caio</v>
      </c>
      <c r="P620" s="94" t="n">
        <f aca="false">MONTH(B620)</f>
        <v>11</v>
      </c>
      <c r="Q620" s="94" t="n">
        <f aca="false">QUOTIENT(B620-2,7)-6129</f>
        <v>228</v>
      </c>
    </row>
    <row r="621" customFormat="false" ht="12.75" hidden="false" customHeight="false" outlineLevel="0" collapsed="false">
      <c r="A621" s="94"/>
      <c r="B621" s="39"/>
      <c r="C621" s="40"/>
      <c r="D621" s="98" t="n">
        <v>6</v>
      </c>
      <c r="E621" s="98" t="n">
        <v>1</v>
      </c>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t="n">
        <v>44502</v>
      </c>
      <c r="C623" s="40" t="s">
        <v>30</v>
      </c>
      <c r="D623" s="96" t="n">
        <v>7</v>
      </c>
      <c r="E623" s="96" t="n">
        <v>6</v>
      </c>
      <c r="F623" s="40" t="s">
        <v>23</v>
      </c>
      <c r="G623" s="105" t="str">
        <f aca="false">C623</f>
        <v>Oswald</v>
      </c>
      <c r="H623" s="104" t="n">
        <f aca="false">IF(AND(E623=0,E624=0),25,20)</f>
        <v>20</v>
      </c>
      <c r="I623" s="105" t="str">
        <f aca="false">F623</f>
        <v>Ivan</v>
      </c>
      <c r="J623" s="94" t="n">
        <f aca="false">IF(E623="WO40",-40,MAX(4,SUM(E623:E624)))</f>
        <v>11</v>
      </c>
      <c r="K623" s="104" t="n">
        <f aca="false">IF(D623&gt;E623,1,0)+IF(D624&gt;E624,1,0)+IF(D625&gt;E625,1,0)</f>
        <v>2</v>
      </c>
      <c r="L623" s="104" t="n">
        <f aca="false">IF(E623&gt;D623,1,0)+IF(E624&gt;D624,1,0)+IF(E625&gt;D625,1,0)</f>
        <v>0</v>
      </c>
      <c r="M623" s="97" t="str">
        <f aca="false">G623&amp;" d. "&amp;I623</f>
        <v>Oswald d. Ivan</v>
      </c>
      <c r="N623" s="97" t="str">
        <f aca="false">G623&amp;" x "&amp;I623</f>
        <v>Oswald x Ivan</v>
      </c>
      <c r="O623" s="97" t="str">
        <f aca="false">I623&amp;" x "&amp;G623</f>
        <v>Ivan x Oswald</v>
      </c>
      <c r="P623" s="94" t="n">
        <f aca="false">MONTH(B623)</f>
        <v>11</v>
      </c>
      <c r="Q623" s="94" t="n">
        <f aca="false">QUOTIENT(B623-2,7)-6129</f>
        <v>228</v>
      </c>
    </row>
    <row r="624" customFormat="false" ht="12.75" hidden="false" customHeight="false" outlineLevel="0" collapsed="false">
      <c r="A624" s="94"/>
      <c r="B624" s="39"/>
      <c r="C624" s="40"/>
      <c r="D624" s="98" t="n">
        <v>7</v>
      </c>
      <c r="E624" s="98" t="n">
        <v>5</v>
      </c>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t="n">
        <v>44502</v>
      </c>
      <c r="C626" s="40" t="s">
        <v>31</v>
      </c>
      <c r="D626" s="96" t="n">
        <v>6</v>
      </c>
      <c r="E626" s="96" t="n">
        <v>0</v>
      </c>
      <c r="F626" s="40" t="s">
        <v>27</v>
      </c>
      <c r="G626" s="105" t="str">
        <f aca="false">C626</f>
        <v>Palazzo</v>
      </c>
      <c r="H626" s="104" t="n">
        <f aca="false">IF(AND(E626=0,E627=0),25,20)</f>
        <v>25</v>
      </c>
      <c r="I626" s="105" t="str">
        <f aca="false">F626</f>
        <v>Magritto</v>
      </c>
      <c r="J626" s="94" t="n">
        <f aca="false">IF(E626="WO40",-40,MAX(4,SUM(E626:E627)))</f>
        <v>4</v>
      </c>
      <c r="K626" s="104" t="n">
        <f aca="false">IF(D626&gt;E626,1,0)+IF(D627&gt;E627,1,0)+IF(D628&gt;E628,1,0)</f>
        <v>2</v>
      </c>
      <c r="L626" s="104" t="n">
        <f aca="false">IF(E626&gt;D626,1,0)+IF(E627&gt;D627,1,0)+IF(E628&gt;D628,1,0)</f>
        <v>0</v>
      </c>
      <c r="M626" s="97" t="str">
        <f aca="false">G626&amp;" d. "&amp;I626</f>
        <v>Palazzo d. Magritto</v>
      </c>
      <c r="N626" s="97" t="str">
        <f aca="false">G626&amp;" x "&amp;I626</f>
        <v>Palazzo x Magritto</v>
      </c>
      <c r="O626" s="97" t="str">
        <f aca="false">I626&amp;" x "&amp;G626</f>
        <v>Magritto x Palazzo</v>
      </c>
      <c r="P626" s="94" t="n">
        <f aca="false">MONTH(B626)</f>
        <v>11</v>
      </c>
      <c r="Q626" s="94" t="n">
        <f aca="false">QUOTIENT(B626-2,7)-6129</f>
        <v>228</v>
      </c>
    </row>
    <row r="627" customFormat="false" ht="12.75" hidden="false" customHeight="false" outlineLevel="0" collapsed="false">
      <c r="A627" s="94"/>
      <c r="B627" s="39"/>
      <c r="C627" s="40"/>
      <c r="D627" s="98" t="n">
        <v>6</v>
      </c>
      <c r="E627" s="98" t="n">
        <v>0</v>
      </c>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t="n">
        <v>44502</v>
      </c>
      <c r="C629" s="40" t="s">
        <v>37</v>
      </c>
      <c r="D629" s="96" t="n">
        <v>6</v>
      </c>
      <c r="E629" s="96" t="n">
        <v>0</v>
      </c>
      <c r="F629" s="40" t="s">
        <v>8</v>
      </c>
      <c r="G629" s="105" t="str">
        <f aca="false">C629</f>
        <v>Pitch</v>
      </c>
      <c r="H629" s="104" t="n">
        <f aca="false">IF(AND(E629=0,E630=0),25,20)</f>
        <v>25</v>
      </c>
      <c r="I629" s="105" t="str">
        <f aca="false">F629</f>
        <v>Costinha</v>
      </c>
      <c r="J629" s="94" t="n">
        <f aca="false">IF(E629="WO40",-40,MAX(4,SUM(E629:E630)))</f>
        <v>4</v>
      </c>
      <c r="K629" s="104" t="n">
        <f aca="false">IF(D629&gt;E629,1,0)+IF(D630&gt;E630,1,0)+IF(D631&gt;E631,1,0)</f>
        <v>2</v>
      </c>
      <c r="L629" s="104" t="n">
        <f aca="false">IF(E629&gt;D629,1,0)+IF(E630&gt;D630,1,0)+IF(E631&gt;D631,1,0)</f>
        <v>0</v>
      </c>
      <c r="M629" s="97" t="str">
        <f aca="false">G629&amp;" d. "&amp;I629</f>
        <v>Pitch d. Costinha</v>
      </c>
      <c r="N629" s="97" t="str">
        <f aca="false">G629&amp;" x "&amp;I629</f>
        <v>Pitch x Costinha</v>
      </c>
      <c r="O629" s="97" t="str">
        <f aca="false">I629&amp;" x "&amp;G629</f>
        <v>Costinha x Pitch</v>
      </c>
      <c r="P629" s="94" t="n">
        <f aca="false">MONTH(B629)</f>
        <v>11</v>
      </c>
      <c r="Q629" s="94" t="n">
        <f aca="false">QUOTIENT(B629-2,7)-6129</f>
        <v>228</v>
      </c>
    </row>
    <row r="630" customFormat="false" ht="12.75" hidden="false" customHeight="false" outlineLevel="0" collapsed="false">
      <c r="A630" s="94"/>
      <c r="B630" s="39"/>
      <c r="C630" s="40"/>
      <c r="D630" s="98" t="n">
        <v>6</v>
      </c>
      <c r="E630" s="98" t="n">
        <v>0</v>
      </c>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t="n">
        <v>44503</v>
      </c>
      <c r="C632" s="40" t="s">
        <v>13</v>
      </c>
      <c r="D632" s="96" t="n">
        <v>6</v>
      </c>
      <c r="E632" s="96" t="n">
        <v>4</v>
      </c>
      <c r="F632" s="40" t="s">
        <v>36</v>
      </c>
      <c r="G632" s="105" t="str">
        <f aca="false">C632</f>
        <v>Elias</v>
      </c>
      <c r="H632" s="104" t="n">
        <f aca="false">IF(AND(E632=0,E633=0),25,20)</f>
        <v>20</v>
      </c>
      <c r="I632" s="105" t="str">
        <f aca="false">F632</f>
        <v>Pinga</v>
      </c>
      <c r="J632" s="94" t="n">
        <f aca="false">IF(E632="WO40",-40,MAX(4,SUM(E632:E633)))</f>
        <v>9</v>
      </c>
      <c r="K632" s="104" t="n">
        <f aca="false">IF(D632&gt;E632,1,0)+IF(D633&gt;E633,1,0)+IF(D634&gt;E634,1,0)</f>
        <v>2</v>
      </c>
      <c r="L632" s="104" t="n">
        <f aca="false">IF(E632&gt;D632,1,0)+IF(E633&gt;D633,1,0)+IF(E634&gt;D634,1,0)</f>
        <v>0</v>
      </c>
      <c r="M632" s="97" t="str">
        <f aca="false">G632&amp;" d. "&amp;I632</f>
        <v>Elias d. Pinga</v>
      </c>
      <c r="N632" s="97" t="str">
        <f aca="false">G632&amp;" x "&amp;I632</f>
        <v>Elias x Pinga</v>
      </c>
      <c r="O632" s="97" t="str">
        <f aca="false">I632&amp;" x "&amp;G632</f>
        <v>Pinga x Elias</v>
      </c>
      <c r="P632" s="94" t="n">
        <f aca="false">MONTH(B632)</f>
        <v>11</v>
      </c>
      <c r="Q632" s="94" t="n">
        <f aca="false">QUOTIENT(B632-2,7)-6129</f>
        <v>228</v>
      </c>
    </row>
    <row r="633" customFormat="false" ht="12.75" hidden="false" customHeight="false" outlineLevel="0" collapsed="false">
      <c r="A633" s="94"/>
      <c r="B633" s="39"/>
      <c r="C633" s="40"/>
      <c r="D633" s="98" t="n">
        <v>7</v>
      </c>
      <c r="E633" s="98" t="n">
        <v>5</v>
      </c>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t="n">
        <v>44503</v>
      </c>
      <c r="C635" s="40" t="s">
        <v>42</v>
      </c>
      <c r="D635" s="96" t="n">
        <v>6</v>
      </c>
      <c r="E635" s="96" t="n">
        <v>1</v>
      </c>
      <c r="F635" s="40" t="s">
        <v>25</v>
      </c>
      <c r="G635" s="105" t="str">
        <f aca="false">C635</f>
        <v>Salgado</v>
      </c>
      <c r="H635" s="104" t="n">
        <f aca="false">IF(AND(E635=0,E636=0),25,20)</f>
        <v>20</v>
      </c>
      <c r="I635" s="105" t="str">
        <f aca="false">F635</f>
        <v>Luis Carlos</v>
      </c>
      <c r="J635" s="94" t="n">
        <f aca="false">IF(E635="WO40",-40,MAX(4,SUM(E635:E636)))</f>
        <v>4</v>
      </c>
      <c r="K635" s="104" t="n">
        <f aca="false">IF(D635&gt;E635,1,0)+IF(D636&gt;E636,1,0)+IF(D637&gt;E637,1,0)</f>
        <v>2</v>
      </c>
      <c r="L635" s="104" t="n">
        <f aca="false">IF(E635&gt;D635,1,0)+IF(E636&gt;D636,1,0)+IF(E637&gt;D637,1,0)</f>
        <v>0</v>
      </c>
      <c r="M635" s="97" t="str">
        <f aca="false">G635&amp;" d. "&amp;I635</f>
        <v>Salgado d. Luis Carlos</v>
      </c>
      <c r="N635" s="97" t="str">
        <f aca="false">G635&amp;" x "&amp;I635</f>
        <v>Salgado x Luis Carlos</v>
      </c>
      <c r="O635" s="97" t="str">
        <f aca="false">I635&amp;" x "&amp;G635</f>
        <v>Luis Carlos x Salgado</v>
      </c>
      <c r="P635" s="94" t="n">
        <f aca="false">MONTH(B635)</f>
        <v>11</v>
      </c>
      <c r="Q635" s="94" t="n">
        <f aca="false">QUOTIENT(B635-2,7)-6129</f>
        <v>228</v>
      </c>
    </row>
    <row r="636" customFormat="false" ht="12.75" hidden="false" customHeight="false" outlineLevel="0" collapsed="false">
      <c r="A636" s="94"/>
      <c r="B636" s="39"/>
      <c r="C636" s="40"/>
      <c r="D636" s="98" t="n">
        <v>6</v>
      </c>
      <c r="E636" s="98" t="n">
        <v>3</v>
      </c>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t="n">
        <v>44505</v>
      </c>
      <c r="C638" s="40" t="s">
        <v>37</v>
      </c>
      <c r="D638" s="96" t="n">
        <v>6</v>
      </c>
      <c r="E638" s="96" t="n">
        <v>2</v>
      </c>
      <c r="F638" s="40" t="s">
        <v>15</v>
      </c>
      <c r="G638" s="105" t="str">
        <f aca="false">C638</f>
        <v>Pitch</v>
      </c>
      <c r="H638" s="104" t="n">
        <f aca="false">IF(AND(E638=0,E639=0),25,20)</f>
        <v>20</v>
      </c>
      <c r="I638" s="105" t="str">
        <f aca="false">F638</f>
        <v>Felipe</v>
      </c>
      <c r="J638" s="94" t="n">
        <f aca="false">IF(E638="WO40",-40,MAX(4,SUM(E638:E639)))</f>
        <v>5</v>
      </c>
      <c r="K638" s="104" t="n">
        <f aca="false">IF(D638&gt;E638,1,0)+IF(D639&gt;E639,1,0)+IF(D640&gt;E640,1,0)</f>
        <v>2</v>
      </c>
      <c r="L638" s="104" t="n">
        <f aca="false">IF(E638&gt;D638,1,0)+IF(E639&gt;D639,1,0)+IF(E640&gt;D640,1,0)</f>
        <v>0</v>
      </c>
      <c r="M638" s="97" t="str">
        <f aca="false">G638&amp;" d. "&amp;I638</f>
        <v>Pitch d. Felipe</v>
      </c>
      <c r="N638" s="97" t="str">
        <f aca="false">G638&amp;" x "&amp;I638</f>
        <v>Pitch x Felipe</v>
      </c>
      <c r="O638" s="97" t="str">
        <f aca="false">I638&amp;" x "&amp;G638</f>
        <v>Felipe x Pitch</v>
      </c>
      <c r="P638" s="94" t="n">
        <f aca="false">MONTH(B638)</f>
        <v>11</v>
      </c>
      <c r="Q638" s="94" t="n">
        <f aca="false">QUOTIENT(B638-2,7)-6129</f>
        <v>228</v>
      </c>
    </row>
    <row r="639" customFormat="false" ht="12.75" hidden="false" customHeight="false" outlineLevel="0" collapsed="false">
      <c r="A639" s="94"/>
      <c r="B639" s="39"/>
      <c r="C639" s="40"/>
      <c r="D639" s="98" t="n">
        <v>6</v>
      </c>
      <c r="E639" s="98" t="n">
        <v>3</v>
      </c>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t="n">
        <v>44505</v>
      </c>
      <c r="C641" s="40" t="s">
        <v>44</v>
      </c>
      <c r="D641" s="96" t="n">
        <v>6</v>
      </c>
      <c r="E641" s="96" t="n">
        <v>3</v>
      </c>
      <c r="F641" s="40" t="s">
        <v>40</v>
      </c>
      <c r="G641" s="105" t="str">
        <f aca="false">C641</f>
        <v>Rubens</v>
      </c>
      <c r="H641" s="104" t="n">
        <f aca="false">IF(AND(E641=0,E642=0),25,20)</f>
        <v>20</v>
      </c>
      <c r="I641" s="105" t="str">
        <f aca="false">F641</f>
        <v>Robertinho</v>
      </c>
      <c r="J641" s="94" t="n">
        <f aca="false">IF(E641="WO40",-40,MAX(4,SUM(E641:E642)))</f>
        <v>4</v>
      </c>
      <c r="K641" s="104" t="n">
        <f aca="false">IF(D641&gt;E641,1,0)+IF(D642&gt;E642,1,0)+IF(D643&gt;E643,1,0)</f>
        <v>2</v>
      </c>
      <c r="L641" s="104" t="n">
        <f aca="false">IF(E641&gt;D641,1,0)+IF(E642&gt;D642,1,0)+IF(E643&gt;D643,1,0)</f>
        <v>0</v>
      </c>
      <c r="M641" s="97" t="str">
        <f aca="false">G641&amp;" d. "&amp;I641</f>
        <v>Rubens d. Robertinho</v>
      </c>
      <c r="N641" s="97" t="str">
        <f aca="false">G641&amp;" x "&amp;I641</f>
        <v>Rubens x Robertinho</v>
      </c>
      <c r="O641" s="97" t="str">
        <f aca="false">I641&amp;" x "&amp;G641</f>
        <v>Robertinho x Rubens</v>
      </c>
      <c r="P641" s="94" t="n">
        <f aca="false">MONTH(B641)</f>
        <v>11</v>
      </c>
      <c r="Q641" s="94" t="n">
        <f aca="false">QUOTIENT(B641-2,7)-6129</f>
        <v>228</v>
      </c>
    </row>
    <row r="642" customFormat="false" ht="12.75" hidden="false" customHeight="false" outlineLevel="0" collapsed="false">
      <c r="A642" s="94"/>
      <c r="B642" s="39"/>
      <c r="C642" s="40"/>
      <c r="D642" s="98" t="n">
        <v>6</v>
      </c>
      <c r="E642" s="98" t="n">
        <v>1</v>
      </c>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t="n">
        <v>44506</v>
      </c>
      <c r="C644" s="40" t="s">
        <v>8</v>
      </c>
      <c r="D644" s="96" t="n">
        <v>6</v>
      </c>
      <c r="E644" s="96" t="n">
        <v>3</v>
      </c>
      <c r="F644" s="40" t="s">
        <v>26</v>
      </c>
      <c r="G644" s="105" t="str">
        <f aca="false">C644</f>
        <v>Costinha</v>
      </c>
      <c r="H644" s="104" t="n">
        <f aca="false">IF(AND(E644=0,E645=0),25,20)</f>
        <v>20</v>
      </c>
      <c r="I644" s="105" t="str">
        <f aca="false">F644</f>
        <v>Luiz Henrique</v>
      </c>
      <c r="J644" s="94" t="n">
        <f aca="false">IF(E644="WO40",-40,MAX(4,SUM(E644:E645)))</f>
        <v>4</v>
      </c>
      <c r="K644" s="104" t="n">
        <f aca="false">IF(D644&gt;E644,1,0)+IF(D645&gt;E645,1,0)+IF(D646&gt;E646,1,0)</f>
        <v>2</v>
      </c>
      <c r="L644" s="104" t="n">
        <f aca="false">IF(E644&gt;D644,1,0)+IF(E645&gt;D645,1,0)+IF(E646&gt;D646,1,0)</f>
        <v>0</v>
      </c>
      <c r="M644" s="97" t="str">
        <f aca="false">G644&amp;" d. "&amp;I644</f>
        <v>Costinha d. Luiz Henrique</v>
      </c>
      <c r="N644" s="97" t="str">
        <f aca="false">G644&amp;" x "&amp;I644</f>
        <v>Costinha x Luiz Henrique</v>
      </c>
      <c r="O644" s="97" t="str">
        <f aca="false">I644&amp;" x "&amp;G644</f>
        <v>Luiz Henrique x Costinha</v>
      </c>
      <c r="P644" s="94" t="n">
        <f aca="false">MONTH(B644)</f>
        <v>11</v>
      </c>
      <c r="Q644" s="94" t="n">
        <f aca="false">QUOTIENT(B644-2,7)-6129</f>
        <v>228</v>
      </c>
    </row>
    <row r="645" customFormat="false" ht="12.75" hidden="false" customHeight="false" outlineLevel="0" collapsed="false">
      <c r="A645" s="94"/>
      <c r="B645" s="39"/>
      <c r="C645" s="40"/>
      <c r="D645" s="98" t="n">
        <v>6</v>
      </c>
      <c r="E645" s="98" t="n">
        <v>0</v>
      </c>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15" t="n">
        <f aca="false">A644+1</f>
        <v>216</v>
      </c>
      <c r="B647" s="116" t="n">
        <v>44506</v>
      </c>
      <c r="C647" s="117" t="s">
        <v>13</v>
      </c>
      <c r="D647" s="118" t="n">
        <v>6</v>
      </c>
      <c r="E647" s="118" t="n">
        <v>2</v>
      </c>
      <c r="F647" s="117" t="s">
        <v>49</v>
      </c>
      <c r="G647" s="119" t="str">
        <f aca="false">C647</f>
        <v>Elias</v>
      </c>
      <c r="H647" s="115" t="n">
        <f aca="false">IF(AND(E647=0,E648=0),25,0)</f>
        <v>0</v>
      </c>
      <c r="I647" s="105" t="str">
        <f aca="false">F647</f>
        <v>Xuru</v>
      </c>
      <c r="J647" s="94" t="n">
        <f aca="false">IF(E647="WO40",-40,MAX(4,SUM(E647:E648)))</f>
        <v>4</v>
      </c>
      <c r="K647" s="104" t="n">
        <f aca="false">IF(D647&gt;E647,1,0)+IF(D648&gt;E648,1,0)+IF(D649&gt;E649,1,0)</f>
        <v>2</v>
      </c>
      <c r="L647" s="104" t="n">
        <f aca="false">IF(E647&gt;D647,1,0)+IF(E648&gt;D648,1,0)+IF(E649&gt;D649,1,0)</f>
        <v>0</v>
      </c>
      <c r="M647" s="97" t="str">
        <f aca="false">G647&amp;" d. "&amp;I647</f>
        <v>Elias d. Xuru</v>
      </c>
      <c r="N647" s="97" t="str">
        <f aca="false">G647&amp;" x "&amp;I647</f>
        <v>Elias x Xuru</v>
      </c>
      <c r="O647" s="97" t="str">
        <f aca="false">I647&amp;" x "&amp;G647</f>
        <v>Xuru x Elias</v>
      </c>
      <c r="P647" s="94" t="n">
        <f aca="false">MONTH(B647)</f>
        <v>11</v>
      </c>
      <c r="Q647" s="94" t="n">
        <f aca="false">QUOTIENT(B647-2,7)-6129</f>
        <v>228</v>
      </c>
    </row>
    <row r="648" customFormat="false" ht="12.75" hidden="false" customHeight="false" outlineLevel="0" collapsed="false">
      <c r="A648" s="120"/>
      <c r="B648" s="120"/>
      <c r="C648" s="117"/>
      <c r="D648" s="121" t="n">
        <v>6</v>
      </c>
      <c r="E648" s="121" t="n">
        <v>2</v>
      </c>
      <c r="F648" s="117"/>
      <c r="G648" s="117"/>
      <c r="H648" s="120"/>
      <c r="I648" s="97"/>
      <c r="J648" s="94"/>
      <c r="K648" s="94"/>
      <c r="L648" s="94"/>
      <c r="M648" s="97" t="n">
        <v>0</v>
      </c>
      <c r="N648" s="97" t="n">
        <v>0</v>
      </c>
      <c r="O648" s="97" t="n">
        <v>0</v>
      </c>
      <c r="P648" s="94"/>
      <c r="Q648" s="94"/>
    </row>
    <row r="649" customFormat="false" ht="12.75" hidden="false" customHeight="false" outlineLevel="0" collapsed="false">
      <c r="A649" s="122"/>
      <c r="B649" s="122"/>
      <c r="C649" s="123"/>
      <c r="D649" s="124"/>
      <c r="E649" s="124"/>
      <c r="F649" s="123"/>
      <c r="G649" s="123"/>
      <c r="H649" s="122"/>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t="n">
        <v>44507</v>
      </c>
      <c r="C650" s="40" t="s">
        <v>27</v>
      </c>
      <c r="D650" s="96" t="n">
        <v>6</v>
      </c>
      <c r="E650" s="96" t="n">
        <v>4</v>
      </c>
      <c r="F650" s="40" t="s">
        <v>33</v>
      </c>
      <c r="G650" s="105" t="str">
        <f aca="false">C650</f>
        <v>Magritto</v>
      </c>
      <c r="H650" s="104" t="n">
        <f aca="false">IF(AND(E650=0,E651=0),25,20)</f>
        <v>20</v>
      </c>
      <c r="I650" s="105" t="str">
        <f aca="false">F650</f>
        <v>Pedrão</v>
      </c>
      <c r="J650" s="94" t="n">
        <f aca="false">IF(E650="WO40",-40,MAX(4,SUM(E650:E651)))</f>
        <v>6</v>
      </c>
      <c r="K650" s="104" t="n">
        <f aca="false">IF(D650&gt;E650,1,0)+IF(D651&gt;E651,1,0)+IF(D652&gt;E652,1,0)</f>
        <v>2</v>
      </c>
      <c r="L650" s="104" t="n">
        <f aca="false">IF(E650&gt;D650,1,0)+IF(E651&gt;D651,1,0)+IF(E652&gt;D652,1,0)</f>
        <v>0</v>
      </c>
      <c r="M650" s="97" t="str">
        <f aca="false">G650&amp;" d. "&amp;I650</f>
        <v>Magritto d. Pedrão</v>
      </c>
      <c r="N650" s="97" t="str">
        <f aca="false">G650&amp;" x "&amp;I650</f>
        <v>Magritto x Pedrão</v>
      </c>
      <c r="O650" s="97" t="str">
        <f aca="false">I650&amp;" x "&amp;G650</f>
        <v>Pedrão x Magritto</v>
      </c>
      <c r="P650" s="94" t="n">
        <f aca="false">MONTH(B650)</f>
        <v>11</v>
      </c>
      <c r="Q650" s="94" t="n">
        <f aca="false">QUOTIENT(B650-2,7)-6129</f>
        <v>228</v>
      </c>
    </row>
    <row r="651" customFormat="false" ht="12.75" hidden="false" customHeight="false" outlineLevel="0" collapsed="false">
      <c r="A651" s="94"/>
      <c r="B651" s="39"/>
      <c r="C651" s="40"/>
      <c r="D651" s="98" t="n">
        <v>6</v>
      </c>
      <c r="E651" s="98" t="n">
        <v>2</v>
      </c>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t="n">
        <v>44507</v>
      </c>
      <c r="C653" s="40" t="s">
        <v>35</v>
      </c>
      <c r="D653" s="96" t="n">
        <v>6</v>
      </c>
      <c r="E653" s="96" t="n">
        <v>0</v>
      </c>
      <c r="F653" s="40" t="s">
        <v>23</v>
      </c>
      <c r="G653" s="105" t="str">
        <f aca="false">C653</f>
        <v>Persio</v>
      </c>
      <c r="H653" s="104" t="n">
        <f aca="false">IF(AND(E653=0,E654=0),25,20)</f>
        <v>25</v>
      </c>
      <c r="I653" s="105" t="str">
        <f aca="false">F653</f>
        <v>Ivan</v>
      </c>
      <c r="J653" s="94" t="n">
        <f aca="false">IF(E653="WO40",-40,MAX(4,SUM(E653:E654)))</f>
        <v>4</v>
      </c>
      <c r="K653" s="104" t="n">
        <f aca="false">IF(D653&gt;E653,1,0)+IF(D654&gt;E654,1,0)+IF(D655&gt;E655,1,0)</f>
        <v>2</v>
      </c>
      <c r="L653" s="104" t="n">
        <f aca="false">IF(E653&gt;D653,1,0)+IF(E654&gt;D654,1,0)+IF(E655&gt;D655,1,0)</f>
        <v>0</v>
      </c>
      <c r="M653" s="97" t="str">
        <f aca="false">G653&amp;" d. "&amp;I653</f>
        <v>Persio d. Ivan</v>
      </c>
      <c r="N653" s="97" t="str">
        <f aca="false">G653&amp;" x "&amp;I653</f>
        <v>Persio x Ivan</v>
      </c>
      <c r="O653" s="97" t="str">
        <f aca="false">I653&amp;" x "&amp;G653</f>
        <v>Ivan x Persio</v>
      </c>
      <c r="P653" s="94" t="n">
        <f aca="false">MONTH(B653)</f>
        <v>11</v>
      </c>
      <c r="Q653" s="94" t="n">
        <f aca="false">QUOTIENT(B653-2,7)-6129</f>
        <v>228</v>
      </c>
    </row>
    <row r="654" customFormat="false" ht="12.75" hidden="false" customHeight="false" outlineLevel="0" collapsed="false">
      <c r="A654" s="94"/>
      <c r="B654" s="39"/>
      <c r="C654" s="40"/>
      <c r="D654" s="98" t="n">
        <v>6</v>
      </c>
      <c r="E654" s="98" t="n">
        <v>0</v>
      </c>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25"/>
      <c r="E3" s="12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2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26" t="s">
        <v>42</v>
      </c>
      <c r="T5" s="1" t="n">
        <v>20</v>
      </c>
    </row>
    <row r="6" customFormat="false" ht="12.75" hidden="false" customHeight="false" outlineLevel="0" collapsed="false">
      <c r="A6" s="94"/>
      <c r="B6" s="39"/>
      <c r="C6" s="40"/>
      <c r="D6" s="125"/>
      <c r="E6" s="12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25"/>
      <c r="E9" s="12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25"/>
      <c r="E12" s="12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2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25"/>
      <c r="E15" s="12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25"/>
      <c r="E18" s="12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25"/>
      <c r="E21" s="12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25"/>
      <c r="E24" s="12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25"/>
      <c r="E27" s="12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25"/>
      <c r="E30" s="12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25"/>
      <c r="E33" s="12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25"/>
      <c r="E36" s="12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25"/>
      <c r="E39" s="12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25"/>
      <c r="E42" s="12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25"/>
      <c r="E45" s="12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25"/>
      <c r="E48" s="12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25"/>
      <c r="E51" s="12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25"/>
      <c r="E54" s="12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25"/>
      <c r="E57" s="12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25"/>
      <c r="E60" s="12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25"/>
      <c r="E63" s="12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25"/>
      <c r="E66" s="12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25"/>
      <c r="E69" s="12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25"/>
      <c r="E72" s="12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25"/>
      <c r="E75" s="12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25"/>
      <c r="E78" s="12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2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28" width="16.71"/>
    <col collapsed="false" customWidth="true" hidden="false" outlineLevel="0" max="1025" min="3" style="0" width="8.53"/>
  </cols>
  <sheetData>
    <row r="1" customFormat="false" ht="15" hidden="false" customHeight="false" outlineLevel="0" collapsed="false">
      <c r="A1" s="129" t="s">
        <v>2</v>
      </c>
      <c r="B1" s="129" t="s">
        <v>27</v>
      </c>
    </row>
    <row r="2" customFormat="false" ht="15" hidden="false" customHeight="false" outlineLevel="0" collapsed="false">
      <c r="A2" s="129" t="s">
        <v>3</v>
      </c>
      <c r="B2" s="129" t="s">
        <v>28</v>
      </c>
    </row>
    <row r="3" customFormat="false" ht="15" hidden="false" customHeight="false" outlineLevel="0" collapsed="false">
      <c r="A3" s="129" t="s">
        <v>4</v>
      </c>
      <c r="B3" s="129" t="s">
        <v>29</v>
      </c>
    </row>
    <row r="4" customFormat="false" ht="15" hidden="false" customHeight="false" outlineLevel="0" collapsed="false">
      <c r="A4" s="129" t="s">
        <v>5</v>
      </c>
      <c r="B4" s="129" t="s">
        <v>30</v>
      </c>
    </row>
    <row r="5" customFormat="false" ht="15" hidden="false" customHeight="false" outlineLevel="0" collapsed="false">
      <c r="A5" s="129" t="s">
        <v>6</v>
      </c>
      <c r="B5" s="129" t="s">
        <v>31</v>
      </c>
    </row>
    <row r="6" customFormat="false" ht="15" hidden="false" customHeight="false" outlineLevel="0" collapsed="false">
      <c r="A6" s="129" t="s">
        <v>7</v>
      </c>
      <c r="B6" s="129" t="s">
        <v>32</v>
      </c>
    </row>
    <row r="7" customFormat="false" ht="15" hidden="false" customHeight="false" outlineLevel="0" collapsed="false">
      <c r="A7" s="129" t="s">
        <v>8</v>
      </c>
      <c r="B7" s="129" t="s">
        <v>33</v>
      </c>
    </row>
    <row r="8" customFormat="false" ht="15" hidden="false" customHeight="false" outlineLevel="0" collapsed="false">
      <c r="A8" s="129" t="s">
        <v>9</v>
      </c>
      <c r="B8" s="129" t="s">
        <v>34</v>
      </c>
    </row>
    <row r="9" customFormat="false" ht="15" hidden="false" customHeight="false" outlineLevel="0" collapsed="false">
      <c r="A9" s="129" t="s">
        <v>10</v>
      </c>
      <c r="B9" s="129" t="s">
        <v>35</v>
      </c>
    </row>
    <row r="10" customFormat="false" ht="15" hidden="false" customHeight="false" outlineLevel="0" collapsed="false">
      <c r="A10" s="129" t="s">
        <v>99</v>
      </c>
      <c r="B10" s="129" t="s">
        <v>36</v>
      </c>
    </row>
    <row r="11" customFormat="false" ht="15" hidden="false" customHeight="false" outlineLevel="0" collapsed="false">
      <c r="A11" s="129" t="s">
        <v>12</v>
      </c>
      <c r="B11" s="129" t="s">
        <v>37</v>
      </c>
    </row>
    <row r="12" customFormat="false" ht="15" hidden="false" customHeight="false" outlineLevel="0" collapsed="false">
      <c r="A12" s="129" t="s">
        <v>13</v>
      </c>
      <c r="B12" s="129" t="s">
        <v>38</v>
      </c>
    </row>
    <row r="13" customFormat="false" ht="15" hidden="false" customHeight="false" outlineLevel="0" collapsed="false">
      <c r="A13" s="129" t="s">
        <v>14</v>
      </c>
      <c r="B13" s="129" t="s">
        <v>39</v>
      </c>
    </row>
    <row r="14" customFormat="false" ht="15" hidden="false" customHeight="false" outlineLevel="0" collapsed="false">
      <c r="A14" s="129" t="s">
        <v>15</v>
      </c>
      <c r="B14" s="129" t="s">
        <v>40</v>
      </c>
    </row>
    <row r="15" customFormat="false" ht="15" hidden="false" customHeight="false" outlineLevel="0" collapsed="false">
      <c r="A15" s="129" t="s">
        <v>16</v>
      </c>
      <c r="B15" s="129" t="s">
        <v>41</v>
      </c>
    </row>
    <row r="16" customFormat="false" ht="15" hidden="false" customHeight="false" outlineLevel="0" collapsed="false">
      <c r="A16" s="129" t="s">
        <v>17</v>
      </c>
      <c r="B16" s="129" t="s">
        <v>42</v>
      </c>
    </row>
    <row r="17" customFormat="false" ht="15" hidden="false" customHeight="false" outlineLevel="0" collapsed="false">
      <c r="A17" s="129" t="s">
        <v>18</v>
      </c>
      <c r="B17" s="129" t="s">
        <v>43</v>
      </c>
    </row>
    <row r="18" customFormat="false" ht="15" hidden="false" customHeight="false" outlineLevel="0" collapsed="false">
      <c r="A18" s="129" t="s">
        <v>19</v>
      </c>
      <c r="B18" s="129" t="s">
        <v>44</v>
      </c>
    </row>
    <row r="19" customFormat="false" ht="15" hidden="false" customHeight="false" outlineLevel="0" collapsed="false">
      <c r="A19" s="129" t="s">
        <v>20</v>
      </c>
      <c r="B19" s="129" t="s">
        <v>45</v>
      </c>
    </row>
    <row r="20" customFormat="false" ht="15" hidden="false" customHeight="false" outlineLevel="0" collapsed="false">
      <c r="A20" s="129" t="s">
        <v>21</v>
      </c>
      <c r="B20" s="129" t="s">
        <v>46</v>
      </c>
    </row>
    <row r="21" customFormat="false" ht="15" hidden="false" customHeight="false" outlineLevel="0" collapsed="false">
      <c r="A21" s="129" t="s">
        <v>22</v>
      </c>
      <c r="B21" s="129" t="s">
        <v>47</v>
      </c>
    </row>
    <row r="22" customFormat="false" ht="15" hidden="false" customHeight="false" outlineLevel="0" collapsed="false">
      <c r="A22" s="129" t="s">
        <v>23</v>
      </c>
      <c r="B22" s="129" t="s">
        <v>48</v>
      </c>
    </row>
    <row r="23" customFormat="false" ht="15" hidden="false" customHeight="false" outlineLevel="0" collapsed="false">
      <c r="A23" s="129" t="s">
        <v>24</v>
      </c>
      <c r="B23" s="129" t="s">
        <v>49</v>
      </c>
    </row>
    <row r="24" customFormat="false" ht="15" hidden="false" customHeight="false" outlineLevel="0" collapsed="false">
      <c r="A24" s="129" t="s">
        <v>25</v>
      </c>
      <c r="B24" s="129" t="s">
        <v>50</v>
      </c>
    </row>
    <row r="25" customFormat="false" ht="15" hidden="false" customHeight="false" outlineLevel="0" collapsed="false">
      <c r="A25" s="129" t="s">
        <v>26</v>
      </c>
      <c r="B25" s="13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2" activeCellId="0" sqref="F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62</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44506</v>
      </c>
      <c r="C11" s="40" t="s">
        <v>5</v>
      </c>
      <c r="D11" s="96"/>
      <c r="E11" s="96"/>
      <c r="F11" s="40" t="s">
        <v>30</v>
      </c>
      <c r="G11" s="105" t="str">
        <f aca="false">C11</f>
        <v>Bruno</v>
      </c>
      <c r="H11" s="104" t="n">
        <f aca="false">IF(AND(E11=0,E12=0),25,20)</f>
        <v>25</v>
      </c>
      <c r="I11" s="105" t="str">
        <f aca="false">F11</f>
        <v>Oswald</v>
      </c>
      <c r="J11" s="94" t="n">
        <f aca="false">IF(E11="WO40",-40,MAX(4,SUM(E11:E12)))</f>
        <v>4</v>
      </c>
      <c r="K11" s="104" t="n">
        <f aca="false">IF(D11&gt;E11,1,0)+IF(D12&gt;E12,1,0)+IF(D13&gt;E13,1,0)</f>
        <v>0</v>
      </c>
      <c r="L11" s="104" t="n">
        <f aca="false">IF(E11&gt;D11,1,0)+IF(E12&gt;D12,1,0)+IF(E13&gt;D13,1,0)</f>
        <v>0</v>
      </c>
      <c r="M11" s="97" t="str">
        <f aca="false">G11&amp;" d. "&amp;I11</f>
        <v>Bruno d. Oswald</v>
      </c>
      <c r="N11" s="97" t="str">
        <f aca="false">G11&amp;" x "&amp;I11</f>
        <v>Bruno x Oswald</v>
      </c>
      <c r="O11" s="97" t="str">
        <f aca="false">I11&amp;" x "&amp;G11</f>
        <v>Oswald x Bruno</v>
      </c>
      <c r="P11" s="94" t="n">
        <f aca="false">MONTH(B11)</f>
        <v>11</v>
      </c>
      <c r="Q11" s="94" t="n">
        <f aca="false">QUOTIENT(B11-2,7)-6129</f>
        <v>228</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3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3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3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3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3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3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3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3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3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3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3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3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3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3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3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3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3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3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3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3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3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3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3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3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3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3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3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3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3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3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3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3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3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3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3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3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3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3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3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3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3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3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3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3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3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3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3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3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3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3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3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3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3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3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3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3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3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3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3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3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3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3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3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3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3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3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3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3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3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3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3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3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3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3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3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3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3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3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3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3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3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3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3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3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3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3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3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3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3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3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3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3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3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3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3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3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3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3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3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3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3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3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3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3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3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3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3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3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3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3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3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3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3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3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3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3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3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3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3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3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3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3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3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3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3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3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3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3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3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3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3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3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3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3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3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3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3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3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3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3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3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3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3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3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3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3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3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3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3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3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3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3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3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3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3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3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3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3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3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3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3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3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3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3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3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3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3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3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3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3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3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3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3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3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3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3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3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3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3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3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3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3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3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3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3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3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3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3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3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3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3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3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3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3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3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3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3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3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3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3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3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3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3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3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3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3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3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3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3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3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3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3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3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3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3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3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3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3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3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3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3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3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3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3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3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3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3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3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3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3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3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3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3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3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3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3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3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3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3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3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3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3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3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3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3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3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3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3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3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3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3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3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3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3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3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3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3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2021-11-08T09:49:37Z</dcterms:modified>
  <cp:revision>54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