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hidden"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<sst xmlns="http://schemas.openxmlformats.org/spreadsheetml/2006/main" count="683" uniqueCount="100">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</sst>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7" strike="noStrike">
                <a:solidFill>
                  <a:srgbClr val="f2f2f2"/>
                </a:solidFill>
                <a:latin typeface="Arial Narrow"/>
              </a:defRPr>
            </a:pPr>
            <a:r>
              <a:rPr b="1" sz="1600" spc="7"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Robertinho</c:v>
                </c:pt>
                <c:pt idx="2">
                  <c:v>Pitch</c:v>
                </c:pt>
                <c:pt idx="3">
                  <c:v>Luiz Henrique</c:v>
                </c:pt>
                <c:pt idx="4">
                  <c:v>Duclerc</c:v>
                </c:pt>
                <c:pt idx="5">
                  <c:v>Oswald</c:v>
                </c:pt>
                <c:pt idx="6">
                  <c:v>Costinha</c:v>
                </c:pt>
                <c:pt idx="7">
                  <c:v>Flavio</c:v>
                </c:pt>
                <c:pt idx="8">
                  <c:v>Juan</c:v>
                </c:pt>
                <c:pt idx="9">
                  <c:v>Paulo</c:v>
                </c:pt>
                <c:pt idx="10">
                  <c:v>Xuru</c:v>
                </c:pt>
                <c:pt idx="11">
                  <c:v>Carlos Coimbra</c:v>
                </c:pt>
                <c:pt idx="12">
                  <c:v>Pinga</c:v>
                </c:pt>
                <c:pt idx="13">
                  <c:v>Persio</c:v>
                </c:pt>
                <c:pt idx="14">
                  <c:v>Caio</c:v>
                </c:pt>
                <c:pt idx="15">
                  <c:v>Ivan</c:v>
                </c:pt>
                <c:pt idx="16">
                  <c:v>Felipe</c:v>
                </c:pt>
                <c:pt idx="17">
                  <c:v>Magritto</c:v>
                </c:pt>
                <c:pt idx="18">
                  <c:v>Pedrão</c:v>
                </c:pt>
                <c:pt idx="19">
                  <c:v>Sérgio Nacif</c:v>
                </c:pt>
                <c:pt idx="20">
                  <c:v>Rubens</c:v>
                </c:pt>
                <c:pt idx="21">
                  <c:v>Luis Carlos</c:v>
                </c:pt>
                <c:pt idx="22">
                  <c:v>Guto</c:v>
                </c:pt>
                <c:pt idx="23">
                  <c:v>Fabinho</c:v>
                </c:pt>
                <c:pt idx="24">
                  <c:v>Salgado</c:v>
                </c:pt>
                <c:pt idx="25">
                  <c:v>Andre Bruni</c:v>
                </c:pt>
                <c:pt idx="26">
                  <c:v>Bruno</c:v>
                </c:pt>
                <c:pt idx="27">
                  <c:v>Palazzo</c:v>
                </c:pt>
                <c:pt idx="28">
                  <c:v>Danilo</c:v>
                </c:pt>
                <c:pt idx="29">
                  <c:v>Yokota</c:v>
                </c:pt>
                <c:pt idx="30">
                  <c:v>Fernando Bio</c:v>
                </c:pt>
                <c:pt idx="31">
                  <c:v>Walderi</c:v>
                </c:pt>
                <c:pt idx="32">
                  <c:v>Arthur Fontalvinho</c:v>
                </c:pt>
                <c:pt idx="33">
                  <c:v>Bérgamo</c:v>
                </c:pt>
                <c:pt idx="34">
                  <c:v>Bernardo</c:v>
                </c:pt>
                <c:pt idx="35">
                  <c:v>Daniel Borges</c:v>
                </c:pt>
                <c:pt idx="36">
                  <c:v>Fiorito</c:v>
                </c:pt>
                <c:pt idx="37">
                  <c:v>Fontalvo</c:v>
                </c:pt>
                <c:pt idx="38">
                  <c:v>Grilovic</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600.000665605241</c:v>
                </c:pt>
                <c:pt idx="1">
                  <c:v>451.000811825706</c:v>
                </c:pt>
                <c:pt idx="2">
                  <c:v>447.000953635429</c:v>
                </c:pt>
                <c:pt idx="3">
                  <c:v>353.000870908333</c:v>
                </c:pt>
                <c:pt idx="4">
                  <c:v>347.000693839</c:v>
                </c:pt>
                <c:pt idx="5">
                  <c:v>341.000803404333</c:v>
                </c:pt>
                <c:pt idx="6">
                  <c:v>328.000707785308</c:v>
                </c:pt>
                <c:pt idx="7">
                  <c:v>326.000594200647</c:v>
                </c:pt>
                <c:pt idx="8">
                  <c:v>321.000319642217</c:v>
                </c:pt>
                <c:pt idx="9">
                  <c:v>255.000655069</c:v>
                </c:pt>
                <c:pt idx="10">
                  <c:v>251.000280607556</c:v>
                </c:pt>
                <c:pt idx="11">
                  <c:v>248.000820094</c:v>
                </c:pt>
                <c:pt idx="12">
                  <c:v>248.000462565</c:v>
                </c:pt>
                <c:pt idx="13">
                  <c:v>200.000909156909</c:v>
                </c:pt>
                <c:pt idx="14">
                  <c:v>197.000831345</c:v>
                </c:pt>
                <c:pt idx="15">
                  <c:v>180.000675078</c:v>
                </c:pt>
                <c:pt idx="16">
                  <c:v>152.000858419333</c:v>
                </c:pt>
                <c:pt idx="17">
                  <c:v>145.000906324</c:v>
                </c:pt>
                <c:pt idx="18">
                  <c:v>140.001000068</c:v>
                </c:pt>
                <c:pt idx="19">
                  <c:v>136.000700058</c:v>
                </c:pt>
                <c:pt idx="20">
                  <c:v>122.000677834778</c:v>
                </c:pt>
                <c:pt idx="21">
                  <c:v>120.000461614462</c:v>
                </c:pt>
                <c:pt idx="22">
                  <c:v>108.000577830778</c:v>
                </c:pt>
                <c:pt idx="23">
                  <c:v>96.000720087</c:v>
                </c:pt>
                <c:pt idx="24">
                  <c:v>76.0008667256667</c:v>
                </c:pt>
                <c:pt idx="25">
                  <c:v>73.0006083883333</c:v>
                </c:pt>
                <c:pt idx="26">
                  <c:v>47.0007834293333</c:v>
                </c:pt>
                <c:pt idx="27">
                  <c:v>45.00112507</c:v>
                </c:pt>
                <c:pt idx="28">
                  <c:v>24.000600091</c:v>
                </c:pt>
                <c:pt idx="29">
                  <c:v>20.000200051</c:v>
                </c:pt>
                <c:pt idx="30">
                  <c:v>16.000400085</c:v>
                </c:pt>
                <c:pt idx="31">
                  <c:v>4.00020009</c:v>
                </c:pt>
                <c:pt idx="32">
                  <c:v>9.9E-008</c:v>
                </c:pt>
                <c:pt idx="33">
                  <c:v>9.8E-008</c:v>
                </c:pt>
                <c:pt idx="34">
                  <c:v>9.7E-008</c:v>
                </c:pt>
                <c:pt idx="35">
                  <c:v>9.2E-008</c:v>
                </c:pt>
                <c:pt idx="36">
                  <c:v>8.4E-008</c:v>
                </c:pt>
                <c:pt idx="37">
                  <c:v>8.2E-008</c:v>
                </c:pt>
                <c:pt idx="38">
                  <c:v>8.1E-008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76086492"/>
        <c:axId val="57068233"/>
      </c:barChart>
      <c:catAx>
        <c:axId val="76086492"/>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57068233"/>
        <c:crosses val="autoZero"/>
        <c:auto val="1"/>
        <c:lblAlgn val="ctr"/>
        <c:lblOffset val="100"/>
      </c:catAx>
      <c:valAx>
        <c:axId val="57068233"/>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76086492"/>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278280</xdr:colOff>
      <xdr:row>42</xdr:row>
      <xdr:rowOff>145800</xdr:rowOff>
    </xdr:to>
    <xdr:graphicFrame>
      <xdr:nvGraphicFramePr>
        <xdr:cNvPr id="0" name="Chart 1"/>
        <xdr:cNvGraphicFramePr/>
      </xdr:nvGraphicFramePr>
      <xdr:xfrm>
        <a:off x="0" y="0"/>
        <a:ext cx="10118160" cy="697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29</v>
      </c>
      <c r="D3" s="22" t="str">
        <f aca="false">VLOOKUP($A3,$N:$Z,R$1,0)&amp;"-"&amp;VLOOKUP($A3,$N:$Z,S$1,0)</f>
        <v>15-14</v>
      </c>
      <c r="E3" s="20" t="n">
        <f aca="false">VLOOKUP($A3,$N:$Z,X$1,0)</f>
        <v>386</v>
      </c>
      <c r="F3" s="20" t="n">
        <f aca="false">VLOOKUP($A3,$N:$Z,V$1,0)</f>
        <v>0</v>
      </c>
      <c r="G3" s="20" t="n">
        <f aca="false">VLOOKUP($A3,$N:$Z,W$1,0)</f>
        <v>64</v>
      </c>
      <c r="H3" s="20" t="n">
        <f aca="false">VLOOKUP($A3,$N:$Z,Y$1,0)</f>
        <v>150</v>
      </c>
      <c r="I3" s="23" t="n">
        <f aca="false">VLOOKUP($A3,$N:$Z,13,0)</f>
        <v>600.000665605241</v>
      </c>
      <c r="J3" s="24" t="s">
        <v>75</v>
      </c>
      <c r="K3" s="25" t="n">
        <f aca="false">VLOOKUP($A3,$N:$Z,R$1,0)</f>
        <v>15</v>
      </c>
      <c r="L3" s="25" t="n">
        <f aca="false">VLOOKUP($A3,$N:$Z,S$1,0)</f>
        <v>14</v>
      </c>
      <c r="M3" s="25"/>
      <c r="N3" s="26" t="n">
        <f aca="false">RANK(Z3,Z:Z)</f>
        <v>33</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1551</v>
      </c>
      <c r="AE3" s="2" t="n">
        <f aca="false">AC3-AB3</f>
        <v>150</v>
      </c>
      <c r="AF3" s="2" t="n">
        <f aca="false">AD3/AE3</f>
        <v>10.34</v>
      </c>
      <c r="AG3" s="30" t="n">
        <f aca="false">E3/$AF$3</f>
        <v>37.330754352031</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Robertinho</v>
      </c>
      <c r="C4" s="31" t="n">
        <f aca="false">VLOOKUP($A4,$N:$Z,Q$1,0)</f>
        <v>17</v>
      </c>
      <c r="D4" s="33" t="str">
        <f aca="false">VLOOKUP($A4,$N:$Z,R$1,0)&amp;"-"&amp;VLOOKUP($A4,$N:$Z,S$1,0)</f>
        <v>12-5</v>
      </c>
      <c r="E4" s="31" t="n">
        <f aca="false">VLOOKUP($A4,$N:$Z,X$1,0)</f>
        <v>301</v>
      </c>
      <c r="F4" s="31" t="n">
        <f aca="false">VLOOKUP($A4,$N:$Z,V$1,0)</f>
        <v>25</v>
      </c>
      <c r="G4" s="31" t="n">
        <f aca="false">VLOOKUP($A4,$N:$Z,W$1,0)</f>
        <v>0</v>
      </c>
      <c r="H4" s="31" t="n">
        <f aca="false">VLOOKUP($A4,$N:$Z,Y$1,0)</f>
        <v>150</v>
      </c>
      <c r="I4" s="34" t="n">
        <f aca="false">VLOOKUP($A4,$N:$Z,13,0)</f>
        <v>451.000811825706</v>
      </c>
      <c r="J4" s="24"/>
      <c r="K4" s="35" t="n">
        <f aca="false">VLOOKUP($A4,$N:$Z,R$1,0)</f>
        <v>12</v>
      </c>
      <c r="L4" s="35" t="n">
        <f aca="false">VLOOKUP($A4,$N:$Z,S$1,0)</f>
        <v>5</v>
      </c>
      <c r="M4" s="35"/>
      <c r="N4" s="36" t="n">
        <f aca="false">RANK(Z4,Z:Z)</f>
        <v>34</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29.110251450677</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14</v>
      </c>
      <c r="D5" s="33" t="str">
        <f aca="false">VLOOKUP($A5,$N:$Z,R$1,0)&amp;"-"&amp;VLOOKUP($A5,$N:$Z,S$1,0)</f>
        <v>12-2</v>
      </c>
      <c r="E5" s="31" t="n">
        <f aca="false">VLOOKUP($A5,$N:$Z,X$1,0)</f>
        <v>267</v>
      </c>
      <c r="F5" s="31" t="n">
        <f aca="false">VLOOKUP($A5,$N:$Z,V$1,0)</f>
        <v>0</v>
      </c>
      <c r="G5" s="31" t="n">
        <f aca="false">VLOOKUP($A5,$N:$Z,W$1,0)</f>
        <v>80</v>
      </c>
      <c r="H5" s="31" t="n">
        <f aca="false">VLOOKUP($A5,$N:$Z,Y$1,0)</f>
        <v>100</v>
      </c>
      <c r="I5" s="34" t="n">
        <f aca="false">VLOOKUP($A5,$N:$Z,13,0)</f>
        <v>447.000953635429</v>
      </c>
      <c r="J5" s="24"/>
      <c r="K5" s="35" t="n">
        <f aca="false">VLOOKUP($A5,$N:$Z,R$1,0)</f>
        <v>12</v>
      </c>
      <c r="L5" s="35" t="n">
        <f aca="false">VLOOKUP($A5,$N:$Z,S$1,0)</f>
        <v>2</v>
      </c>
      <c r="M5" s="35"/>
      <c r="N5" s="36" t="n">
        <f aca="false">RANK(Z5,Z:Z)</f>
        <v>35</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25.8220502901354</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Luiz Henrique</v>
      </c>
      <c r="C6" s="31" t="n">
        <f aca="false">VLOOKUP($A6,$N:$Z,Q$1,0)</f>
        <v>12</v>
      </c>
      <c r="D6" s="33" t="str">
        <f aca="false">VLOOKUP($A6,$N:$Z,R$1,0)&amp;"-"&amp;VLOOKUP($A6,$N:$Z,S$1,0)</f>
        <v>9-3</v>
      </c>
      <c r="E6" s="31" t="n">
        <f aca="false">VLOOKUP($A6,$N:$Z,X$1,0)</f>
        <v>209</v>
      </c>
      <c r="F6" s="31" t="n">
        <f aca="false">VLOOKUP($A6,$N:$Z,V$1,0)</f>
        <v>0</v>
      </c>
      <c r="G6" s="31" t="n">
        <f aca="false">VLOOKUP($A6,$N:$Z,W$1,0)</f>
        <v>44</v>
      </c>
      <c r="H6" s="31" t="n">
        <f aca="false">VLOOKUP($A6,$N:$Z,Y$1,0)</f>
        <v>100</v>
      </c>
      <c r="I6" s="34" t="n">
        <f aca="false">VLOOKUP($A6,$N:$Z,13,0)</f>
        <v>353.000870908333</v>
      </c>
      <c r="J6" s="24"/>
      <c r="K6" s="35" t="n">
        <f aca="false">VLOOKUP($A6,$N:$Z,R$1,0)</f>
        <v>9</v>
      </c>
      <c r="L6" s="35" t="n">
        <f aca="false">VLOOKUP($A6,$N:$Z,S$1,0)</f>
        <v>3</v>
      </c>
      <c r="M6" s="35"/>
      <c r="N6" s="36" t="n">
        <f aca="false">RANK(Z6,Z:Z)</f>
        <v>27</v>
      </c>
      <c r="O6" s="35" t="n">
        <v>4</v>
      </c>
      <c r="P6" s="36" t="s">
        <v>5</v>
      </c>
      <c r="Q6" s="36" t="n">
        <f aca="false">COUNTIF(CORRIDA!G:G,CLASSIF!P6)+COUNTIF(CORRIDA!I:I,CLASSIF!P6)</f>
        <v>3</v>
      </c>
      <c r="R6" s="36" t="n">
        <f aca="false">COUNTIF(CORRIDA!G:G,CLASSIF!$P6)</f>
        <v>2</v>
      </c>
      <c r="S6" s="36" t="n">
        <f aca="false">COUNTIF(CORRIDA!I:I,CLASSIF!P6)</f>
        <v>1</v>
      </c>
      <c r="T6" s="37" t="n">
        <f aca="false">IF(Q6=0,0,U6/(Q6*20))</f>
        <v>0.783333333333333</v>
      </c>
      <c r="U6" s="36" t="n">
        <f aca="false">SUMIF(CORRIDA!G:G,CLASSIF!P6,CORRIDA!H:H)+SUMIF(CORRIDA!I:I,CLASSIF!P6,CORRIDA!J:J)</f>
        <v>47</v>
      </c>
      <c r="V6" s="36" t="n">
        <f aca="false">SUMIF(WOs!G:G,CLASSIF!P6,WOs!H:H)+SUMIF(WOs!I:I,CLASSIF!P6,WOs!J:J)</f>
        <v>0</v>
      </c>
      <c r="W6" s="36" t="n">
        <f aca="false">SUMIF(TORNEIO!G:G,CLASSIF!P6,TORNEIO!H:H)+SUMIF(TORNEIO!I:I,CLASSIF!P6,TORNEIO!J:J)+SUMIF(TORNEIO!S:S,CLASSIF!P6,TORNEIO!T:T)</f>
        <v>0</v>
      </c>
      <c r="X6" s="36" t="n">
        <f aca="false">SUM(U6:V6)</f>
        <v>47</v>
      </c>
      <c r="Y6" s="36" t="n">
        <f aca="false">VLOOKUP(P6,STATS!$B$2:$DF$52,109,0)</f>
        <v>0</v>
      </c>
      <c r="Z6" s="38" t="n">
        <f aca="false">SUM(W6:Y6)+T6/1000+(100-O6)/1000000000</f>
        <v>47.0007834293333</v>
      </c>
      <c r="AA6" s="36"/>
      <c r="AG6" s="30" t="n">
        <f aca="false">E6/$AF$3</f>
        <v>20.2127659574468</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Duclerc</v>
      </c>
      <c r="C7" s="31" t="n">
        <f aca="false">VLOOKUP($A7,$N:$Z,Q$1,0)</f>
        <v>16</v>
      </c>
      <c r="D7" s="33" t="str">
        <f aca="false">VLOOKUP($A7,$N:$Z,R$1,0)&amp;"-"&amp;VLOOKUP($A7,$N:$Z,S$1,0)</f>
        <v>8-8</v>
      </c>
      <c r="E7" s="31" t="n">
        <f aca="false">VLOOKUP($A7,$N:$Z,X$1,0)</f>
        <v>222</v>
      </c>
      <c r="F7" s="31" t="n">
        <f aca="false">VLOOKUP($A7,$N:$Z,V$1,0)</f>
        <v>0</v>
      </c>
      <c r="G7" s="31" t="n">
        <f aca="false">VLOOKUP($A7,$N:$Z,W$1,0)</f>
        <v>25</v>
      </c>
      <c r="H7" s="31" t="n">
        <f aca="false">VLOOKUP($A7,$N:$Z,Y$1,0)</f>
        <v>100</v>
      </c>
      <c r="I7" s="34" t="n">
        <f aca="false">VLOOKUP($A7,$N:$Z,13,0)</f>
        <v>347.000693839</v>
      </c>
      <c r="J7" s="24"/>
      <c r="K7" s="35" t="n">
        <f aca="false">VLOOKUP($A7,$N:$Z,R$1,0)</f>
        <v>8</v>
      </c>
      <c r="L7" s="35" t="n">
        <f aca="false">VLOOKUP($A7,$N:$Z,S$1,0)</f>
        <v>8</v>
      </c>
      <c r="M7" s="35"/>
      <c r="N7" s="36" t="n">
        <f aca="false">RANK(Z7,Z:Z)</f>
        <v>15</v>
      </c>
      <c r="O7" s="35" t="n">
        <v>5</v>
      </c>
      <c r="P7" s="36" t="s">
        <v>6</v>
      </c>
      <c r="Q7" s="36" t="n">
        <f aca="false">COUNTIF(CORRIDA!G:G,CLASSIF!P7)+COUNTIF(CORRIDA!I:I,CLASSIF!P7)</f>
        <v>8</v>
      </c>
      <c r="R7" s="36" t="n">
        <f aca="false">COUNTIF(CORRIDA!G:G,CLASSIF!$P7)</f>
        <v>6</v>
      </c>
      <c r="S7" s="36" t="n">
        <f aca="false">COUNTIF(CORRIDA!I:I,CLASSIF!P7)</f>
        <v>2</v>
      </c>
      <c r="T7" s="37" t="n">
        <f aca="false">IF(Q7=0,0,U7/(Q7*20))</f>
        <v>0.83125</v>
      </c>
      <c r="U7" s="36" t="n">
        <f aca="false">SUMIF(CORRIDA!G:G,CLASSIF!P7,CORRIDA!H:H)+SUMIF(CORRIDA!I:I,CLASSIF!P7,CORRIDA!J:J)</f>
        <v>133</v>
      </c>
      <c r="V7" s="36" t="n">
        <f aca="false">SUMIF(WOs!G:G,CLASSIF!P7,WOs!H:H)+SUMIF(WOs!I:I,CLASSIF!P7,WOs!J:J)</f>
        <v>0</v>
      </c>
      <c r="W7" s="36" t="n">
        <f aca="false">SUMIF(TORNEIO!G:G,CLASSIF!P7,TORNEIO!H:H)+SUMIF(TORNEIO!I:I,CLASSIF!P7,TORNEIO!J:J)+SUMIF(TORNEIO!S:S,CLASSIF!P7,TORNEIO!T:T)</f>
        <v>64</v>
      </c>
      <c r="X7" s="36" t="n">
        <f aca="false">SUM(U7:V7)</f>
        <v>133</v>
      </c>
      <c r="Y7" s="36" t="n">
        <f aca="false">VLOOKUP(P7,STATS!$B$2:$DF$52,109,0)</f>
        <v>0</v>
      </c>
      <c r="Z7" s="38" t="n">
        <f aca="false">SUM(W7:Y7)+T7/1000+(100-O7)/1000000000</f>
        <v>197.000831345</v>
      </c>
      <c r="AA7" s="36"/>
      <c r="AG7" s="30" t="n">
        <f aca="false">E7/$AF$3</f>
        <v>21.4700193423598</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Oswald</v>
      </c>
      <c r="C8" s="31" t="n">
        <f aca="false">VLOOKUP($A8,$N:$Z,Q$1,0)</f>
        <v>15</v>
      </c>
      <c r="D8" s="33" t="str">
        <f aca="false">VLOOKUP($A8,$N:$Z,R$1,0)&amp;"-"&amp;VLOOKUP($A8,$N:$Z,S$1,0)</f>
        <v>10-5</v>
      </c>
      <c r="E8" s="31" t="n">
        <f aca="false">VLOOKUP($A8,$N:$Z,X$1,0)</f>
        <v>241</v>
      </c>
      <c r="F8" s="31" t="n">
        <f aca="false">VLOOKUP($A8,$N:$Z,V$1,0)</f>
        <v>0</v>
      </c>
      <c r="G8" s="31" t="n">
        <f aca="false">VLOOKUP($A8,$N:$Z,W$1,0)</f>
        <v>0</v>
      </c>
      <c r="H8" s="31" t="n">
        <f aca="false">VLOOKUP($A8,$N:$Z,Y$1,0)</f>
        <v>100</v>
      </c>
      <c r="I8" s="34" t="n">
        <f aca="false">VLOOKUP($A8,$N:$Z,13,0)</f>
        <v>341.000803404333</v>
      </c>
      <c r="J8" s="24"/>
      <c r="K8" s="35" t="n">
        <f aca="false">VLOOKUP($A8,$N:$Z,R$1,0)</f>
        <v>10</v>
      </c>
      <c r="L8" s="35" t="n">
        <f aca="false">VLOOKUP($A8,$N:$Z,S$1,0)</f>
        <v>5</v>
      </c>
      <c r="M8" s="35"/>
      <c r="N8" s="36" t="n">
        <f aca="false">RANK(Z8,Z:Z)</f>
        <v>12</v>
      </c>
      <c r="O8" s="35" t="n">
        <v>6</v>
      </c>
      <c r="P8" s="36" t="s">
        <v>7</v>
      </c>
      <c r="Q8" s="36" t="n">
        <f aca="false">COUNTIF(CORRIDA!G:G,CLASSIF!P8)+COUNTIF(CORRIDA!I:I,CLASSIF!P8)</f>
        <v>10</v>
      </c>
      <c r="R8" s="36" t="n">
        <f aca="false">COUNTIF(CORRIDA!G:G,CLASSIF!$P8)</f>
        <v>7</v>
      </c>
      <c r="S8" s="36" t="n">
        <f aca="false">COUNTIF(CORRIDA!I:I,CLASSIF!P8)</f>
        <v>3</v>
      </c>
      <c r="T8" s="37" t="n">
        <f aca="false">IF(Q8=0,0,U8/(Q8*20))</f>
        <v>0.82</v>
      </c>
      <c r="U8" s="36" t="n">
        <f aca="false">SUMIF(CORRIDA!G:G,CLASSIF!P8,CORRIDA!H:H)+SUMIF(CORRIDA!I:I,CLASSIF!P8,CORRIDA!J:J)</f>
        <v>164</v>
      </c>
      <c r="V8" s="36" t="n">
        <f aca="false">SUMIF(WOs!G:G,CLASSIF!P8,WOs!H:H)+SUMIF(WOs!I:I,CLASSIF!P8,WOs!J:J)</f>
        <v>0</v>
      </c>
      <c r="W8" s="36" t="n">
        <f aca="false">SUMIF(TORNEIO!G:G,CLASSIF!P8,TORNEIO!H:H)+SUMIF(TORNEIO!I:I,CLASSIF!P8,TORNEIO!J:J)+SUMIF(TORNEIO!S:S,CLASSIF!P8,TORNEIO!T:T)</f>
        <v>84</v>
      </c>
      <c r="X8" s="36" t="n">
        <f aca="false">SUM(U8:V8)</f>
        <v>164</v>
      </c>
      <c r="Y8" s="36" t="n">
        <f aca="false">VLOOKUP(P8,STATS!$B$2:$DF$52,109,0)</f>
        <v>0</v>
      </c>
      <c r="Z8" s="38" t="n">
        <f aca="false">SUM(W8:Y8)+T8/1000+(100-O8)/1000000000</f>
        <v>248.000820094</v>
      </c>
      <c r="AA8" s="36"/>
      <c r="AG8" s="30" t="n">
        <f aca="false">E8/$AF$3</f>
        <v>23.3075435203095</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Costinha</v>
      </c>
      <c r="C9" s="31" t="n">
        <f aca="false">VLOOKUP($A9,$N:$Z,Q$1,0)</f>
        <v>13</v>
      </c>
      <c r="D9" s="33" t="str">
        <f aca="false">VLOOKUP($A9,$N:$Z,R$1,0)&amp;"-"&amp;VLOOKUP($A9,$N:$Z,S$1,0)</f>
        <v>7-6</v>
      </c>
      <c r="E9" s="31" t="n">
        <f aca="false">VLOOKUP($A9,$N:$Z,X$1,0)</f>
        <v>184</v>
      </c>
      <c r="F9" s="31" t="n">
        <f aca="false">VLOOKUP($A9,$N:$Z,V$1,0)</f>
        <v>0</v>
      </c>
      <c r="G9" s="31" t="n">
        <f aca="false">VLOOKUP($A9,$N:$Z,W$1,0)</f>
        <v>44</v>
      </c>
      <c r="H9" s="31" t="n">
        <f aca="false">VLOOKUP($A9,$N:$Z,Y$1,0)</f>
        <v>100</v>
      </c>
      <c r="I9" s="34" t="n">
        <f aca="false">VLOOKUP($A9,$N:$Z,13,0)</f>
        <v>328.000707785308</v>
      </c>
      <c r="J9" s="24"/>
      <c r="K9" s="35" t="n">
        <f aca="false">VLOOKUP($A9,$N:$Z,R$1,0)</f>
        <v>7</v>
      </c>
      <c r="L9" s="35" t="n">
        <f aca="false">VLOOKUP($A9,$N:$Z,S$1,0)</f>
        <v>6</v>
      </c>
      <c r="M9" s="35"/>
      <c r="N9" s="36" t="n">
        <f aca="false">RANK(Z9,Z:Z)</f>
        <v>7</v>
      </c>
      <c r="O9" s="35" t="n">
        <v>7</v>
      </c>
      <c r="P9" s="36" t="s">
        <v>8</v>
      </c>
      <c r="Q9" s="36" t="n">
        <f aca="false">COUNTIF(CORRIDA!G:G,CLASSIF!P9)+COUNTIF(CORRIDA!I:I,CLASSIF!P9)</f>
        <v>13</v>
      </c>
      <c r="R9" s="36" t="n">
        <f aca="false">COUNTIF(CORRIDA!G:G,CLASSIF!$P9)</f>
        <v>7</v>
      </c>
      <c r="S9" s="36" t="n">
        <f aca="false">COUNTIF(CORRIDA!I:I,CLASSIF!P9)</f>
        <v>6</v>
      </c>
      <c r="T9" s="37" t="n">
        <f aca="false">IF(Q9=0,0,U9/(Q9*20))</f>
        <v>0.707692307692308</v>
      </c>
      <c r="U9" s="36" t="n">
        <f aca="false">SUMIF(CORRIDA!G:G,CLASSIF!P9,CORRIDA!H:H)+SUMIF(CORRIDA!I:I,CLASSIF!P9,CORRIDA!J:J)</f>
        <v>184</v>
      </c>
      <c r="V9" s="36" t="n">
        <f aca="false">SUMIF(WOs!G:G,CLASSIF!P9,WOs!H:H)+SUMIF(WOs!I:I,CLASSIF!P9,WOs!J:J)</f>
        <v>0</v>
      </c>
      <c r="W9" s="36" t="n">
        <f aca="false">SUMIF(TORNEIO!G:G,CLASSIF!P9,TORNEIO!H:H)+SUMIF(TORNEIO!I:I,CLASSIF!P9,TORNEIO!J:J)+SUMIF(TORNEIO!S:S,CLASSIF!P9,TORNEIO!T:T)</f>
        <v>44</v>
      </c>
      <c r="X9" s="36" t="n">
        <f aca="false">SUM(U9:V9)</f>
        <v>184</v>
      </c>
      <c r="Y9" s="36" t="n">
        <f aca="false">VLOOKUP(P9,STATS!$B$2:$DF$52,109,0)</f>
        <v>100</v>
      </c>
      <c r="Z9" s="38" t="n">
        <f aca="false">SUM(W9:Y9)+T9/1000+(100-O9)/1000000000</f>
        <v>328.000707785308</v>
      </c>
      <c r="AA9" s="36"/>
      <c r="AG9" s="30" t="n">
        <f aca="false">E9/$AF$3</f>
        <v>17.7949709864604</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Flavio</v>
      </c>
      <c r="C10" s="31" t="n">
        <f aca="false">VLOOKUP($A10,$N:$Z,Q$1,0)</f>
        <v>17</v>
      </c>
      <c r="D10" s="33" t="str">
        <f aca="false">VLOOKUP($A10,$N:$Z,R$1,0)&amp;"-"&amp;VLOOKUP($A10,$N:$Z,S$1,0)</f>
        <v>7-10</v>
      </c>
      <c r="E10" s="31" t="n">
        <f aca="false">VLOOKUP($A10,$N:$Z,X$1,0)</f>
        <v>202</v>
      </c>
      <c r="F10" s="31" t="n">
        <f aca="false">VLOOKUP($A10,$N:$Z,V$1,0)</f>
        <v>0</v>
      </c>
      <c r="G10" s="31" t="n">
        <f aca="false">VLOOKUP($A10,$N:$Z,W$1,0)</f>
        <v>24</v>
      </c>
      <c r="H10" s="31" t="n">
        <f aca="false">VLOOKUP($A10,$N:$Z,Y$1,0)</f>
        <v>100</v>
      </c>
      <c r="I10" s="34" t="n">
        <f aca="false">VLOOKUP($A10,$N:$Z,13,0)</f>
        <v>326.000594200647</v>
      </c>
      <c r="J10" s="24"/>
      <c r="K10" s="35" t="n">
        <f aca="false">VLOOKUP($A10,$N:$Z,R$1,0)</f>
        <v>7</v>
      </c>
      <c r="L10" s="35" t="n">
        <f aca="false">VLOOKUP($A10,$N:$Z,S$1,0)</f>
        <v>10</v>
      </c>
      <c r="M10" s="35"/>
      <c r="N10" s="36" t="n">
        <f aca="false">RANK(Z10,Z:Z)</f>
        <v>36</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19.5357833655706</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Juan</v>
      </c>
      <c r="C11" s="39" t="n">
        <f aca="false">VLOOKUP($A11,$N:$Z,Q$1,0)</f>
        <v>23</v>
      </c>
      <c r="D11" s="41" t="str">
        <f aca="false">VLOOKUP($A11,$N:$Z,R$1,0)&amp;"-"&amp;VLOOKUP($A11,$N:$Z,S$1,0)</f>
        <v>2-21</v>
      </c>
      <c r="E11" s="39" t="n">
        <f aca="false">VLOOKUP($A11,$N:$Z,X$1,0)</f>
        <v>147</v>
      </c>
      <c r="F11" s="39" t="n">
        <f aca="false">VLOOKUP($A11,$N:$Z,V$1,0)</f>
        <v>0</v>
      </c>
      <c r="G11" s="39" t="n">
        <f aca="false">VLOOKUP($A11,$N:$Z,W$1,0)</f>
        <v>24</v>
      </c>
      <c r="H11" s="39" t="n">
        <f aca="false">VLOOKUP($A11,$N:$Z,Y$1,0)</f>
        <v>150</v>
      </c>
      <c r="I11" s="42" t="n">
        <f aca="false">VLOOKUP($A11,$N:$Z,13,0)</f>
        <v>321.000319642217</v>
      </c>
      <c r="J11" s="43" t="s">
        <v>76</v>
      </c>
      <c r="K11" s="35" t="n">
        <f aca="false">VLOOKUP($A11,$N:$Z,R$1,0)</f>
        <v>2</v>
      </c>
      <c r="L11" s="35" t="n">
        <f aca="false">VLOOKUP($A11,$N:$Z,S$1,0)</f>
        <v>21</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14.2166344294004</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Paulo</v>
      </c>
      <c r="C12" s="39" t="n">
        <f aca="false">VLOOKUP($A12,$N:$Z,Q$1,0)</f>
        <v>10</v>
      </c>
      <c r="D12" s="41" t="str">
        <f aca="false">VLOOKUP($A12,$N:$Z,R$1,0)&amp;"-"&amp;VLOOKUP($A12,$N:$Z,S$1,0)</f>
        <v>5-5</v>
      </c>
      <c r="E12" s="39" t="n">
        <f aca="false">VLOOKUP($A12,$N:$Z,X$1,0)</f>
        <v>131</v>
      </c>
      <c r="F12" s="39" t="n">
        <f aca="false">VLOOKUP($A12,$N:$Z,V$1,0)</f>
        <v>0</v>
      </c>
      <c r="G12" s="39" t="n">
        <f aca="false">VLOOKUP($A12,$N:$Z,W$1,0)</f>
        <v>24</v>
      </c>
      <c r="H12" s="39" t="n">
        <f aca="false">VLOOKUP($A12,$N:$Z,Y$1,0)</f>
        <v>100</v>
      </c>
      <c r="I12" s="42" t="n">
        <f aca="false">VLOOKUP($A12,$N:$Z,13,0)</f>
        <v>255.000655069</v>
      </c>
      <c r="J12" s="43"/>
      <c r="K12" s="35" t="n">
        <f aca="false">VLOOKUP($A12,$N:$Z,R$1,0)</f>
        <v>5</v>
      </c>
      <c r="L12" s="35" t="n">
        <f aca="false">VLOOKUP($A12,$N:$Z,S$1,0)</f>
        <v>5</v>
      </c>
      <c r="M12" s="35"/>
      <c r="N12" s="36" t="n">
        <f aca="false">RANK(Z12,Z:Z)</f>
        <v>32</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12.6692456479691</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Xuru</v>
      </c>
      <c r="C13" s="39" t="n">
        <f aca="false">VLOOKUP($A13,$N:$Z,Q$1,0)</f>
        <v>18</v>
      </c>
      <c r="D13" s="41" t="str">
        <f aca="false">VLOOKUP($A13,$N:$Z,R$1,0)&amp;"-"&amp;VLOOKUP($A13,$N:$Z,S$1,0)</f>
        <v>1-17</v>
      </c>
      <c r="E13" s="39" t="n">
        <f aca="false">VLOOKUP($A13,$N:$Z,X$1,0)</f>
        <v>101</v>
      </c>
      <c r="F13" s="39" t="n">
        <f aca="false">VLOOKUP($A13,$N:$Z,V$1,0)</f>
        <v>0</v>
      </c>
      <c r="G13" s="39" t="n">
        <f aca="false">VLOOKUP($A13,$N:$Z,W$1,0)</f>
        <v>0</v>
      </c>
      <c r="H13" s="39" t="n">
        <f aca="false">VLOOKUP($A13,$N:$Z,Y$1,0)</f>
        <v>150</v>
      </c>
      <c r="I13" s="42" t="n">
        <f aca="false">VLOOKUP($A13,$N:$Z,13,0)</f>
        <v>251.000280607556</v>
      </c>
      <c r="J13" s="43"/>
      <c r="K13" s="35" t="n">
        <f aca="false">VLOOKUP($A13,$N:$Z,R$1,0)</f>
        <v>1</v>
      </c>
      <c r="L13" s="35" t="n">
        <f aca="false">VLOOKUP($A13,$N:$Z,S$1,0)</f>
        <v>17</v>
      </c>
      <c r="M13" s="35"/>
      <c r="N13" s="36" t="n">
        <f aca="false">RANK(Z13,Z:Z)</f>
        <v>5</v>
      </c>
      <c r="O13" s="35" t="n">
        <v>11</v>
      </c>
      <c r="P13" s="36" t="s">
        <v>12</v>
      </c>
      <c r="Q13" s="36" t="n">
        <f aca="false">COUNTIF(CORRIDA!G:G,CLASSIF!P13)+COUNTIF(CORRIDA!I:I,CLASSIF!P13)</f>
        <v>16</v>
      </c>
      <c r="R13" s="36" t="n">
        <f aca="false">COUNTIF(CORRIDA!G:G,CLASSIF!$P13)</f>
        <v>8</v>
      </c>
      <c r="S13" s="36" t="n">
        <f aca="false">COUNTIF(CORRIDA!I:I,CLASSIF!P13)</f>
        <v>8</v>
      </c>
      <c r="T13" s="37" t="n">
        <f aca="false">IF(Q13=0,0,U13/(Q13*20))</f>
        <v>0.69375</v>
      </c>
      <c r="U13" s="36" t="n">
        <f aca="false">SUMIF(CORRIDA!G:G,CLASSIF!P13,CORRIDA!H:H)+SUMIF(CORRIDA!I:I,CLASSIF!P13,CORRIDA!J:J)</f>
        <v>222</v>
      </c>
      <c r="V13" s="36" t="n">
        <f aca="false">SUMIF(WOs!G:G,CLASSIF!P13,WOs!H:H)+SUMIF(WOs!I:I,CLASSIF!P13,WOs!J:J)</f>
        <v>0</v>
      </c>
      <c r="W13" s="36" t="n">
        <f aca="false">SUMIF(TORNEIO!G:G,CLASSIF!P13,TORNEIO!H:H)+SUMIF(TORNEIO!I:I,CLASSIF!P13,TORNEIO!J:J)+SUMIF(TORNEIO!S:S,CLASSIF!P13,TORNEIO!T:T)</f>
        <v>25</v>
      </c>
      <c r="X13" s="36" t="n">
        <f aca="false">SUM(U13:V13)</f>
        <v>222</v>
      </c>
      <c r="Y13" s="36" t="n">
        <f aca="false">VLOOKUP(P13,STATS!$B$2:$DF$52,109,0)</f>
        <v>100</v>
      </c>
      <c r="Z13" s="38" t="n">
        <f aca="false">SUM(W13:Y13)+T13/1000+(100-O13)/1000000000</f>
        <v>347.000693839</v>
      </c>
      <c r="AA13" s="36"/>
      <c r="AG13" s="30" t="n">
        <f aca="false">E13/$AF$3</f>
        <v>9.7678916827853</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Carlos Coimbra</v>
      </c>
      <c r="C14" s="39" t="n">
        <f aca="false">VLOOKUP($A14,$N:$Z,Q$1,0)</f>
        <v>10</v>
      </c>
      <c r="D14" s="41" t="str">
        <f aca="false">VLOOKUP($A14,$N:$Z,R$1,0)&amp;"-"&amp;VLOOKUP($A14,$N:$Z,S$1,0)</f>
        <v>7-3</v>
      </c>
      <c r="E14" s="39" t="n">
        <f aca="false">VLOOKUP($A14,$N:$Z,X$1,0)</f>
        <v>164</v>
      </c>
      <c r="F14" s="39" t="n">
        <f aca="false">VLOOKUP($A14,$N:$Z,V$1,0)</f>
        <v>0</v>
      </c>
      <c r="G14" s="39" t="n">
        <f aca="false">VLOOKUP($A14,$N:$Z,W$1,0)</f>
        <v>84</v>
      </c>
      <c r="H14" s="39" t="n">
        <f aca="false">VLOOKUP($A14,$N:$Z,Y$1,0)</f>
        <v>0</v>
      </c>
      <c r="I14" s="42" t="n">
        <f aca="false">VLOOKUP($A14,$N:$Z,13,0)</f>
        <v>248.000820094</v>
      </c>
      <c r="J14" s="43"/>
      <c r="K14" s="35" t="n">
        <f aca="false">VLOOKUP($A14,$N:$Z,R$1,0)</f>
        <v>7</v>
      </c>
      <c r="L14" s="35" t="n">
        <f aca="false">VLOOKUP($A14,$N:$Z,S$1,0)</f>
        <v>3</v>
      </c>
      <c r="M14" s="35"/>
      <c r="N14" s="36" t="n">
        <f aca="false">RANK(Z14,Z:Z)</f>
        <v>1</v>
      </c>
      <c r="O14" s="35" t="n">
        <v>12</v>
      </c>
      <c r="P14" s="36" t="s">
        <v>13</v>
      </c>
      <c r="Q14" s="36" t="n">
        <f aca="false">COUNTIF(CORRIDA!G:G,CLASSIF!P14)+COUNTIF(CORRIDA!I:I,CLASSIF!P14)</f>
        <v>29</v>
      </c>
      <c r="R14" s="36" t="n">
        <f aca="false">COUNTIF(CORRIDA!G:G,CLASSIF!$P14)</f>
        <v>15</v>
      </c>
      <c r="S14" s="36" t="n">
        <f aca="false">COUNTIF(CORRIDA!I:I,CLASSIF!P14)</f>
        <v>14</v>
      </c>
      <c r="T14" s="37" t="n">
        <f aca="false">IF(Q14=0,0,U14/(Q14*20))</f>
        <v>0.66551724137931</v>
      </c>
      <c r="U14" s="36" t="n">
        <f aca="false">SUMIF(CORRIDA!G:G,CLASSIF!P14,CORRIDA!H:H)+SUMIF(CORRIDA!I:I,CLASSIF!P14,CORRIDA!J:J)</f>
        <v>386</v>
      </c>
      <c r="V14" s="36" t="n">
        <f aca="false">SUMIF(WOs!G:G,CLASSIF!P14,WOs!H:H)+SUMIF(WOs!I:I,CLASSIF!P14,WOs!J:J)</f>
        <v>0</v>
      </c>
      <c r="W14" s="36" t="n">
        <f aca="false">SUMIF(TORNEIO!G:G,CLASSIF!P14,TORNEIO!H:H)+SUMIF(TORNEIO!I:I,CLASSIF!P14,TORNEIO!J:J)+SUMIF(TORNEIO!S:S,CLASSIF!P14,TORNEIO!T:T)</f>
        <v>64</v>
      </c>
      <c r="X14" s="36" t="n">
        <f aca="false">SUM(U14:V14)</f>
        <v>386</v>
      </c>
      <c r="Y14" s="36" t="n">
        <f aca="false">VLOOKUP(P14,STATS!$B$2:$DF$52,109,0)</f>
        <v>150</v>
      </c>
      <c r="Z14" s="38" t="n">
        <f aca="false">SUM(W14:Y14)+T14/1000+(100-O14)/1000000000</f>
        <v>600.000665605241</v>
      </c>
      <c r="AA14" s="36"/>
      <c r="AG14" s="30" t="n">
        <f aca="false">E14/$AF$3</f>
        <v>15.8607350096712</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Pinga</v>
      </c>
      <c r="C15" s="39" t="n">
        <f aca="false">VLOOKUP($A15,$N:$Z,Q$1,0)</f>
        <v>16</v>
      </c>
      <c r="D15" s="41" t="str">
        <f aca="false">VLOOKUP($A15,$N:$Z,R$1,0)&amp;"-"&amp;VLOOKUP($A15,$N:$Z,S$1,0)</f>
        <v>4-12</v>
      </c>
      <c r="E15" s="39" t="n">
        <f aca="false">VLOOKUP($A15,$N:$Z,X$1,0)</f>
        <v>148</v>
      </c>
      <c r="F15" s="39" t="n">
        <f aca="false">VLOOKUP($A15,$N:$Z,V$1,0)</f>
        <v>0</v>
      </c>
      <c r="G15" s="39" t="n">
        <f aca="false">VLOOKUP($A15,$N:$Z,W$1,0)</f>
        <v>0</v>
      </c>
      <c r="H15" s="39" t="n">
        <f aca="false">VLOOKUP($A15,$N:$Z,Y$1,0)</f>
        <v>100</v>
      </c>
      <c r="I15" s="42" t="n">
        <f aca="false">VLOOKUP($A15,$N:$Z,13,0)</f>
        <v>248.000462565</v>
      </c>
      <c r="J15" s="43"/>
      <c r="K15" s="35" t="n">
        <f aca="false">VLOOKUP($A15,$N:$Z,R$1,0)</f>
        <v>4</v>
      </c>
      <c r="L15" s="35" t="n">
        <f aca="false">VLOOKUP($A15,$N:$Z,S$1,0)</f>
        <v>12</v>
      </c>
      <c r="M15" s="35"/>
      <c r="N15" s="36" t="n">
        <f aca="false">RANK(Z15,Z:Z)</f>
        <v>24</v>
      </c>
      <c r="O15" s="35" t="n">
        <v>13</v>
      </c>
      <c r="P15" s="36" t="s">
        <v>14</v>
      </c>
      <c r="Q15" s="36" t="n">
        <f aca="false">COUNTIF(CORRIDA!G:G,CLASSIF!P15)+COUNTIF(CORRIDA!I:I,CLASSIF!P15)</f>
        <v>5</v>
      </c>
      <c r="R15" s="36" t="n">
        <f aca="false">COUNTIF(CORRIDA!G:G,CLASSIF!$P15)</f>
        <v>3</v>
      </c>
      <c r="S15" s="36" t="n">
        <f aca="false">COUNTIF(CORRIDA!I:I,CLASSIF!P15)</f>
        <v>2</v>
      </c>
      <c r="T15" s="37" t="n">
        <f aca="false">IF(Q15=0,0,U15/(Q15*20))</f>
        <v>0.72</v>
      </c>
      <c r="U15" s="36" t="n">
        <f aca="false">SUMIF(CORRIDA!G:G,CLASSIF!P15,CORRIDA!H:H)+SUMIF(CORRIDA!I:I,CLASSIF!P15,CORRIDA!J:J)</f>
        <v>72</v>
      </c>
      <c r="V15" s="36" t="n">
        <f aca="false">SUMIF(WOs!G:G,CLASSIF!P15,WOs!H:H)+SUMIF(WOs!I:I,CLASSIF!P15,WOs!J:J)</f>
        <v>0</v>
      </c>
      <c r="W15" s="36" t="n">
        <f aca="false">SUMIF(TORNEIO!G:G,CLASSIF!P15,TORNEIO!H:H)+SUMIF(TORNEIO!I:I,CLASSIF!P15,TORNEIO!J:J)+SUMIF(TORNEIO!S:S,CLASSIF!P15,TORNEIO!T:T)</f>
        <v>24</v>
      </c>
      <c r="X15" s="36" t="n">
        <f aca="false">SUM(U15:V15)</f>
        <v>72</v>
      </c>
      <c r="Y15" s="36" t="n">
        <f aca="false">VLOOKUP(P15,STATS!$B$2:$DF$52,109,0)</f>
        <v>0</v>
      </c>
      <c r="Z15" s="38" t="n">
        <f aca="false">SUM(W15:Y15)+T15/1000+(100-O15)/1000000000</f>
        <v>96.000720087</v>
      </c>
      <c r="AA15" s="36"/>
      <c r="AG15" s="30" t="n">
        <f aca="false">E15/$AF$3</f>
        <v>14.3133462282398</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Persio</v>
      </c>
      <c r="C16" s="39" t="n">
        <f aca="false">VLOOKUP($A16,$N:$Z,Q$1,0)</f>
        <v>11</v>
      </c>
      <c r="D16" s="41" t="str">
        <f aca="false">VLOOKUP($A16,$N:$Z,R$1,0)&amp;"-"&amp;VLOOKUP($A16,$N:$Z,S$1,0)</f>
        <v>9-2</v>
      </c>
      <c r="E16" s="39" t="n">
        <f aca="false">VLOOKUP($A16,$N:$Z,X$1,0)</f>
        <v>200</v>
      </c>
      <c r="F16" s="39" t="n">
        <f aca="false">VLOOKUP($A16,$N:$Z,V$1,0)</f>
        <v>0</v>
      </c>
      <c r="G16" s="39" t="n">
        <f aca="false">VLOOKUP($A16,$N:$Z,W$1,0)</f>
        <v>0</v>
      </c>
      <c r="H16" s="39" t="n">
        <f aca="false">VLOOKUP($A16,$N:$Z,Y$1,0)</f>
        <v>0</v>
      </c>
      <c r="I16" s="42" t="n">
        <f aca="false">VLOOKUP($A16,$N:$Z,13,0)</f>
        <v>200.000909156909</v>
      </c>
      <c r="J16" s="43"/>
      <c r="K16" s="35" t="n">
        <f aca="false">VLOOKUP($A16,$N:$Z,R$1,0)</f>
        <v>9</v>
      </c>
      <c r="L16" s="35" t="n">
        <f aca="false">VLOOKUP($A16,$N:$Z,S$1,0)</f>
        <v>2</v>
      </c>
      <c r="M16" s="36"/>
      <c r="N16" s="36" t="n">
        <f aca="false">RANK(Z16,Z:Z)</f>
        <v>17</v>
      </c>
      <c r="O16" s="35" t="n">
        <v>14</v>
      </c>
      <c r="P16" s="36" t="s">
        <v>15</v>
      </c>
      <c r="Q16" s="36" t="n">
        <f aca="false">COUNTIF(CORRIDA!G:G,CLASSIF!P16)+COUNTIF(CORRIDA!I:I,CLASSIF!P16)</f>
        <v>6</v>
      </c>
      <c r="R16" s="36" t="n">
        <f aca="false">COUNTIF(CORRIDA!G:G,CLASSIF!$P16)</f>
        <v>4</v>
      </c>
      <c r="S16" s="36" t="n">
        <f aca="false">COUNTIF(CORRIDA!I:I,CLASSIF!P16)</f>
        <v>2</v>
      </c>
      <c r="T16" s="37" t="n">
        <f aca="false">IF(Q16=0,0,U16/(Q16*20))</f>
        <v>0.858333333333333</v>
      </c>
      <c r="U16" s="36" t="n">
        <f aca="false">SUMIF(CORRIDA!G:G,CLASSIF!P16,CORRIDA!H:H)+SUMIF(CORRIDA!I:I,CLASSIF!P16,CORRIDA!J:J)</f>
        <v>103</v>
      </c>
      <c r="V16" s="36" t="n">
        <f aca="false">SUMIF(WOs!G:G,CLASSIF!P16,WOs!H:H)+SUMIF(WOs!I:I,CLASSIF!P16,WOs!J:J)</f>
        <v>0</v>
      </c>
      <c r="W16" s="36" t="n">
        <f aca="false">SUMIF(TORNEIO!G:G,CLASSIF!P16,TORNEIO!H:H)+SUMIF(TORNEIO!I:I,CLASSIF!P16,TORNEIO!J:J)+SUMIF(TORNEIO!S:S,CLASSIF!P16,TORNEIO!T:T)</f>
        <v>49</v>
      </c>
      <c r="X16" s="36" t="n">
        <f aca="false">SUM(U16:V16)</f>
        <v>103</v>
      </c>
      <c r="Y16" s="36" t="n">
        <f aca="false">VLOOKUP(P16,STATS!$B$2:$DF$52,109,0)</f>
        <v>0</v>
      </c>
      <c r="Z16" s="38" t="n">
        <f aca="false">SUM(W16:Y16)+T16/1000+(100-O16)/1000000000</f>
        <v>152.000858419333</v>
      </c>
      <c r="AA16" s="36"/>
      <c r="AG16" s="30" t="n">
        <f aca="false">E16/$AF$3</f>
        <v>19.3423597678917</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Caio</v>
      </c>
      <c r="C17" s="39" t="n">
        <f aca="false">VLOOKUP($A17,$N:$Z,Q$1,0)</f>
        <v>8</v>
      </c>
      <c r="D17" s="41" t="str">
        <f aca="false">VLOOKUP($A17,$N:$Z,R$1,0)&amp;"-"&amp;VLOOKUP($A17,$N:$Z,S$1,0)</f>
        <v>6-2</v>
      </c>
      <c r="E17" s="39" t="n">
        <f aca="false">VLOOKUP($A17,$N:$Z,X$1,0)</f>
        <v>133</v>
      </c>
      <c r="F17" s="39" t="n">
        <f aca="false">VLOOKUP($A17,$N:$Z,V$1,0)</f>
        <v>0</v>
      </c>
      <c r="G17" s="39" t="n">
        <f aca="false">VLOOKUP($A17,$N:$Z,W$1,0)</f>
        <v>64</v>
      </c>
      <c r="H17" s="39" t="n">
        <f aca="false">VLOOKUP($A17,$N:$Z,Y$1,0)</f>
        <v>0</v>
      </c>
      <c r="I17" s="42" t="n">
        <f aca="false">VLOOKUP($A17,$N:$Z,13,0)</f>
        <v>197.000831345</v>
      </c>
      <c r="J17" s="43"/>
      <c r="K17" s="35" t="n">
        <f aca="false">VLOOKUP($A17,$N:$Z,R$1,0)</f>
        <v>6</v>
      </c>
      <c r="L17" s="35" t="n">
        <f aca="false">VLOOKUP($A17,$N:$Z,S$1,0)</f>
        <v>2</v>
      </c>
      <c r="M17" s="36"/>
      <c r="N17" s="36" t="n">
        <f aca="false">RANK(Z17,Z:Z)</f>
        <v>31</v>
      </c>
      <c r="O17" s="35" t="n">
        <v>15</v>
      </c>
      <c r="P17" s="36" t="s">
        <v>16</v>
      </c>
      <c r="Q17" s="36" t="n">
        <f aca="false">COUNTIF(CORRIDA!G:G,CLASSIF!P17)+COUNTIF(CORRIDA!I:I,CLASSIF!P17)</f>
        <v>2</v>
      </c>
      <c r="R17" s="36" t="n">
        <f aca="false">COUNTIF(CORRIDA!G:G,CLASSIF!$P17)</f>
        <v>0</v>
      </c>
      <c r="S17" s="36" t="n">
        <f aca="false">COUNTIF(CORRIDA!I:I,CLASSIF!P17)</f>
        <v>2</v>
      </c>
      <c r="T17" s="37" t="n">
        <f aca="false">IF(Q17=0,0,U17/(Q17*20))</f>
        <v>0.4</v>
      </c>
      <c r="U17" s="36" t="n">
        <f aca="false">SUMIF(CORRIDA!G:G,CLASSIF!P17,CORRIDA!H:H)+SUMIF(CORRIDA!I:I,CLASSIF!P17,CORRIDA!J:J)</f>
        <v>16</v>
      </c>
      <c r="V17" s="36" t="n">
        <f aca="false">SUMIF(WOs!G:G,CLASSIF!P17,WOs!H:H)+SUMIF(WOs!I:I,CLASSIF!P17,WOs!J:J)</f>
        <v>0</v>
      </c>
      <c r="W17" s="36" t="n">
        <f aca="false">SUMIF(TORNEIO!G:G,CLASSIF!P17,TORNEIO!H:H)+SUMIF(TORNEIO!I:I,CLASSIF!P17,TORNEIO!J:J)+SUMIF(TORNEIO!S:S,CLASSIF!P17,TORNEIO!T:T)</f>
        <v>0</v>
      </c>
      <c r="X17" s="36" t="n">
        <f aca="false">SUM(U17:V17)</f>
        <v>16</v>
      </c>
      <c r="Y17" s="36" t="n">
        <f aca="false">VLOOKUP(P17,STATS!$B$2:$DF$52,109,0)</f>
        <v>0</v>
      </c>
      <c r="Z17" s="38" t="n">
        <f aca="false">SUM(W17:Y17)+T17/1000+(100-O17)/1000000000</f>
        <v>16.000400085</v>
      </c>
      <c r="AA17" s="36"/>
      <c r="AG17" s="30" t="n">
        <f aca="false">E17/$AF$3</f>
        <v>12.862669245648</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Ivan</v>
      </c>
      <c r="C18" s="39" t="n">
        <f aca="false">VLOOKUP($A18,$N:$Z,Q$1,0)</f>
        <v>10</v>
      </c>
      <c r="D18" s="41" t="str">
        <f aca="false">VLOOKUP($A18,$N:$Z,R$1,0)&amp;"-"&amp;VLOOKUP($A18,$N:$Z,S$1,0)</f>
        <v>5-5</v>
      </c>
      <c r="E18" s="39" t="n">
        <f aca="false">VLOOKUP($A18,$N:$Z,X$1,0)</f>
        <v>135</v>
      </c>
      <c r="F18" s="39" t="n">
        <f aca="false">VLOOKUP($A18,$N:$Z,V$1,0)</f>
        <v>0</v>
      </c>
      <c r="G18" s="39" t="n">
        <f aca="false">VLOOKUP($A18,$N:$Z,W$1,0)</f>
        <v>45</v>
      </c>
      <c r="H18" s="39" t="n">
        <f aca="false">VLOOKUP($A18,$N:$Z,Y$1,0)</f>
        <v>0</v>
      </c>
      <c r="I18" s="42" t="n">
        <f aca="false">VLOOKUP($A18,$N:$Z,13,0)</f>
        <v>180.000675078</v>
      </c>
      <c r="J18" s="43"/>
      <c r="K18" s="35" t="n">
        <f aca="false">VLOOKUP($A18,$N:$Z,R$1,0)</f>
        <v>5</v>
      </c>
      <c r="L18" s="35" t="n">
        <f aca="false">VLOOKUP($A18,$N:$Z,S$1,0)</f>
        <v>5</v>
      </c>
      <c r="M18" s="36"/>
      <c r="N18" s="36" t="n">
        <f aca="false">RANK(Z18,Z:Z)</f>
        <v>37</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13.0560928433269</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Felipe</v>
      </c>
      <c r="C19" s="44" t="n">
        <f aca="false">VLOOKUP($A19,$N:$Z,Q$1,0)</f>
        <v>6</v>
      </c>
      <c r="D19" s="46" t="str">
        <f aca="false">VLOOKUP($A19,$N:$Z,R$1,0)&amp;"-"&amp;VLOOKUP($A19,$N:$Z,S$1,0)</f>
        <v>4-2</v>
      </c>
      <c r="E19" s="44" t="n">
        <f aca="false">VLOOKUP($A19,$N:$Z,X$1,0)</f>
        <v>103</v>
      </c>
      <c r="F19" s="44" t="n">
        <f aca="false">VLOOKUP($A19,$N:$Z,V$1,0)</f>
        <v>0</v>
      </c>
      <c r="G19" s="44" t="n">
        <f aca="false">VLOOKUP($A19,$N:$Z,W$1,0)</f>
        <v>49</v>
      </c>
      <c r="H19" s="44" t="n">
        <f aca="false">VLOOKUP($A19,$N:$Z,Y$1,0)</f>
        <v>0</v>
      </c>
      <c r="I19" s="47" t="n">
        <f aca="false">VLOOKUP($A19,$N:$Z,13,0)</f>
        <v>152.000858419333</v>
      </c>
      <c r="J19" s="48" t="s">
        <v>77</v>
      </c>
      <c r="K19" s="35" t="n">
        <f aca="false">VLOOKUP($A19,$N:$Z,R$1,0)</f>
        <v>4</v>
      </c>
      <c r="L19" s="35" t="n">
        <f aca="false">VLOOKUP($A19,$N:$Z,S$1,0)</f>
        <v>2</v>
      </c>
      <c r="M19" s="36"/>
      <c r="N19" s="36" t="n">
        <f aca="false">RANK(Z19,Z:Z)</f>
        <v>8</v>
      </c>
      <c r="O19" s="35" t="n">
        <v>17</v>
      </c>
      <c r="P19" s="36" t="s">
        <v>18</v>
      </c>
      <c r="Q19" s="36" t="n">
        <f aca="false">COUNTIF(CORRIDA!G:G,CLASSIF!P19)+COUNTIF(CORRIDA!I:I,CLASSIF!P19)</f>
        <v>17</v>
      </c>
      <c r="R19" s="36" t="n">
        <f aca="false">COUNTIF(CORRIDA!G:G,CLASSIF!$P19)</f>
        <v>7</v>
      </c>
      <c r="S19" s="36" t="n">
        <f aca="false">COUNTIF(CORRIDA!I:I,CLASSIF!P19)</f>
        <v>10</v>
      </c>
      <c r="T19" s="37" t="n">
        <f aca="false">IF(Q19=0,0,U19/(Q19*20))</f>
        <v>0.594117647058823</v>
      </c>
      <c r="U19" s="36" t="n">
        <f aca="false">SUMIF(CORRIDA!G:G,CLASSIF!P19,CORRIDA!H:H)+SUMIF(CORRIDA!I:I,CLASSIF!P19,CORRIDA!J:J)</f>
        <v>202</v>
      </c>
      <c r="V19" s="36" t="n">
        <f aca="false">SUMIF(WOs!G:G,CLASSIF!P19,WOs!H:H)+SUMIF(WOs!I:I,CLASSIF!P19,WOs!J:J)</f>
        <v>0</v>
      </c>
      <c r="W19" s="36" t="n">
        <f aca="false">SUMIF(TORNEIO!G:G,CLASSIF!P19,TORNEIO!H:H)+SUMIF(TORNEIO!I:I,CLASSIF!P19,TORNEIO!J:J)+SUMIF(TORNEIO!S:S,CLASSIF!P19,TORNEIO!T:T)</f>
        <v>24</v>
      </c>
      <c r="X19" s="36" t="n">
        <f aca="false">SUM(U19:V19)</f>
        <v>202</v>
      </c>
      <c r="Y19" s="36" t="n">
        <f aca="false">VLOOKUP(P19,STATS!$B$2:$DF$52,109,0)</f>
        <v>100</v>
      </c>
      <c r="Z19" s="38" t="n">
        <f aca="false">SUM(W19:Y19)+T19/1000+(100-O19)/1000000000</f>
        <v>326.000594200647</v>
      </c>
      <c r="AA19" s="36"/>
      <c r="AG19" s="30" t="n">
        <f aca="false">E19/$AF$3</f>
        <v>9.96131528046422</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Magritto</v>
      </c>
      <c r="C20" s="44" t="n">
        <f aca="false">VLOOKUP($A20,$N:$Z,Q$1,0)</f>
        <v>8</v>
      </c>
      <c r="D20" s="46" t="str">
        <f aca="false">VLOOKUP($A20,$N:$Z,R$1,0)&amp;"-"&amp;VLOOKUP($A20,$N:$Z,S$1,0)</f>
        <v>7-1</v>
      </c>
      <c r="E20" s="44" t="n">
        <f aca="false">VLOOKUP($A20,$N:$Z,X$1,0)</f>
        <v>145</v>
      </c>
      <c r="F20" s="44" t="n">
        <f aca="false">VLOOKUP($A20,$N:$Z,V$1,0)</f>
        <v>0</v>
      </c>
      <c r="G20" s="44" t="n">
        <f aca="false">VLOOKUP($A20,$N:$Z,W$1,0)</f>
        <v>0</v>
      </c>
      <c r="H20" s="44" t="n">
        <f aca="false">VLOOKUP($A20,$N:$Z,Y$1,0)</f>
        <v>0</v>
      </c>
      <c r="I20" s="47" t="n">
        <f aca="false">VLOOKUP($A20,$N:$Z,13,0)</f>
        <v>145.000906324</v>
      </c>
      <c r="J20" s="48"/>
      <c r="K20" s="35" t="n">
        <f aca="false">VLOOKUP($A20,$N:$Z,R$1,0)</f>
        <v>7</v>
      </c>
      <c r="L20" s="35" t="n">
        <f aca="false">VLOOKUP($A20,$N:$Z,S$1,0)</f>
        <v>1</v>
      </c>
      <c r="M20" s="36"/>
      <c r="N20" s="36" t="n">
        <f aca="false">RANK(Z20,Z:Z)</f>
        <v>38</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14.0232108317215</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Pedrão</v>
      </c>
      <c r="C21" s="44" t="n">
        <f aca="false">VLOOKUP($A21,$N:$Z,Q$1,0)</f>
        <v>7</v>
      </c>
      <c r="D21" s="46" t="str">
        <f aca="false">VLOOKUP($A21,$N:$Z,R$1,0)&amp;"-"&amp;VLOOKUP($A21,$N:$Z,S$1,0)</f>
        <v>7-0</v>
      </c>
      <c r="E21" s="44" t="n">
        <f aca="false">VLOOKUP($A21,$N:$Z,X$1,0)</f>
        <v>140</v>
      </c>
      <c r="F21" s="44" t="n">
        <f aca="false">VLOOKUP($A21,$N:$Z,V$1,0)</f>
        <v>0</v>
      </c>
      <c r="G21" s="44" t="n">
        <f aca="false">VLOOKUP($A21,$N:$Z,W$1,0)</f>
        <v>0</v>
      </c>
      <c r="H21" s="44" t="n">
        <f aca="false">VLOOKUP($A21,$N:$Z,Y$1,0)</f>
        <v>0</v>
      </c>
      <c r="I21" s="47" t="n">
        <f aca="false">VLOOKUP($A21,$N:$Z,13,0)</f>
        <v>140.001000068</v>
      </c>
      <c r="J21" s="48"/>
      <c r="K21" s="35" t="n">
        <f aca="false">VLOOKUP($A21,$N:$Z,R$1,0)</f>
        <v>7</v>
      </c>
      <c r="L21" s="35" t="n">
        <f aca="false">VLOOKUP($A21,$N:$Z,S$1,0)</f>
        <v>0</v>
      </c>
      <c r="M21" s="36"/>
      <c r="N21" s="36" t="n">
        <f aca="false">RANK(Z21,Z:Z)</f>
        <v>39</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13.5396518375242</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Sérgio Nacif</v>
      </c>
      <c r="C22" s="44" t="n">
        <f aca="false">VLOOKUP($A22,$N:$Z,Q$1,0)</f>
        <v>8</v>
      </c>
      <c r="D22" s="46" t="str">
        <f aca="false">VLOOKUP($A22,$N:$Z,R$1,0)&amp;"-"&amp;VLOOKUP($A22,$N:$Z,S$1,0)</f>
        <v>4-4</v>
      </c>
      <c r="E22" s="44" t="n">
        <f aca="false">VLOOKUP($A22,$N:$Z,X$1,0)</f>
        <v>112</v>
      </c>
      <c r="F22" s="44" t="n">
        <f aca="false">VLOOKUP($A22,$N:$Z,V$1,0)</f>
        <v>0</v>
      </c>
      <c r="G22" s="44" t="n">
        <f aca="false">VLOOKUP($A22,$N:$Z,W$1,0)</f>
        <v>24</v>
      </c>
      <c r="H22" s="44" t="n">
        <f aca="false">VLOOKUP($A22,$N:$Z,Y$1,0)</f>
        <v>0</v>
      </c>
      <c r="I22" s="47" t="n">
        <f aca="false">VLOOKUP($A22,$N:$Z,13,0)</f>
        <v>136.000700058</v>
      </c>
      <c r="J22" s="48"/>
      <c r="K22" s="35" t="n">
        <f aca="false">VLOOKUP($A22,$N:$Z,R$1,0)</f>
        <v>4</v>
      </c>
      <c r="L22" s="35" t="n">
        <f aca="false">VLOOKUP($A22,$N:$Z,S$1,0)</f>
        <v>4</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10.8317214700193</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Rubens</v>
      </c>
      <c r="C23" s="44" t="n">
        <f aca="false">VLOOKUP($A23,$N:$Z,Q$1,0)</f>
        <v>9</v>
      </c>
      <c r="D23" s="46" t="str">
        <f aca="false">VLOOKUP($A23,$N:$Z,R$1,0)&amp;"-"&amp;VLOOKUP($A23,$N:$Z,S$1,0)</f>
        <v>4-5</v>
      </c>
      <c r="E23" s="44" t="n">
        <f aca="false">VLOOKUP($A23,$N:$Z,X$1,0)</f>
        <v>122</v>
      </c>
      <c r="F23" s="44" t="n">
        <f aca="false">VLOOKUP($A23,$N:$Z,V$1,0)</f>
        <v>0</v>
      </c>
      <c r="G23" s="44" t="n">
        <f aca="false">VLOOKUP($A23,$N:$Z,W$1,0)</f>
        <v>0</v>
      </c>
      <c r="H23" s="44" t="n">
        <f aca="false">VLOOKUP($A23,$N:$Z,Y$1,0)</f>
        <v>0</v>
      </c>
      <c r="I23" s="47" t="n">
        <f aca="false">VLOOKUP($A23,$N:$Z,13,0)</f>
        <v>122.000677834778</v>
      </c>
      <c r="J23" s="48"/>
      <c r="K23" s="35" t="n">
        <f aca="false">VLOOKUP($A23,$N:$Z,R$1,0)</f>
        <v>4</v>
      </c>
      <c r="L23" s="35" t="n">
        <f aca="false">VLOOKUP($A23,$N:$Z,S$1,0)</f>
        <v>5</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11.7988394584139</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Luis Carlos</v>
      </c>
      <c r="C24" s="44" t="n">
        <f aca="false">VLOOKUP($A24,$N:$Z,Q$1,0)</f>
        <v>13</v>
      </c>
      <c r="D24" s="46" t="str">
        <f aca="false">VLOOKUP($A24,$N:$Z,R$1,0)&amp;"-"&amp;VLOOKUP($A24,$N:$Z,S$1,0)</f>
        <v>3-10</v>
      </c>
      <c r="E24" s="44" t="n">
        <f aca="false">VLOOKUP($A24,$N:$Z,X$1,0)</f>
        <v>120</v>
      </c>
      <c r="F24" s="44" t="n">
        <f aca="false">VLOOKUP($A24,$N:$Z,V$1,0)</f>
        <v>0</v>
      </c>
      <c r="G24" s="44" t="n">
        <f aca="false">VLOOKUP($A24,$N:$Z,W$1,0)</f>
        <v>0</v>
      </c>
      <c r="H24" s="44" t="n">
        <f aca="false">VLOOKUP($A24,$N:$Z,Y$1,0)</f>
        <v>0</v>
      </c>
      <c r="I24" s="47" t="n">
        <f aca="false">VLOOKUP($A24,$N:$Z,13,0)</f>
        <v>120.000461614462</v>
      </c>
      <c r="J24" s="48"/>
      <c r="K24" s="35" t="n">
        <f aca="false">VLOOKUP($A24,$N:$Z,R$1,0)</f>
        <v>3</v>
      </c>
      <c r="L24" s="35" t="n">
        <f aca="false">VLOOKUP($A24,$N:$Z,S$1,0)</f>
        <v>10</v>
      </c>
      <c r="M24" s="36"/>
      <c r="N24" s="36" t="n">
        <f aca="false">RANK(Z24,Z:Z)</f>
        <v>16</v>
      </c>
      <c r="O24" s="35" t="n">
        <v>22</v>
      </c>
      <c r="P24" s="36" t="s">
        <v>23</v>
      </c>
      <c r="Q24" s="36" t="n">
        <f aca="false">COUNTIF(CORRIDA!G:G,CLASSIF!P24)+COUNTIF(CORRIDA!I:I,CLASSIF!P24)</f>
        <v>10</v>
      </c>
      <c r="R24" s="36" t="n">
        <f aca="false">COUNTIF(CORRIDA!G:G,CLASSIF!$P24)</f>
        <v>5</v>
      </c>
      <c r="S24" s="36" t="n">
        <f aca="false">COUNTIF(CORRIDA!I:I,CLASSIF!P24)</f>
        <v>5</v>
      </c>
      <c r="T24" s="37" t="n">
        <f aca="false">IF(Q24=0,0,U24/(Q24*20))</f>
        <v>0.675</v>
      </c>
      <c r="U24" s="36" t="n">
        <f aca="false">SUMIF(CORRIDA!G:G,CLASSIF!P24,CORRIDA!H:H)+SUMIF(CORRIDA!I:I,CLASSIF!P24,CORRIDA!J:J)</f>
        <v>135</v>
      </c>
      <c r="V24" s="36" t="n">
        <f aca="false">SUMIF(WOs!G:G,CLASSIF!P24,WOs!H:H)+SUMIF(WOs!I:I,CLASSIF!P24,WOs!J:J)</f>
        <v>0</v>
      </c>
      <c r="W24" s="36" t="n">
        <f aca="false">SUMIF(TORNEIO!G:G,CLASSIF!P24,TORNEIO!H:H)+SUMIF(TORNEIO!I:I,CLASSIF!P24,TORNEIO!J:J)+SUMIF(TORNEIO!S:S,CLASSIF!P24,TORNEIO!T:T)</f>
        <v>45</v>
      </c>
      <c r="X24" s="36" t="n">
        <f aca="false">SUM(U24:V24)</f>
        <v>135</v>
      </c>
      <c r="Y24" s="36" t="n">
        <f aca="false">VLOOKUP(P24,STATS!$B$2:$DF$52,109,0)</f>
        <v>0</v>
      </c>
      <c r="Z24" s="38" t="n">
        <f aca="false">SUM(W24:Y24)+T24/1000+(100-O24)/1000000000</f>
        <v>180.000675078</v>
      </c>
      <c r="AA24" s="36"/>
      <c r="AG24" s="30" t="n">
        <f aca="false">E24/$AF$3</f>
        <v>11.605415860735</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Guto</v>
      </c>
      <c r="C25" s="44" t="n">
        <f aca="false">VLOOKUP($A25,$N:$Z,Q$1,0)</f>
        <v>9</v>
      </c>
      <c r="D25" s="46" t="str">
        <f aca="false">VLOOKUP($A25,$N:$Z,R$1,0)&amp;"-"&amp;VLOOKUP($A25,$N:$Z,S$1,0)</f>
        <v>4-5</v>
      </c>
      <c r="E25" s="44" t="n">
        <f aca="false">VLOOKUP($A25,$N:$Z,X$1,0)</f>
        <v>108</v>
      </c>
      <c r="F25" s="44" t="n">
        <f aca="false">VLOOKUP($A25,$N:$Z,V$1,0)</f>
        <v>4</v>
      </c>
      <c r="G25" s="44" t="n">
        <f aca="false">VLOOKUP($A25,$N:$Z,W$1,0)</f>
        <v>0</v>
      </c>
      <c r="H25" s="44" t="n">
        <f aca="false">VLOOKUP($A25,$N:$Z,Y$1,0)</f>
        <v>0</v>
      </c>
      <c r="I25" s="47" t="n">
        <f aca="false">VLOOKUP($A25,$N:$Z,13,0)</f>
        <v>108.000577830778</v>
      </c>
      <c r="J25" s="48"/>
      <c r="K25" s="35" t="n">
        <f aca="false">VLOOKUP($A25,$N:$Z,R$1,0)</f>
        <v>4</v>
      </c>
      <c r="L25" s="35" t="n">
        <f aca="false">VLOOKUP($A25,$N:$Z,S$1,0)</f>
        <v>5</v>
      </c>
      <c r="M25" s="36"/>
      <c r="N25" s="36" t="n">
        <f aca="false">RANK(Z25,Z:Z)</f>
        <v>9</v>
      </c>
      <c r="O25" s="35" t="n">
        <v>23</v>
      </c>
      <c r="P25" s="36" t="s">
        <v>24</v>
      </c>
      <c r="Q25" s="36" t="n">
        <f aca="false">COUNTIF(CORRIDA!G:G,CLASSIF!P25)+COUNTIF(CORRIDA!I:I,CLASSIF!P25)</f>
        <v>23</v>
      </c>
      <c r="R25" s="36" t="n">
        <f aca="false">COUNTIF(CORRIDA!G:G,CLASSIF!$P25)</f>
        <v>2</v>
      </c>
      <c r="S25" s="36" t="n">
        <f aca="false">COUNTIF(CORRIDA!I:I,CLASSIF!P25)</f>
        <v>21</v>
      </c>
      <c r="T25" s="37" t="n">
        <f aca="false">IF(Q25=0,0,U25/(Q25*20))</f>
        <v>0.319565217391304</v>
      </c>
      <c r="U25" s="36" t="n">
        <f aca="false">SUMIF(CORRIDA!G:G,CLASSIF!P25,CORRIDA!H:H)+SUMIF(CORRIDA!I:I,CLASSIF!P25,CORRIDA!J:J)</f>
        <v>147</v>
      </c>
      <c r="V25" s="36" t="n">
        <f aca="false">SUMIF(WOs!G:G,CLASSIF!P25,WOs!H:H)+SUMIF(WOs!I:I,CLASSIF!P25,WOs!J:J)</f>
        <v>0</v>
      </c>
      <c r="W25" s="36" t="n">
        <f aca="false">SUMIF(TORNEIO!G:G,CLASSIF!P25,TORNEIO!H:H)+SUMIF(TORNEIO!I:I,CLASSIF!P25,TORNEIO!J:J)+SUMIF(TORNEIO!S:S,CLASSIF!P25,TORNEIO!T:T)</f>
        <v>24</v>
      </c>
      <c r="X25" s="36" t="n">
        <f aca="false">SUM(U25:V25)</f>
        <v>147</v>
      </c>
      <c r="Y25" s="36" t="n">
        <f aca="false">VLOOKUP(P25,STATS!$B$2:$DF$52,109,0)</f>
        <v>150</v>
      </c>
      <c r="Z25" s="38" t="n">
        <f aca="false">SUM(W25:Y25)+T25/1000+(100-O25)/1000000000</f>
        <v>321.000319642217</v>
      </c>
      <c r="AA25" s="36"/>
      <c r="AG25" s="30" t="n">
        <f aca="false">E25/$AF$3</f>
        <v>10.4448742746615</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Fabinho</v>
      </c>
      <c r="C26" s="44" t="n">
        <f aca="false">VLOOKUP($A26,$N:$Z,Q$1,0)</f>
        <v>5</v>
      </c>
      <c r="D26" s="46" t="str">
        <f aca="false">VLOOKUP($A26,$N:$Z,R$1,0)&amp;"-"&amp;VLOOKUP($A26,$N:$Z,S$1,0)</f>
        <v>3-2</v>
      </c>
      <c r="E26" s="44" t="n">
        <f aca="false">VLOOKUP($A26,$N:$Z,X$1,0)</f>
        <v>72</v>
      </c>
      <c r="F26" s="44" t="n">
        <f aca="false">VLOOKUP($A26,$N:$Z,V$1,0)</f>
        <v>0</v>
      </c>
      <c r="G26" s="44" t="n">
        <f aca="false">VLOOKUP($A26,$N:$Z,W$1,0)</f>
        <v>24</v>
      </c>
      <c r="H26" s="44" t="n">
        <f aca="false">VLOOKUP($A26,$N:$Z,Y$1,0)</f>
        <v>0</v>
      </c>
      <c r="I26" s="47" t="n">
        <f aca="false">VLOOKUP($A26,$N:$Z,13,0)</f>
        <v>96.000720087</v>
      </c>
      <c r="J26" s="48"/>
      <c r="K26" s="35" t="n">
        <f aca="false">VLOOKUP($A26,$N:$Z,R$1,0)</f>
        <v>3</v>
      </c>
      <c r="L26" s="35" t="n">
        <f aca="false">VLOOKUP($A26,$N:$Z,S$1,0)</f>
        <v>2</v>
      </c>
      <c r="M26" s="36"/>
      <c r="N26" s="36" t="n">
        <f aca="false">RANK(Z26,Z:Z)</f>
        <v>22</v>
      </c>
      <c r="O26" s="35" t="n">
        <v>24</v>
      </c>
      <c r="P26" s="36" t="s">
        <v>25</v>
      </c>
      <c r="Q26" s="36" t="n">
        <f aca="false">COUNTIF(CORRIDA!G:G,CLASSIF!P26)+COUNTIF(CORRIDA!I:I,CLASSIF!P26)</f>
        <v>13</v>
      </c>
      <c r="R26" s="36" t="n">
        <f aca="false">COUNTIF(CORRIDA!G:G,CLASSIF!$P26)</f>
        <v>3</v>
      </c>
      <c r="S26" s="36" t="n">
        <f aca="false">COUNTIF(CORRIDA!I:I,CLASSIF!P26)</f>
        <v>10</v>
      </c>
      <c r="T26" s="37" t="n">
        <f aca="false">IF(Q26=0,0,U26/(Q26*20))</f>
        <v>0.461538461538462</v>
      </c>
      <c r="U26" s="36" t="n">
        <f aca="false">SUMIF(CORRIDA!G:G,CLASSIF!P26,CORRIDA!H:H)+SUMIF(CORRIDA!I:I,CLASSIF!P26,CORRIDA!J:J)</f>
        <v>120</v>
      </c>
      <c r="V26" s="36" t="n">
        <f aca="false">SUMIF(WOs!G:G,CLASSIF!P26,WOs!H:H)+SUMIF(WOs!I:I,CLASSIF!P26,WOs!J:J)</f>
        <v>0</v>
      </c>
      <c r="W26" s="36" t="n">
        <f aca="false">SUMIF(TORNEIO!G:G,CLASSIF!P26,TORNEIO!H:H)+SUMIF(TORNEIO!I:I,CLASSIF!P26,TORNEIO!J:J)+SUMIF(TORNEIO!S:S,CLASSIF!P26,TORNEIO!T:T)</f>
        <v>0</v>
      </c>
      <c r="X26" s="36" t="n">
        <f aca="false">SUM(U26:V26)</f>
        <v>120</v>
      </c>
      <c r="Y26" s="36" t="n">
        <f aca="false">VLOOKUP(P26,STATS!$B$2:$DF$52,109,0)</f>
        <v>0</v>
      </c>
      <c r="Z26" s="38" t="n">
        <f aca="false">SUM(W26:Y26)+T26/1000+(100-O26)/1000000000</f>
        <v>120.000461614462</v>
      </c>
      <c r="AA26" s="36"/>
      <c r="AG26" s="30" t="n">
        <f aca="false">E26/$AF$3</f>
        <v>6.96324951644101</v>
      </c>
      <c r="AH26" s="30" t="e">
        <f aca="true">E26+AH$2*20*D26*(($AC$3-TODAY())/7)</f>
        <v>#VALUE!</v>
      </c>
      <c r="AJ26" s="1"/>
      <c r="AL26" s="1"/>
    </row>
    <row r="27" customFormat="false" ht="12.75" hidden="false" customHeight="false" outlineLevel="0" collapsed="false">
      <c r="A27" s="49" t="n">
        <v>25</v>
      </c>
      <c r="B27" s="50" t="str">
        <f aca="false">VLOOKUP($A27,$N:$Z,P$1,0)</f>
        <v>Salgado</v>
      </c>
      <c r="C27" s="49" t="n">
        <f aca="false">VLOOKUP($A27,$N:$Z,Q$1,0)</f>
        <v>3</v>
      </c>
      <c r="D27" s="51" t="str">
        <f aca="false">VLOOKUP($A27,$N:$Z,R$1,0)&amp;"-"&amp;VLOOKUP($A27,$N:$Z,S$1,0)</f>
        <v>2-1</v>
      </c>
      <c r="E27" s="49" t="n">
        <f aca="false">VLOOKUP($A27,$N:$Z,X$1,0)</f>
        <v>52</v>
      </c>
      <c r="F27" s="49" t="n">
        <f aca="false">VLOOKUP($A27,$N:$Z,V$1,0)</f>
        <v>0</v>
      </c>
      <c r="G27" s="49" t="n">
        <f aca="false">VLOOKUP($A27,$N:$Z,W$1,0)</f>
        <v>24</v>
      </c>
      <c r="H27" s="49" t="n">
        <f aca="false">VLOOKUP($A27,$N:$Z,Y$1,0)</f>
        <v>0</v>
      </c>
      <c r="I27" s="52" t="n">
        <f aca="false">VLOOKUP($A27,$N:$Z,13,0)</f>
        <v>76.0008667256667</v>
      </c>
      <c r="J27" s="53"/>
      <c r="K27" s="35" t="n">
        <f aca="false">VLOOKUP($A27,$N:$Z,R$1,0)</f>
        <v>2</v>
      </c>
      <c r="L27" s="35" t="n">
        <f aca="false">VLOOKUP($A27,$N:$Z,S$1,0)</f>
        <v>1</v>
      </c>
      <c r="M27" s="36"/>
      <c r="N27" s="36" t="n">
        <f aca="false">RANK(Z27,Z:Z)</f>
        <v>4</v>
      </c>
      <c r="O27" s="35" t="n">
        <v>25</v>
      </c>
      <c r="P27" s="36" t="s">
        <v>26</v>
      </c>
      <c r="Q27" s="36" t="n">
        <f aca="false">COUNTIF(CORRIDA!G:G,CLASSIF!P27)+COUNTIF(CORRIDA!I:I,CLASSIF!P27)</f>
        <v>12</v>
      </c>
      <c r="R27" s="36" t="n">
        <f aca="false">COUNTIF(CORRIDA!G:G,CLASSIF!$P27)</f>
        <v>9</v>
      </c>
      <c r="S27" s="36" t="n">
        <f aca="false">COUNTIF(CORRIDA!I:I,CLASSIF!P27)</f>
        <v>3</v>
      </c>
      <c r="T27" s="37" t="n">
        <f aca="false">IF(Q27=0,0,U27/(Q27*20))</f>
        <v>0.870833333333333</v>
      </c>
      <c r="U27" s="36" t="n">
        <f aca="false">SUMIF(CORRIDA!G:G,CLASSIF!P27,CORRIDA!H:H)+SUMIF(CORRIDA!I:I,CLASSIF!P27,CORRIDA!J:J)</f>
        <v>209</v>
      </c>
      <c r="V27" s="36" t="n">
        <f aca="false">SUMIF(WOs!G:G,CLASSIF!P27,WOs!H:H)+SUMIF(WOs!I:I,CLASSIF!P27,WOs!J:J)</f>
        <v>0</v>
      </c>
      <c r="W27" s="36" t="n">
        <f aca="false">SUMIF(TORNEIO!G:G,CLASSIF!P27,TORNEIO!H:H)+SUMIF(TORNEIO!I:I,CLASSIF!P27,TORNEIO!J:J)+SUMIF(TORNEIO!S:S,CLASSIF!P27,TORNEIO!T:T)</f>
        <v>44</v>
      </c>
      <c r="X27" s="36" t="n">
        <f aca="false">SUM(U27:V27)</f>
        <v>209</v>
      </c>
      <c r="Y27" s="36" t="n">
        <f aca="false">VLOOKUP(P27,STATS!$B$2:$DF$52,109,0)</f>
        <v>100</v>
      </c>
      <c r="Z27" s="38" t="n">
        <f aca="false">SUM(W27:Y27)+T27/1000+(100-O27)/1000000000</f>
        <v>353.000870908333</v>
      </c>
      <c r="AA27" s="36"/>
      <c r="AG27" s="30" t="n">
        <f aca="false">E27/$AF$3</f>
        <v>5.02901353965184</v>
      </c>
      <c r="AH27" s="30" t="e">
        <f aca="true">E27+AH$2*20*D27*(($AC$3-TODAY())/7)</f>
        <v>#VALUE!</v>
      </c>
      <c r="AJ27" s="1"/>
      <c r="AL27" s="1"/>
    </row>
    <row r="28" customFormat="false" ht="12.75" hidden="false" customHeight="false" outlineLevel="0" collapsed="false">
      <c r="A28" s="49" t="n">
        <v>26</v>
      </c>
      <c r="B28" s="50" t="str">
        <f aca="false">VLOOKUP($A28,$N:$Z,P$1,0)</f>
        <v>Andre Bruni</v>
      </c>
      <c r="C28" s="49" t="n">
        <f aca="false">VLOOKUP($A28,$N:$Z,Q$1,0)</f>
        <v>6</v>
      </c>
      <c r="D28" s="51" t="str">
        <f aca="false">VLOOKUP($A28,$N:$Z,R$1,0)&amp;"-"&amp;VLOOKUP($A28,$N:$Z,S$1,0)</f>
        <v>2-4</v>
      </c>
      <c r="E28" s="49" t="n">
        <f aca="false">VLOOKUP($A28,$N:$Z,X$1,0)</f>
        <v>73</v>
      </c>
      <c r="F28" s="49" t="n">
        <f aca="false">VLOOKUP($A28,$N:$Z,V$1,0)</f>
        <v>0</v>
      </c>
      <c r="G28" s="49" t="n">
        <f aca="false">VLOOKUP($A28,$N:$Z,W$1,0)</f>
        <v>0</v>
      </c>
      <c r="H28" s="49" t="n">
        <f aca="false">VLOOKUP($A28,$N:$Z,Y$1,0)</f>
        <v>0</v>
      </c>
      <c r="I28" s="52" t="n">
        <f aca="false">VLOOKUP($A28,$N:$Z,13,0)</f>
        <v>73.0006083883333</v>
      </c>
      <c r="J28" s="53"/>
      <c r="K28" s="35" t="n">
        <f aca="false">VLOOKUP($A28,$N:$Z,R$1,0)</f>
        <v>2</v>
      </c>
      <c r="L28" s="35" t="n">
        <f aca="false">VLOOKUP($A28,$N:$Z,S$1,0)</f>
        <v>4</v>
      </c>
      <c r="M28" s="36"/>
      <c r="N28" s="36" t="n">
        <f aca="false">RANK(Z28,Z:Z)</f>
        <v>18</v>
      </c>
      <c r="O28" s="35" t="n">
        <v>26</v>
      </c>
      <c r="P28" s="36" t="s">
        <v>27</v>
      </c>
      <c r="Q28" s="36" t="n">
        <f aca="false">COUNTIF(CORRIDA!G:G,CLASSIF!P28)+COUNTIF(CORRIDA!I:I,CLASSIF!P28)</f>
        <v>8</v>
      </c>
      <c r="R28" s="36" t="n">
        <f aca="false">COUNTIF(CORRIDA!G:G,CLASSIF!$P28)</f>
        <v>7</v>
      </c>
      <c r="S28" s="36" t="n">
        <f aca="false">COUNTIF(CORRIDA!I:I,CLASSIF!P28)</f>
        <v>1</v>
      </c>
      <c r="T28" s="37" t="n">
        <f aca="false">IF(Q28=0,0,U28/(Q28*20))</f>
        <v>0.90625</v>
      </c>
      <c r="U28" s="36" t="n">
        <f aca="false">SUMIF(CORRIDA!G:G,CLASSIF!P28,CORRIDA!H:H)+SUMIF(CORRIDA!I:I,CLASSIF!P28,CORRIDA!J:J)</f>
        <v>145</v>
      </c>
      <c r="V28" s="36" t="n">
        <f aca="false">SUMIF(WOs!G:G,CLASSIF!P28,WOs!H:H)+SUMIF(WOs!I:I,CLASSIF!P28,WOs!J:J)</f>
        <v>0</v>
      </c>
      <c r="W28" s="36" t="n">
        <f aca="false">SUMIF(TORNEIO!G:G,CLASSIF!P28,TORNEIO!H:H)+SUMIF(TORNEIO!I:I,CLASSIF!P28,TORNEIO!J:J)+SUMIF(TORNEIO!S:S,CLASSIF!P28,TORNEIO!T:T)</f>
        <v>0</v>
      </c>
      <c r="X28" s="36" t="n">
        <f aca="false">SUM(U28:V28)</f>
        <v>145</v>
      </c>
      <c r="Y28" s="36" t="n">
        <f aca="false">VLOOKUP(P28,STATS!$B$2:$DF$52,109,0)</f>
        <v>0</v>
      </c>
      <c r="Z28" s="38" t="n">
        <f aca="false">SUM(W28:Y28)+T28/1000+(100-O28)/1000000000</f>
        <v>145.000906324</v>
      </c>
      <c r="AA28" s="36"/>
      <c r="AG28" s="30" t="n">
        <f aca="false">E28/$AF$3</f>
        <v>7.05996131528046</v>
      </c>
      <c r="AH28" s="30" t="e">
        <f aca="true">E28+AH$2*20*D28*(($AC$3-TODAY())/7)</f>
        <v>#VALUE!</v>
      </c>
      <c r="AJ28" s="1"/>
      <c r="AL28" s="1"/>
    </row>
    <row r="29" customFormat="false" ht="12.75" hidden="false" customHeight="false" outlineLevel="0" collapsed="false">
      <c r="A29" s="49" t="n">
        <v>27</v>
      </c>
      <c r="B29" s="50" t="str">
        <f aca="false">VLOOKUP($A29,$N:$Z,P$1,0)</f>
        <v>Bruno</v>
      </c>
      <c r="C29" s="49" t="n">
        <f aca="false">VLOOKUP($A29,$N:$Z,Q$1,0)</f>
        <v>3</v>
      </c>
      <c r="D29" s="51" t="str">
        <f aca="false">VLOOKUP($A29,$N:$Z,R$1,0)&amp;"-"&amp;VLOOKUP($A29,$N:$Z,S$1,0)</f>
        <v>2-1</v>
      </c>
      <c r="E29" s="49" t="n">
        <f aca="false">VLOOKUP($A29,$N:$Z,X$1,0)</f>
        <v>47</v>
      </c>
      <c r="F29" s="49" t="n">
        <f aca="false">VLOOKUP($A29,$N:$Z,V$1,0)</f>
        <v>0</v>
      </c>
      <c r="G29" s="49" t="n">
        <f aca="false">VLOOKUP($A29,$N:$Z,W$1,0)</f>
        <v>0</v>
      </c>
      <c r="H29" s="49" t="n">
        <f aca="false">VLOOKUP($A29,$N:$Z,Y$1,0)</f>
        <v>0</v>
      </c>
      <c r="I29" s="52" t="n">
        <f aca="false">VLOOKUP($A29,$N:$Z,13,0)</f>
        <v>47.0007834293333</v>
      </c>
      <c r="J29" s="53"/>
      <c r="K29" s="35" t="n">
        <f aca="false">VLOOKUP($A29,$N:$Z,R$1,0)</f>
        <v>2</v>
      </c>
      <c r="L29" s="35" t="n">
        <f aca="false">VLOOKUP($A29,$N:$Z,S$1,0)</f>
        <v>1</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Palazzo</v>
      </c>
      <c r="C30" s="49" t="n">
        <f aca="false">VLOOKUP($A30,$N:$Z,Q$1,0)</f>
        <v>2</v>
      </c>
      <c r="D30" s="51" t="str">
        <f aca="false">VLOOKUP($A30,$N:$Z,R$1,0)&amp;"-"&amp;VLOOKUP($A30,$N:$Z,S$1,0)</f>
        <v>2-0</v>
      </c>
      <c r="E30" s="49" t="n">
        <f aca="false">VLOOKUP($A30,$N:$Z,X$1,0)</f>
        <v>45</v>
      </c>
      <c r="F30" s="49" t="n">
        <f aca="false">VLOOKUP($A30,$N:$Z,V$1,0)</f>
        <v>0</v>
      </c>
      <c r="G30" s="49" t="n">
        <f aca="false">VLOOKUP($A30,$N:$Z,W$1,0)</f>
        <v>0</v>
      </c>
      <c r="H30" s="49" t="n">
        <f aca="false">VLOOKUP($A30,$N:$Z,Y$1,0)</f>
        <v>0</v>
      </c>
      <c r="I30" s="52" t="n">
        <f aca="false">VLOOKUP($A30,$N:$Z,13,0)</f>
        <v>45.00112507</v>
      </c>
      <c r="J30" s="53"/>
      <c r="K30" s="35" t="n">
        <f aca="false">VLOOKUP($A30,$N:$Z,R$1,0)</f>
        <v>2</v>
      </c>
      <c r="L30" s="35" t="n">
        <f aca="false">VLOOKUP($A30,$N:$Z,S$1,0)</f>
        <v>0</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6</v>
      </c>
      <c r="O31" s="35" t="n">
        <v>29</v>
      </c>
      <c r="P31" s="36" t="s">
        <v>30</v>
      </c>
      <c r="Q31" s="36" t="n">
        <f aca="false">COUNTIF(CORRIDA!G:G,CLASSIF!P31)+COUNTIF(CORRIDA!I:I,CLASSIF!P31)</f>
        <v>15</v>
      </c>
      <c r="R31" s="36" t="n">
        <f aca="false">COUNTIF(CORRIDA!G:G,CLASSIF!$P31)</f>
        <v>10</v>
      </c>
      <c r="S31" s="36" t="n">
        <f aca="false">COUNTIF(CORRIDA!I:I,CLASSIF!P31)</f>
        <v>5</v>
      </c>
      <c r="T31" s="37" t="n">
        <f aca="false">IF(Q31=0,0,U31/(Q31*20))</f>
        <v>0.803333333333333</v>
      </c>
      <c r="U31" s="36" t="n">
        <f aca="false">SUMIF(CORRIDA!G:G,CLASSIF!P31,CORRIDA!H:H)+SUMIF(CORRIDA!I:I,CLASSIF!P31,CORRIDA!J:J)</f>
        <v>241</v>
      </c>
      <c r="V31" s="36" t="n">
        <f aca="false">SUMIF(WOs!G:G,CLASSIF!P31,WOs!H:H)+SUMIF(WOs!I:I,CLASSIF!P31,WOs!J:J)</f>
        <v>0</v>
      </c>
      <c r="W31" s="36" t="n">
        <f aca="false">SUMIF(TORNEIO!G:G,CLASSIF!P31,TORNEIO!H:H)+SUMIF(TORNEIO!I:I,CLASSIF!P31,TORNEIO!J:J)+SUMIF(TORNEIO!S:S,CLASSIF!P31,TORNEIO!T:T)</f>
        <v>0</v>
      </c>
      <c r="X31" s="36" t="n">
        <f aca="false">SUM(U31:V31)</f>
        <v>241</v>
      </c>
      <c r="Y31" s="36" t="n">
        <f aca="false">VLOOKUP(P31,STATS!$B$2:$DF$52,109,0)</f>
        <v>100</v>
      </c>
      <c r="Z31" s="38" t="n">
        <f aca="false">SUM(W31:Y31)+T31/1000+(100-O31)/1000000000</f>
        <v>341.000803404333</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20</v>
      </c>
      <c r="F32" s="49" t="n">
        <f aca="false">VLOOKUP($A32,$N:$Z,V$1,0)</f>
        <v>0</v>
      </c>
      <c r="G32" s="49" t="n">
        <f aca="false">VLOOKUP($A32,$N:$Z,W$1,0)</f>
        <v>0</v>
      </c>
      <c r="H32" s="49" t="n">
        <f aca="false">VLOOKUP($A32,$N:$Z,Y$1,0)</f>
        <v>0</v>
      </c>
      <c r="I32" s="52" t="n">
        <f aca="false">VLOOKUP($A32,$N:$Z,13,0)</f>
        <v>20.000200051</v>
      </c>
      <c r="J32" s="53"/>
      <c r="K32" s="35" t="n">
        <f aca="false">VLOOKUP($A32,$N:$Z,R$1,0)</f>
        <v>0</v>
      </c>
      <c r="L32" s="35" t="n">
        <f aca="false">VLOOKUP($A32,$N:$Z,S$1,0)</f>
        <v>5</v>
      </c>
      <c r="M32" s="36"/>
      <c r="N32" s="36" t="n">
        <f aca="false">RANK(Z32,Z:Z)</f>
        <v>28</v>
      </c>
      <c r="O32" s="35" t="n">
        <v>30</v>
      </c>
      <c r="P32" s="36" t="s">
        <v>31</v>
      </c>
      <c r="Q32" s="36" t="n">
        <f aca="false">COUNTIF(CORRIDA!G:G,CLASSIF!P32)+COUNTIF(CORRIDA!I:I,CLASSIF!P32)</f>
        <v>2</v>
      </c>
      <c r="R32" s="36" t="n">
        <f aca="false">COUNTIF(CORRIDA!G:G,CLASSIF!$P32)</f>
        <v>2</v>
      </c>
      <c r="S32" s="36" t="n">
        <f aca="false">COUNTIF(CORRIDA!I:I,CLASSIF!P32)</f>
        <v>0</v>
      </c>
      <c r="T32" s="37" t="n">
        <f aca="false">IF(Q32=0,0,U32/(Q32*20))</f>
        <v>1.125</v>
      </c>
      <c r="U32" s="36" t="n">
        <f aca="false">SUMIF(CORRIDA!G:G,CLASSIF!P32,CORRIDA!H:H)+SUMIF(CORRIDA!I:I,CLASSIF!P32,CORRIDA!J:J)</f>
        <v>45</v>
      </c>
      <c r="V32" s="36" t="n">
        <f aca="false">SUMIF(WOs!G:G,CLASSIF!P32,WOs!H:H)+SUMIF(WOs!I:I,CLASSIF!P32,WOs!J:J)</f>
        <v>0</v>
      </c>
      <c r="W32" s="36" t="n">
        <f aca="false">SUMIF(TORNEIO!G:G,CLASSIF!P32,TORNEIO!H:H)+SUMIF(TORNEIO!I:I,CLASSIF!P32,TORNEIO!J:J)+SUMIF(TORNEIO!S:S,CLASSIF!P32,TORNEIO!T:T)</f>
        <v>0</v>
      </c>
      <c r="X32" s="36" t="n">
        <f aca="false">SUM(U32:V32)</f>
        <v>45</v>
      </c>
      <c r="Y32" s="36" t="n">
        <f aca="false">VLOOKUP(P32,STATS!$B$2:$DF$52,109,0)</f>
        <v>0</v>
      </c>
      <c r="Z32" s="38" t="n">
        <f aca="false">SUM(W32:Y32)+T32/1000+(100-O32)/1000000000</f>
        <v>45.00112507</v>
      </c>
      <c r="AA32" s="36"/>
    </row>
    <row r="33" customFormat="false" ht="12.75" hidden="false" customHeight="false" outlineLevel="0" collapsed="false">
      <c r="A33" s="49" t="n">
        <v>31</v>
      </c>
      <c r="B33" s="50" t="str">
        <f aca="false">VLOOKUP($A33,$N:$Z,P$1,0)</f>
        <v>Fernando Bio</v>
      </c>
      <c r="C33" s="49" t="n">
        <f aca="false">VLOOKUP($A33,$N:$Z,Q$1,0)</f>
        <v>2</v>
      </c>
      <c r="D33" s="51" t="str">
        <f aca="false">VLOOKUP($A33,$N:$Z,R$1,0)&amp;"-"&amp;VLOOKUP($A33,$N:$Z,S$1,0)</f>
        <v>0-2</v>
      </c>
      <c r="E33" s="49" t="n">
        <f aca="false">VLOOKUP($A33,$N:$Z,X$1,0)</f>
        <v>16</v>
      </c>
      <c r="F33" s="49" t="n">
        <f aca="false">VLOOKUP($A33,$N:$Z,V$1,0)</f>
        <v>0</v>
      </c>
      <c r="G33" s="49" t="n">
        <f aca="false">VLOOKUP($A33,$N:$Z,W$1,0)</f>
        <v>0</v>
      </c>
      <c r="H33" s="49" t="n">
        <f aca="false">VLOOKUP($A33,$N:$Z,Y$1,0)</f>
        <v>0</v>
      </c>
      <c r="I33" s="52" t="n">
        <f aca="false">VLOOKUP($A33,$N:$Z,13,0)</f>
        <v>16.000400085</v>
      </c>
      <c r="J33" s="53"/>
      <c r="K33" s="35" t="n">
        <f aca="false">VLOOKUP($A33,$N:$Z,R$1,0)</f>
        <v>0</v>
      </c>
      <c r="L33" s="35" t="n">
        <f aca="false">VLOOKUP($A33,$N:$Z,S$1,0)</f>
        <v>2</v>
      </c>
      <c r="M33" s="36"/>
      <c r="N33" s="36" t="n">
        <f aca="false">RANK(Z33,Z:Z)</f>
        <v>10</v>
      </c>
      <c r="O33" s="35" t="n">
        <v>31</v>
      </c>
      <c r="P33" s="36" t="s">
        <v>32</v>
      </c>
      <c r="Q33" s="36" t="n">
        <f aca="false">COUNTIF(CORRIDA!G:G,CLASSIF!P33)+COUNTIF(CORRIDA!I:I,CLASSIF!P33)</f>
        <v>10</v>
      </c>
      <c r="R33" s="36" t="n">
        <f aca="false">COUNTIF(CORRIDA!G:G,CLASSIF!$P33)</f>
        <v>5</v>
      </c>
      <c r="S33" s="36" t="n">
        <f aca="false">COUNTIF(CORRIDA!I:I,CLASSIF!P33)</f>
        <v>5</v>
      </c>
      <c r="T33" s="37" t="n">
        <f aca="false">IF(Q33=0,0,U33/(Q33*20))</f>
        <v>0.655</v>
      </c>
      <c r="U33" s="36" t="n">
        <f aca="false">SUMIF(CORRIDA!G:G,CLASSIF!P33,CORRIDA!H:H)+SUMIF(CORRIDA!I:I,CLASSIF!P33,CORRIDA!J:J)</f>
        <v>131</v>
      </c>
      <c r="V33" s="36" t="n">
        <f aca="false">SUMIF(WOs!G:G,CLASSIF!P33,WOs!H:H)+SUMIF(WOs!I:I,CLASSIF!P33,WOs!J:J)</f>
        <v>0</v>
      </c>
      <c r="W33" s="36" t="n">
        <f aca="false">SUMIF(TORNEIO!G:G,CLASSIF!P33,TORNEIO!H:H)+SUMIF(TORNEIO!I:I,CLASSIF!P33,TORNEIO!J:J)+SUMIF(TORNEIO!S:S,CLASSIF!P33,TORNEIO!T:T)</f>
        <v>24</v>
      </c>
      <c r="X33" s="36" t="n">
        <f aca="false">SUM(U33:V33)</f>
        <v>131</v>
      </c>
      <c r="Y33" s="36" t="n">
        <f aca="false">VLOOKUP(P33,STATS!$B$2:$DF$52,109,0)</f>
        <v>100</v>
      </c>
      <c r="Z33" s="38" t="n">
        <f aca="false">SUM(W33:Y33)+T33/1000+(100-O33)/1000000000</f>
        <v>255.000655069</v>
      </c>
      <c r="AA33" s="36"/>
    </row>
    <row r="34" customFormat="false" ht="12.75" hidden="false" customHeight="false" outlineLevel="0" collapsed="false">
      <c r="A34" s="49" t="n">
        <v>32</v>
      </c>
      <c r="B34" s="50" t="str">
        <f aca="false">VLOOKUP($A34,$N:$Z,P$1,0)</f>
        <v>Walderi</v>
      </c>
      <c r="C34" s="49" t="n">
        <f aca="false">VLOOKUP($A34,$N:$Z,Q$1,0)</f>
        <v>1</v>
      </c>
      <c r="D34" s="51" t="str">
        <f aca="false">VLOOKUP($A34,$N:$Z,R$1,0)&amp;"-"&amp;VLOOKUP($A34,$N:$Z,S$1,0)</f>
        <v>0-1</v>
      </c>
      <c r="E34" s="49" t="n">
        <f aca="false">VLOOKUP($A34,$N:$Z,X$1,0)</f>
        <v>4</v>
      </c>
      <c r="F34" s="49" t="n">
        <f aca="false">VLOOKUP($A34,$N:$Z,V$1,0)</f>
        <v>0</v>
      </c>
      <c r="G34" s="49" t="n">
        <f aca="false">VLOOKUP($A34,$N:$Z,W$1,0)</f>
        <v>0</v>
      </c>
      <c r="H34" s="49" t="n">
        <f aca="false">VLOOKUP($A34,$N:$Z,Y$1,0)</f>
        <v>0</v>
      </c>
      <c r="I34" s="52" t="n">
        <f aca="false">VLOOKUP($A34,$N:$Z,13,0)</f>
        <v>4.00020009</v>
      </c>
      <c r="J34" s="53"/>
      <c r="K34" s="35" t="n">
        <f aca="false">VLOOKUP($A34,$N:$Z,R$1,0)</f>
        <v>0</v>
      </c>
      <c r="L34" s="35" t="n">
        <f aca="false">VLOOKUP($A34,$N:$Z,S$1,0)</f>
        <v>1</v>
      </c>
      <c r="M34" s="36"/>
      <c r="N34" s="36" t="n">
        <f aca="false">RANK(Z34,Z:Z)</f>
        <v>19</v>
      </c>
      <c r="O34" s="35" t="n">
        <v>32</v>
      </c>
      <c r="P34" s="36" t="s">
        <v>33</v>
      </c>
      <c r="Q34" s="36" t="n">
        <f aca="false">COUNTIF(CORRIDA!G:G,CLASSIF!P34)+COUNTIF(CORRIDA!I:I,CLASSIF!P34)</f>
        <v>7</v>
      </c>
      <c r="R34" s="36" t="n">
        <f aca="false">COUNTIF(CORRIDA!G:G,CLASSIF!$P34)</f>
        <v>7</v>
      </c>
      <c r="S34" s="36" t="n">
        <f aca="false">COUNTIF(CORRIDA!I:I,CLASSIF!P34)</f>
        <v>0</v>
      </c>
      <c r="T34" s="37" t="n">
        <f aca="false">IF(Q34=0,0,U34/(Q34*20))</f>
        <v>1</v>
      </c>
      <c r="U34" s="36" t="n">
        <f aca="false">SUMIF(CORRIDA!G:G,CLASSIF!P34,CORRIDA!H:H)+SUMIF(CORRIDA!I:I,CLASSIF!P34,CORRIDA!J:J)</f>
        <v>140</v>
      </c>
      <c r="V34" s="36" t="n">
        <f aca="false">SUMIF(WOs!G:G,CLASSIF!P34,WOs!H:H)+SUMIF(WOs!I:I,CLASSIF!P34,WOs!J:J)</f>
        <v>0</v>
      </c>
      <c r="W34" s="36" t="n">
        <f aca="false">SUMIF(TORNEIO!G:G,CLASSIF!P34,TORNEIO!H:H)+SUMIF(TORNEIO!I:I,CLASSIF!P34,TORNEIO!J:J)+SUMIF(TORNEIO!S:S,CLASSIF!P34,TORNEIO!T:T)</f>
        <v>0</v>
      </c>
      <c r="X34" s="36" t="n">
        <f aca="false">SUM(U34:V34)</f>
        <v>140</v>
      </c>
      <c r="Y34" s="36" t="n">
        <f aca="false">VLOOKUP(P34,STATS!$B$2:$DF$52,109,0)</f>
        <v>0</v>
      </c>
      <c r="Z34" s="38" t="n">
        <f aca="false">SUM(W34:Y34)+T34/1000+(100-O34)/1000000000</f>
        <v>140.001000068</v>
      </c>
      <c r="AA34" s="36"/>
    </row>
    <row r="35" customFormat="false" ht="12.75" hidden="false" customHeight="false" outlineLevel="0" collapsed="false">
      <c r="A35" s="49" t="n">
        <v>33</v>
      </c>
      <c r="B35" s="50" t="str">
        <f aca="false">VLOOKUP($A35,$N:$Z,P$1,0)</f>
        <v>Arthur Fontalvinho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9.9E-008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Bérgamo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9.8E-008</v>
      </c>
      <c r="J36" s="53"/>
      <c r="K36" s="35" t="n">
        <f aca="false">VLOOKUP($A36,$N:$Z,R$1,0)</f>
        <v>0</v>
      </c>
      <c r="L36" s="35" t="n">
        <f aca="false">VLOOKUP($A36,$N:$Z,S$1,0)</f>
        <v>0</v>
      </c>
      <c r="M36" s="36"/>
      <c r="N36" s="36" t="n">
        <f aca="false">RANK(Z36,Z:Z)</f>
        <v>14</v>
      </c>
      <c r="O36" s="35" t="n">
        <v>34</v>
      </c>
      <c r="P36" s="36" t="s">
        <v>35</v>
      </c>
      <c r="Q36" s="36" t="n">
        <f aca="false">COUNTIF(CORRIDA!G:G,CLASSIF!P36)+COUNTIF(CORRIDA!I:I,CLASSIF!P36)</f>
        <v>11</v>
      </c>
      <c r="R36" s="36" t="n">
        <f aca="false">COUNTIF(CORRIDA!G:G,CLASSIF!$P36)</f>
        <v>9</v>
      </c>
      <c r="S36" s="36" t="n">
        <f aca="false">COUNTIF(CORRIDA!I:I,CLASSIF!P36)</f>
        <v>2</v>
      </c>
      <c r="T36" s="37" t="n">
        <f aca="false">IF(Q36=0,0,U36/(Q36*20))</f>
        <v>0.909090909090909</v>
      </c>
      <c r="U36" s="36" t="n">
        <f aca="false">SUMIF(CORRIDA!G:G,CLASSIF!P36,CORRIDA!H:H)+SUMIF(CORRIDA!I:I,CLASSIF!P36,CORRIDA!J:J)</f>
        <v>200</v>
      </c>
      <c r="V36" s="36" t="n">
        <f aca="false">SUMIF(WOs!G:G,CLASSIF!P36,WOs!H:H)+SUMIF(WOs!I:I,CLASSIF!P36,WOs!J:J)</f>
        <v>0</v>
      </c>
      <c r="W36" s="36" t="n">
        <f aca="false">SUMIF(TORNEIO!G:G,CLASSIF!P36,TORNEIO!H:H)+SUMIF(TORNEIO!I:I,CLASSIF!P36,TORNEIO!J:J)+SUMIF(TORNEIO!S:S,CLASSIF!P36,TORNEIO!T:T)</f>
        <v>0</v>
      </c>
      <c r="X36" s="36" t="n">
        <f aca="false">SUM(U36:V36)</f>
        <v>200</v>
      </c>
      <c r="Y36" s="36" t="n">
        <f aca="false">VLOOKUP(P36,STATS!$B$2:$DF$52,109,0)</f>
        <v>0</v>
      </c>
      <c r="Z36" s="38" t="n">
        <f aca="false">SUM(W36:Y36)+T36/1000+(100-O36)/1000000000</f>
        <v>200.000909156909</v>
      </c>
      <c r="AA36" s="36"/>
    </row>
    <row r="37" customFormat="false" ht="12.75" hidden="false" customHeight="false" outlineLevel="0" collapsed="false">
      <c r="A37" s="49" t="n">
        <v>35</v>
      </c>
      <c r="B37" s="50" t="str">
        <f aca="false">VLOOKUP($A37,$N:$Z,P$1,0)</f>
        <v>Bernardo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9.7E-008</v>
      </c>
      <c r="J37" s="53"/>
      <c r="K37" s="35" t="n">
        <f aca="false">VLOOKUP($A37,$N:$Z,R$1,0)</f>
        <v>0</v>
      </c>
      <c r="L37" s="35" t="n">
        <f aca="false">VLOOKUP($A37,$N:$Z,S$1,0)</f>
        <v>0</v>
      </c>
      <c r="M37" s="36"/>
      <c r="N37" s="36" t="n">
        <f aca="false">RANK(Z37,Z:Z)</f>
        <v>13</v>
      </c>
      <c r="O37" s="35" t="n">
        <v>35</v>
      </c>
      <c r="P37" s="36" t="s">
        <v>36</v>
      </c>
      <c r="Q37" s="36" t="n">
        <f aca="false">COUNTIF(CORRIDA!G:G,CLASSIF!P37)+COUNTIF(CORRIDA!I:I,CLASSIF!P37)</f>
        <v>16</v>
      </c>
      <c r="R37" s="36" t="n">
        <f aca="false">COUNTIF(CORRIDA!G:G,CLASSIF!$P37)</f>
        <v>4</v>
      </c>
      <c r="S37" s="36" t="n">
        <f aca="false">COUNTIF(CORRIDA!I:I,CLASSIF!P37)</f>
        <v>12</v>
      </c>
      <c r="T37" s="37" t="n">
        <f aca="false">IF(Q37=0,0,U37/(Q37*20))</f>
        <v>0.4625</v>
      </c>
      <c r="U37" s="36" t="n">
        <f aca="false">SUMIF(CORRIDA!G:G,CLASSIF!P37,CORRIDA!H:H)+SUMIF(CORRIDA!I:I,CLASSIF!P37,CORRIDA!J:J)</f>
        <v>148</v>
      </c>
      <c r="V37" s="36" t="n">
        <f aca="false">SUMIF(WOs!G:G,CLASSIF!P37,WOs!H:H)+SUMIF(WOs!I:I,CLASSIF!P37,WOs!J:J)</f>
        <v>0</v>
      </c>
      <c r="W37" s="36" t="n">
        <f aca="false">SUMIF(TORNEIO!G:G,CLASSIF!P37,TORNEIO!H:H)+SUMIF(TORNEIO!I:I,CLASSIF!P37,TORNEIO!J:J)+SUMIF(TORNEIO!S:S,CLASSIF!P37,TORNEIO!T:T)</f>
        <v>0</v>
      </c>
      <c r="X37" s="36" t="n">
        <f aca="false">SUM(U37:V37)</f>
        <v>148</v>
      </c>
      <c r="Y37" s="36" t="n">
        <f aca="false">VLOOKUP(P37,STATS!$B$2:$DF$52,109,0)</f>
        <v>100</v>
      </c>
      <c r="Z37" s="38" t="n">
        <f aca="false">SUM(W37:Y37)+T37/1000+(100-O37)/1000000000</f>
        <v>248.000462565</v>
      </c>
      <c r="AA37" s="36"/>
    </row>
    <row r="38" customFormat="false" ht="12.75" hidden="false" customHeight="false" outlineLevel="0" collapsed="false">
      <c r="A38" s="49" t="n">
        <v>36</v>
      </c>
      <c r="B38" s="50" t="str">
        <f aca="false">VLOOKUP($A38,$N:$Z,P$1,0)</f>
        <v>Daniel Borges</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9.2E-008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14</v>
      </c>
      <c r="R38" s="36" t="n">
        <f aca="false">COUNTIF(CORRIDA!G:G,CLASSIF!$P38)</f>
        <v>12</v>
      </c>
      <c r="S38" s="36" t="n">
        <f aca="false">COUNTIF(CORRIDA!I:I,CLASSIF!P38)</f>
        <v>2</v>
      </c>
      <c r="T38" s="37" t="n">
        <f aca="false">IF(Q38=0,0,U38/(Q38*20))</f>
        <v>0.953571428571429</v>
      </c>
      <c r="U38" s="36" t="n">
        <f aca="false">SUMIF(CORRIDA!G:G,CLASSIF!P38,CORRIDA!H:H)+SUMIF(CORRIDA!I:I,CLASSIF!P38,CORRIDA!J:J)</f>
        <v>267</v>
      </c>
      <c r="V38" s="36" t="n">
        <f aca="false">SUMIF(WOs!G:G,CLASSIF!P38,WOs!H:H)+SUMIF(WOs!I:I,CLASSIF!P38,WOs!J:J)</f>
        <v>0</v>
      </c>
      <c r="W38" s="36" t="n">
        <f aca="false">SUMIF(TORNEIO!G:G,CLASSIF!P38,TORNEIO!H:H)+SUMIF(TORNEIO!I:I,CLASSIF!P38,TORNEIO!J:J)+SUMIF(TORNEIO!S:S,CLASSIF!P38,TORNEIO!T:T)</f>
        <v>80</v>
      </c>
      <c r="X38" s="36" t="n">
        <f aca="false">SUM(U38:V38)</f>
        <v>267</v>
      </c>
      <c r="Y38" s="36" t="n">
        <f aca="false">VLOOKUP(P38,STATS!$B$2:$DF$52,109,0)</f>
        <v>100</v>
      </c>
      <c r="Z38" s="38" t="n">
        <f aca="false">SUM(W38:Y38)+T38/1000+(100-O38)/1000000000</f>
        <v>447.000953635429</v>
      </c>
      <c r="AA38" s="36"/>
    </row>
    <row r="39" customFormat="false" ht="12.75" hidden="false" customHeight="false" outlineLevel="0" collapsed="false">
      <c r="A39" s="49" t="n">
        <v>37</v>
      </c>
      <c r="B39" s="50" t="str">
        <f aca="false">VLOOKUP($A39,$N:$Z,P$1,0)</f>
        <v>Fiorito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8.4E-008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Fontalvo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Grilovic</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8.1E-008</v>
      </c>
      <c r="J41" s="53"/>
      <c r="K41" s="35" t="n">
        <f aca="false">VLOOKUP($A41,$N:$Z,R$1,0)</f>
        <v>0</v>
      </c>
      <c r="L41" s="35" t="n">
        <f aca="false">VLOOKUP($A41,$N:$Z,S$1,0)</f>
        <v>0</v>
      </c>
      <c r="M41" s="36"/>
      <c r="N41" s="36" t="n">
        <f aca="false">RANK(Z41,Z:Z)</f>
        <v>2</v>
      </c>
      <c r="O41" s="35" t="n">
        <v>39</v>
      </c>
      <c r="P41" s="36" t="s">
        <v>40</v>
      </c>
      <c r="Q41" s="36" t="n">
        <f aca="false">COUNTIF(CORRIDA!G:G,CLASSIF!P41)+COUNTIF(CORRIDA!I:I,CLASSIF!P41)</f>
        <v>17</v>
      </c>
      <c r="R41" s="36" t="n">
        <f aca="false">COUNTIF(CORRIDA!G:G,CLASSIF!$P41)</f>
        <v>12</v>
      </c>
      <c r="S41" s="36" t="n">
        <f aca="false">COUNTIF(CORRIDA!I:I,CLASSIF!P41)</f>
        <v>5</v>
      </c>
      <c r="T41" s="37" t="n">
        <f aca="false">IF(Q41=0,0,U41/(Q41*20))</f>
        <v>0.811764705882353</v>
      </c>
      <c r="U41" s="36" t="n">
        <f aca="false">SUMIF(CORRIDA!G:G,CLASSIF!P41,CORRIDA!H:H)+SUMIF(CORRIDA!I:I,CLASSIF!P41,CORRIDA!J:J)</f>
        <v>276</v>
      </c>
      <c r="V41" s="36" t="n">
        <f aca="false">SUMIF(WOs!G:G,CLASSIF!P41,WOs!H:H)+SUMIF(WOs!I:I,CLASSIF!P41,WOs!J:J)</f>
        <v>25</v>
      </c>
      <c r="W41" s="36" t="n">
        <f aca="false">SUMIF(TORNEIO!G:G,CLASSIF!P41,TORNEIO!H:H)+SUMIF(TORNEIO!I:I,CLASSIF!P41,TORNEIO!J:J)+SUMIF(TORNEIO!S:S,CLASSIF!P41,TORNEIO!T:T)</f>
        <v>0</v>
      </c>
      <c r="X41" s="36" t="n">
        <f aca="false">SUM(U41:V41)</f>
        <v>301</v>
      </c>
      <c r="Y41" s="36" t="n">
        <f aca="false">VLOOKUP(P41,STATS!$B$2:$DF$52,109,0)</f>
        <v>150</v>
      </c>
      <c r="Z41" s="38" t="n">
        <f aca="false">SUM(W41:Y41)+T41/1000+(100-O41)/1000000000</f>
        <v>451.000811825706</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25</v>
      </c>
      <c r="O43" s="35" t="n">
        <v>41</v>
      </c>
      <c r="P43" s="36" t="s">
        <v>42</v>
      </c>
      <c r="Q43" s="36" t="n">
        <f aca="false">COUNTIF(CORRIDA!G:G,CLASSIF!P43)+COUNTIF(CORRIDA!I:I,CLASSIF!P43)</f>
        <v>3</v>
      </c>
      <c r="R43" s="36" t="n">
        <f aca="false">COUNTIF(CORRIDA!G:G,CLASSIF!$P43)</f>
        <v>2</v>
      </c>
      <c r="S43" s="36" t="n">
        <f aca="false">COUNTIF(CORRIDA!I:I,CLASSIF!P43)</f>
        <v>1</v>
      </c>
      <c r="T43" s="37" t="n">
        <f aca="false">IF(Q43=0,0,U43/(Q43*20))</f>
        <v>0.866666666666667</v>
      </c>
      <c r="U43" s="36" t="n">
        <f aca="false">SUMIF(CORRIDA!G:G,CLASSIF!P43,CORRIDA!H:H)+SUMIF(CORRIDA!I:I,CLASSIF!P43,CORRIDA!J:J)</f>
        <v>52</v>
      </c>
      <c r="V43" s="36" t="n">
        <f aca="false">SUMIF(WOs!G:G,CLASSIF!P43,WOs!H:H)+SUMIF(WOs!I:I,CLASSIF!P43,WOs!J:J)</f>
        <v>0</v>
      </c>
      <c r="W43" s="36" t="n">
        <f aca="false">SUMIF(TORNEIO!G:G,CLASSIF!P43,TORNEIO!H:H)+SUMIF(TORNEIO!I:I,CLASSIF!P43,TORNEIO!J:J)+SUMIF(TORNEIO!S:S,CLASSIF!P43,TORNEIO!T:T)</f>
        <v>24</v>
      </c>
      <c r="X43" s="36" t="n">
        <f aca="false">SUM(U43:V43)</f>
        <v>52</v>
      </c>
      <c r="Y43" s="36" t="n">
        <f aca="false">VLOOKUP(P43,STATS!$B$2:$DF$52,109,0)</f>
        <v>0</v>
      </c>
      <c r="Z43" s="38" t="n">
        <f aca="false">SUM(W43:Y43)+T43/1000+(100-O43)/1000000000</f>
        <v>76.0008667256667</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20</v>
      </c>
      <c r="O44" s="35" t="n">
        <v>42</v>
      </c>
      <c r="P44" s="36" t="s">
        <v>43</v>
      </c>
      <c r="Q44" s="36" t="n">
        <f aca="false">COUNTIF(CORRIDA!G:G,CLASSIF!P44)+COUNTIF(CORRIDA!I:I,CLASSIF!P44)</f>
        <v>8</v>
      </c>
      <c r="R44" s="36" t="n">
        <f aca="false">COUNTIF(CORRIDA!G:G,CLASSIF!$P44)</f>
        <v>4</v>
      </c>
      <c r="S44" s="36" t="n">
        <f aca="false">COUNTIF(CORRIDA!I:I,CLASSIF!P44)</f>
        <v>4</v>
      </c>
      <c r="T44" s="37" t="n">
        <f aca="false">IF(Q44=0,0,U44/(Q44*20))</f>
        <v>0.7</v>
      </c>
      <c r="U44" s="36" t="n">
        <f aca="false">SUMIF(CORRIDA!G:G,CLASSIF!P44,CORRIDA!H:H)+SUMIF(CORRIDA!I:I,CLASSIF!P44,CORRIDA!J:J)</f>
        <v>112</v>
      </c>
      <c r="V44" s="36" t="n">
        <f aca="false">SUMIF(WOs!G:G,CLASSIF!P44,WOs!H:H)+SUMIF(WOs!I:I,CLASSIF!P44,WOs!J:J)</f>
        <v>0</v>
      </c>
      <c r="W44" s="36" t="n">
        <f aca="false">SUMIF(TORNEIO!G:G,CLASSIF!P44,TORNEIO!H:H)+SUMIF(TORNEIO!I:I,CLASSIF!P44,TORNEIO!J:J)+SUMIF(TORNEIO!S:S,CLASSIF!P44,TORNEIO!T:T)</f>
        <v>24</v>
      </c>
      <c r="X44" s="36" t="n">
        <f aca="false">SUM(U44:V44)</f>
        <v>112</v>
      </c>
      <c r="Y44" s="36" t="n">
        <f aca="false">VLOOKUP(P44,STATS!$B$2:$DF$52,109,0)</f>
        <v>0</v>
      </c>
      <c r="Z44" s="38" t="n">
        <f aca="false">SUM(W44:Y44)+T44/1000+(100-O44)/1000000000</f>
        <v>136.000700058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21</v>
      </c>
      <c r="O45" s="35" t="n">
        <v>43</v>
      </c>
      <c r="P45" s="36" t="s">
        <v>44</v>
      </c>
      <c r="Q45" s="36" t="n">
        <f aca="false">COUNTIF(CORRIDA!G:G,CLASSIF!P45)+COUNTIF(CORRIDA!I:I,CLASSIF!P45)</f>
        <v>9</v>
      </c>
      <c r="R45" s="36" t="n">
        <f aca="false">COUNTIF(CORRIDA!G:G,CLASSIF!$P45)</f>
        <v>4</v>
      </c>
      <c r="S45" s="36" t="n">
        <f aca="false">COUNTIF(CORRIDA!I:I,CLASSIF!P45)</f>
        <v>5</v>
      </c>
      <c r="T45" s="37" t="n">
        <f aca="false">IF(Q45=0,0,U45/(Q45*20))</f>
        <v>0.677777777777778</v>
      </c>
      <c r="U45" s="36" t="n">
        <f aca="false">SUMIF(CORRIDA!G:G,CLASSIF!P45,CORRIDA!H:H)+SUMIF(CORRIDA!I:I,CLASSIF!P45,CORRIDA!J:J)</f>
        <v>122</v>
      </c>
      <c r="V45" s="36" t="n">
        <f aca="false">SUMIF(WOs!G:G,CLASSIF!P45,WOs!H:H)+SUMIF(WOs!I:I,CLASSIF!P45,WOs!J:J)</f>
        <v>0</v>
      </c>
      <c r="W45" s="36" t="n">
        <f aca="false">SUMIF(TORNEIO!G:G,CLASSIF!P45,TORNEIO!H:H)+SUMIF(TORNEIO!I:I,CLASSIF!P45,TORNEIO!J:J)+SUMIF(TORNEIO!S:S,CLASSIF!P45,TORNEIO!T:T)</f>
        <v>0</v>
      </c>
      <c r="X45" s="36" t="n">
        <f aca="false">SUM(U45:V45)</f>
        <v>122</v>
      </c>
      <c r="Y45" s="36" t="n">
        <f aca="false">VLOOKUP(P45,STATS!$B$2:$DF$52,109,0)</f>
        <v>0</v>
      </c>
      <c r="Z45" s="38" t="n">
        <f aca="false">SUM(W45:Y45)+T45/1000+(100-O45)/1000000000</f>
        <v>122.000677834778</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26</v>
      </c>
      <c r="O47" s="35" t="n">
        <v>45</v>
      </c>
      <c r="P47" s="36" t="s">
        <v>46</v>
      </c>
      <c r="Q47" s="36" t="n">
        <f aca="false">COUNTIF(CORRIDA!G:G,CLASSIF!P47)+COUNTIF(CORRIDA!I:I,CLASSIF!P47)</f>
        <v>6</v>
      </c>
      <c r="R47" s="36" t="n">
        <f aca="false">COUNTIF(CORRIDA!G:G,CLASSIF!$P47)</f>
        <v>2</v>
      </c>
      <c r="S47" s="36" t="n">
        <f aca="false">COUNTIF(CORRIDA!I:I,CLASSIF!P47)</f>
        <v>4</v>
      </c>
      <c r="T47" s="37" t="n">
        <f aca="false">IF(Q47=0,0,U47/(Q47*20))</f>
        <v>0.608333333333333</v>
      </c>
      <c r="U47" s="36" t="n">
        <f aca="false">SUMIF(CORRIDA!G:G,CLASSIF!P47,CORRIDA!H:H)+SUMIF(CORRIDA!I:I,CLASSIF!P47,CORRIDA!J:J)</f>
        <v>73</v>
      </c>
      <c r="V47" s="36" t="n">
        <f aca="false">SUMIF(WOs!G:G,CLASSIF!P47,WOs!H:H)+SUMIF(WOs!I:I,CLASSIF!P47,WOs!J:J)</f>
        <v>0</v>
      </c>
      <c r="W47" s="36" t="n">
        <f aca="false">SUMIF(TORNEIO!G:G,CLASSIF!P47,TORNEIO!H:H)+SUMIF(TORNEIO!I:I,CLASSIF!P47,TORNEIO!J:J)+SUMIF(TORNEIO!S:S,CLASSIF!P47,TORNEIO!T:T)</f>
        <v>0</v>
      </c>
      <c r="X47" s="36" t="n">
        <f aca="false">SUM(U47:V47)</f>
        <v>73</v>
      </c>
      <c r="Y47" s="36" t="n">
        <f aca="false">VLOOKUP(P47,STATS!$B$2:$DF$52,109,0)</f>
        <v>0</v>
      </c>
      <c r="Z47" s="38" t="n">
        <f aca="false">SUM(W47:Y47)+T47/1000+(100-O47)/1000000000</f>
        <v>73.0006083883333</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23</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11</v>
      </c>
      <c r="O50" s="35" t="n">
        <v>48</v>
      </c>
      <c r="P50" s="36" t="s">
        <v>49</v>
      </c>
      <c r="Q50" s="36" t="n">
        <f aca="false">COUNTIF(CORRIDA!G:G,CLASSIF!P50)+COUNTIF(CORRIDA!I:I,CLASSIF!P50)</f>
        <v>18</v>
      </c>
      <c r="R50" s="36" t="n">
        <f aca="false">COUNTIF(CORRIDA!G:G,CLASSIF!$P50)</f>
        <v>1</v>
      </c>
      <c r="S50" s="36" t="n">
        <f aca="false">COUNTIF(CORRIDA!I:I,CLASSIF!P50)</f>
        <v>17</v>
      </c>
      <c r="T50" s="37" t="n">
        <f aca="false">IF(Q50=0,0,U50/(Q50*20))</f>
        <v>0.280555555555556</v>
      </c>
      <c r="U50" s="36" t="n">
        <f aca="false">SUMIF(CORRIDA!G:G,CLASSIF!P50,CORRIDA!H:H)+SUMIF(CORRIDA!I:I,CLASSIF!P50,CORRIDA!J:J)</f>
        <v>101</v>
      </c>
      <c r="V50" s="36" t="n">
        <f aca="false">SUMIF(WOs!G:G,CLASSIF!P50,WOs!H:H)+SUMIF(WOs!I:I,CLASSIF!P50,WOs!J:J)</f>
        <v>0</v>
      </c>
      <c r="W50" s="36" t="n">
        <f aca="false">SUMIF(TORNEIO!G:G,CLASSIF!P50,TORNEIO!H:H)+SUMIF(TORNEIO!I:I,CLASSIF!P50,TORNEIO!J:J)+SUMIF(TORNEIO!S:S,CLASSIF!P50,TORNEIO!T:T)</f>
        <v>0</v>
      </c>
      <c r="X50" s="36" t="n">
        <f aca="false">SUM(U50:V50)</f>
        <v>101</v>
      </c>
      <c r="Y50" s="36" t="n">
        <f aca="false">VLOOKUP(P50,STATS!$B$2:$DF$52,109,0)</f>
        <v>150</v>
      </c>
      <c r="Z50" s="38" t="n">
        <f aca="false">SUM(W50:Y50)+T50/1000+(100-O50)/1000000000</f>
        <v>251.000280607556</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0</v>
      </c>
      <c r="W51" s="36" t="n">
        <f aca="false">SUMIF(TORNEIO!G:G,CLASSIF!P51,TORNEIO!H:H)+SUMIF(TORNEIO!I:I,CLASSIF!P51,TORNEIO!J:J)+SUMIF(TORNEIO!S:S,CLASSIF!P51,TORNEIO!T:T)</f>
        <v>0</v>
      </c>
      <c r="X51" s="36" t="n">
        <f aca="false">SUM(U51:V51)</f>
        <v>20</v>
      </c>
      <c r="Y51" s="36" t="n">
        <f aca="false">VLOOKUP(P51,STATS!$B$2:$DF$52,109,0)</f>
        <v>0</v>
      </c>
      <c r="Z51" s="38" t="n">
        <f aca="false">SUM(W51:Y51)+T51/1000+(100-O51)/1000000000</f>
        <v>20.000200051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0" activePane="bottomRight" state="frozen"/>
      <selection pane="topLeft" activeCell="A1" activeCellId="0" sqref="A1"/>
      <selection pane="topRight" activeCell="C1" activeCellId="0" sqref="C1"/>
      <selection pane="bottomLeft" activeCell="A30" activeCellId="0" sqref="A30"/>
      <selection pane="bottomRight" activeCell="FJ14" activeCellId="0" sqref="FJ14"/>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3</v>
      </c>
      <c r="DE6" s="77" t="n">
        <f aca="false">COUNTIF(BF6:DC6,"&gt;0")</f>
        <v>3</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3</v>
      </c>
      <c r="FH6" s="80"/>
      <c r="FI6" s="73" t="str">
        <f aca="false">BE6</f>
        <v>Bruno</v>
      </c>
      <c r="FJ6" s="81" t="n">
        <f aca="false">COUNTIF(BF6:DC6,"&gt;0")</f>
        <v>3</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1</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1</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6</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n">
        <f aca="false">IF($B7=BQ$2,"-",IF(COUNTIF(CORRIDA!$M:$M,$B7&amp;" d. "&amp;BQ$2)+COUNTIF(CORRIDA!$M:$M,BQ$2&amp;" d. "&amp;$B7)=0,"",COUNTIF(CORRIDA!$M:$M,$B7&amp;" d. "&amp;BQ$2)+COUNTIF(CORRIDA!$M:$M,BQ$2&amp;" d. "&amp;$B7)))</f>
        <v>1</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1</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8</v>
      </c>
      <c r="DE7" s="77" t="n">
        <f aca="false">COUNTIF(BF7:DC7,"&gt;0")</f>
        <v>7</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1</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1</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5</v>
      </c>
      <c r="FH7" s="80"/>
      <c r="FI7" s="73" t="str">
        <f aca="false">BE7</f>
        <v>Caio</v>
      </c>
      <c r="FJ7" s="81" t="n">
        <f aca="false">COUNTIF(BF7:DC7,"&gt;0")</f>
        <v>7</v>
      </c>
      <c r="FK7" s="81" t="n">
        <f aca="false">AVERAGE(BF7:DC7)</f>
        <v>1.14285714285714</v>
      </c>
      <c r="FL7" s="81" t="n">
        <f aca="false">_xlfn.STDEV.P(BF7:DC7)</f>
        <v>0.349927106111883</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n">
        <f aca="false">IF($B8=Y$2,"-",IF(COUNTIF(CORRIDA!$M:$M,$B8&amp;" d. "&amp;Y$2)=0,"",COUNTIF(CORRIDA!$M:$M,$B8&amp;" d. "&amp;Y$2)))</f>
        <v>1</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7</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n">
        <f aca="false">IF($B8=CB$2,"-",IF(COUNTIF(CORRIDA!$M:$M,$B8&amp;" d. "&amp;CB$2)+COUNTIF(CORRIDA!$M:$M,CB$2&amp;" d. "&amp;$B8)=0,"",COUNTIF(CORRIDA!$M:$M,$B8&amp;" d. "&amp;CB$2)+COUNTIF(CORRIDA!$M:$M,CB$2&amp;" d. "&amp;$B8)))</f>
        <v>1</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n">
        <f aca="false">IF($B8=CR$2,"-",IF(COUNTIF(CORRIDA!$M:$M,$B8&amp;" d. "&amp;CR$2)+COUNTIF(CORRIDA!$M:$M,CR$2&amp;" d. "&amp;$B8)=0,"",COUNTIF(CORRIDA!$M:$M,$B8&amp;" d. "&amp;CR$2)+COUNTIF(CORRIDA!$M:$M,CR$2&amp;" d. "&amp;$B8)))</f>
        <v>1</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10</v>
      </c>
      <c r="DE8" s="77" t="n">
        <f aca="false">COUNTIF(BF8:DC8,"&gt;0")</f>
        <v>9</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1</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1</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8</v>
      </c>
      <c r="FH8" s="80"/>
      <c r="FI8" s="73" t="str">
        <f aca="false">BE8</f>
        <v>Carlos Coimbra</v>
      </c>
      <c r="FJ8" s="81" t="n">
        <f aca="false">COUNTIF(BF8:DC8,"&gt;0")</f>
        <v>9</v>
      </c>
      <c r="FK8" s="81" t="n">
        <f aca="false">AVERAGE(BF8:DC8)</f>
        <v>1.11111111111111</v>
      </c>
      <c r="FL8" s="81" t="n">
        <f aca="false">_xlfn.STDEV.P(BF8:DC8)</f>
        <v>0.314269680527354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n">
        <f aca="false">IF($B9=Z$2,"-",IF(COUNTIF(CORRIDA!$M:$M,$B9&amp;" d. "&amp;Z$2)=0,"",COUNTIF(CORRIDA!$M:$M,$B9&amp;" d. "&amp;Z$2)))</f>
        <v>1</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7</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n">
        <f aca="false">IF($B9=CC$2,"-",IF(COUNTIF(CORRIDA!$M:$M,$B9&amp;" d. "&amp;CC$2)+COUNTIF(CORRIDA!$M:$M,CC$2&amp;" d. "&amp;$B9)=0,"",COUNTIF(CORRIDA!$M:$M,$B9&amp;" d. "&amp;CC$2)+COUNTIF(CORRIDA!$M:$M,CC$2&amp;" d. "&amp;$B9)))</f>
        <v>1</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2</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1</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13</v>
      </c>
      <c r="DE9" s="77" t="n">
        <f aca="false">COUNTIF(BF9:DC9,"&gt;0")</f>
        <v>10</v>
      </c>
      <c r="DF9" s="78" t="n">
        <f aca="false">IF(COUNTIF(BF9:DC9,"&gt;0")&lt;10,0,QUOTIENT(COUNTIF(BF9:DC9,"&gt;0"),5)*50)</f>
        <v>100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1</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2</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1</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12</v>
      </c>
      <c r="FH9" s="80"/>
      <c r="FI9" s="73" t="str">
        <f aca="false">BE9</f>
        <v>Costinha</v>
      </c>
      <c r="FJ9" s="81" t="n">
        <f aca="false">COUNTIF(BF9:DC9,"&gt;0")</f>
        <v>10</v>
      </c>
      <c r="FK9" s="81" t="n">
        <f aca="false">AVERAGE(BF9:DC9)</f>
        <v>1.3</v>
      </c>
      <c r="FL9" s="81" t="n">
        <f aca="false">_xlfn.STDEV.P(BF9:DC9)</f>
        <v>0.640312423743285</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n">
        <f aca="false">IF($B13=Q$2,"-",IF(COUNTIF(CORRIDA!$M:$M,$B13&amp;" d. "&amp;Q$2)=0,"",COUNTIF(CORRIDA!$M:$M,$B13&amp;" d. "&amp;Q$2)))</f>
        <v>1</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n">
        <f aca="false">IF($B13=AO$2,"-",IF(COUNTIF(CORRIDA!$M:$M,$B13&amp;" d. "&amp;AO$2)=0,"",COUNTIF(CORRIDA!$M:$M,$B13&amp;" d. "&amp;AO$2)))</f>
        <v>1</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8</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n">
        <f aca="false">IF($B13=BT$2,"-",IF(COUNTIF(CORRIDA!$M:$M,$B13&amp;" d. "&amp;BT$2)+COUNTIF(CORRIDA!$M:$M,BT$2&amp;" d. "&amp;$B13)=0,"",COUNTIF(CORRIDA!$M:$M,$B13&amp;" d. "&amp;BT$2)+COUNTIF(CORRIDA!$M:$M,BT$2&amp;" d. "&amp;$B13)))</f>
        <v>1</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2</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2</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16</v>
      </c>
      <c r="DE13" s="77" t="n">
        <f aca="false">COUNTIF(BF13:DC13,"&gt;0")</f>
        <v>12</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1</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2</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2</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15</v>
      </c>
      <c r="FH13" s="80"/>
      <c r="FI13" s="73" t="str">
        <f aca="false">BE13</f>
        <v>Duclerc</v>
      </c>
      <c r="FJ13" s="81" t="n">
        <f aca="false">COUNTIF(BF13:DC13,"&gt;0")</f>
        <v>12</v>
      </c>
      <c r="FK13" s="81" t="n">
        <f aca="false">AVERAGE(BF13:DC13)</f>
        <v>1.33333333333333</v>
      </c>
      <c r="FL13" s="81" t="n">
        <f aca="false">_xlfn.STDEV.P(BF13:DC13)</f>
        <v>0.471404520791032</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4</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n">
        <f aca="false">IF($B14=AG$2,"-",IF(COUNTIF(CORRIDA!$M:$M,$B14&amp;" d. "&amp;AG$2)=0,"",COUNTIF(CORRIDA!$M:$M,$B14&amp;" d. "&amp;AG$2)))</f>
        <v>1</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3</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15</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1</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4</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n">
        <f aca="false">IF($B14=CE$2,"-",IF(COUNTIF(CORRIDA!$M:$M,$B14&amp;" d. "&amp;CE$2)+COUNTIF(CORRIDA!$M:$M,CE$2&amp;" d. "&amp;$B14)=0,"",COUNTIF(CORRIDA!$M:$M,$B14&amp;" d. "&amp;CE$2)+COUNTIF(CORRIDA!$M:$M,CE$2&amp;" d. "&amp;$B14)))</f>
        <v>1</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n">
        <f aca="false">IF($B14=CJ$2,"-",IF(COUNTIF(CORRIDA!$M:$M,$B14&amp;" d. "&amp;CJ$2)+COUNTIF(CORRIDA!$M:$M,CJ$2&amp;" d. "&amp;$B14)=0,"",COUNTIF(CORRIDA!$M:$M,$B14&amp;" d. "&amp;CJ$2)+COUNTIF(CORRIDA!$M:$M,CJ$2&amp;" d. "&amp;$B14)))</f>
        <v>1</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4</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29</v>
      </c>
      <c r="DE14" s="77" t="n">
        <f aca="false">COUNTIF(BF14:DC14,"&gt;0")</f>
        <v>18</v>
      </c>
      <c r="DF14" s="78" t="n">
        <f aca="false">IF(COUNTIF(BF14:DC14,"&gt;0")&lt;10,0,QUOTIENT(COUNTIF(BF14:DC14,"&gt;0"),5)*50)</f>
        <v>150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1</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4</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1</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1</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4</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25</v>
      </c>
      <c r="FH14" s="80"/>
      <c r="FI14" s="73" t="str">
        <f aca="false">BE14</f>
        <v>Elias</v>
      </c>
      <c r="FJ14" s="81" t="n">
        <f aca="false">COUNTIF(BF14:DC14,"&gt;0")</f>
        <v>18</v>
      </c>
      <c r="FK14" s="81" t="n">
        <f aca="false">AVERAGE(BF14:DC14)</f>
        <v>1.61111111111111</v>
      </c>
      <c r="FL14" s="81" t="n">
        <f aca="false">_xlfn.STDEV.P(BF14:DC14)</f>
        <v>1.00768650817873</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3</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5</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3</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1.66666666666667</v>
      </c>
      <c r="FL15" s="81" t="n">
        <f aca="false">_xlfn.STDEV.P(BF15:DC15)</f>
        <v>0.942809041582063</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4</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6</v>
      </c>
      <c r="DE16" s="77" t="n">
        <f aca="false">COUNTIF(BF16:DC16,"&gt;0")</f>
        <v>6</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5</v>
      </c>
      <c r="FH16" s="80"/>
      <c r="FI16" s="73" t="str">
        <f aca="false">BE16</f>
        <v>Felipe</v>
      </c>
      <c r="FJ16" s="81" t="n">
        <f aca="false">COUNTIF(BF16:DC16,"&gt;0")</f>
        <v>6</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n">
        <f aca="false">IF($B17=BP$2,"-",IF(COUNTIF(CORRIDA!$M:$M,$B17&amp;" d. "&amp;BP$2)+COUNTIF(CORRIDA!$M:$M,BP$2&amp;" d. "&amp;$B17)=0,"",COUNTIF(CORRIDA!$M:$M,$B17&amp;" d. "&amp;BP$2)+COUNTIF(CORRIDA!$M:$M,BP$2&amp;" d. "&amp;$B17)))</f>
        <v>1</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2</v>
      </c>
      <c r="DE17" s="77" t="n">
        <f aca="false">COUNTIF(BF17:DC17,"&gt;0")</f>
        <v>2</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1</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2</v>
      </c>
      <c r="FH17" s="80"/>
      <c r="FI17" s="73" t="str">
        <f aca="false">BE17</f>
        <v>Fernando Bio</v>
      </c>
      <c r="FJ17" s="81" t="n">
        <f aca="false">COUNTIF(BF17:DC17,"&gt;0")</f>
        <v>2</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1</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1</v>
      </c>
      <c r="CE19" s="76" t="n">
        <f aca="false">IF($B19=CE$2,"-",IF(COUNTIF(CORRIDA!$M:$M,$B19&amp;" d. "&amp;CE$2)+COUNTIF(CORRIDA!$M:$M,CE$2&amp;" d. "&amp;$B19)=0,"",COUNTIF(CORRIDA!$M:$M,$B19&amp;" d. "&amp;CE$2)+COUNTIF(CORRIDA!$M:$M,CE$2&amp;" d. "&amp;$B19)))</f>
        <v>1</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17</v>
      </c>
      <c r="DE19" s="77" t="n">
        <f aca="false">COUNTIF(BF19:DC19,"&gt;0")</f>
        <v>12</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1</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1</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15</v>
      </c>
      <c r="FH19" s="80"/>
      <c r="FI19" s="73" t="str">
        <f aca="false">BE19</f>
        <v>Flavio</v>
      </c>
      <c r="FJ19" s="81" t="n">
        <f aca="false">COUNTIF(BF19:DC19,"&gt;0")</f>
        <v>12</v>
      </c>
      <c r="FK19" s="81" t="n">
        <f aca="false">AVERAGE(BF19:DC19)</f>
        <v>1.41666666666667</v>
      </c>
      <c r="FL19" s="81" t="n">
        <f aca="false">_xlfn.STDEV.P(BF19:DC19)</f>
        <v>0.640095478989051</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2</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5</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2</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2</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10</v>
      </c>
      <c r="DE24" s="77" t="n">
        <f aca="false">COUNTIF(BF24:DC24,"&gt;0")</f>
        <v>8</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2</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2</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7</v>
      </c>
      <c r="FH24" s="80"/>
      <c r="FI24" s="73" t="str">
        <f aca="false">BE24</f>
        <v>Ivan</v>
      </c>
      <c r="FJ24" s="81" t="n">
        <f aca="false">COUNTIF(BF24:DC24,"&gt;0")</f>
        <v>8</v>
      </c>
      <c r="FK24" s="81" t="n">
        <f aca="false">AVERAGE(BF24:DC24)</f>
        <v>1.25</v>
      </c>
      <c r="FL24" s="81" t="n">
        <f aca="false">_xlfn.STDEV.P(BF24:DC24)</f>
        <v>0.433012701892219</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n">
        <f aca="false">IF($B25=BK$2,"-",IF(COUNTIF(CORRIDA!$M:$M,$B25&amp;" d. "&amp;BK$2)+COUNTIF(CORRIDA!$M:$M,BK$2&amp;" d. "&amp;$B25)=0,"",COUNTIF(CORRIDA!$M:$M,$B25&amp;" d. "&amp;BK$2)+COUNTIF(CORRIDA!$M:$M,BK$2&amp;" d. "&amp;$B25)))</f>
        <v>1</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4</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n">
        <f aca="false">IF($B25=CE$2,"-",IF(COUNTIF(CORRIDA!$M:$M,$B25&amp;" d. "&amp;CE$2)+COUNTIF(CORRIDA!$M:$M,CE$2&amp;" d. "&amp;$B25)=0,"",COUNTIF(CORRIDA!$M:$M,$B25&amp;" d. "&amp;CE$2)+COUNTIF(CORRIDA!$M:$M,CE$2&amp;" d. "&amp;$B25)))</f>
        <v>1</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2</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23</v>
      </c>
      <c r="DE25" s="77" t="n">
        <f aca="false">COUNTIF(BF25:DC25,"&gt;0")</f>
        <v>16</v>
      </c>
      <c r="DF25" s="78" t="n">
        <f aca="false">IF(COUNTIF(BF25:DC25,"&gt;0")&lt;10,0,QUOTIENT(COUNTIF(BF25:DC25,"&gt;0"),5)*50)</f>
        <v>150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1</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4</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1</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2</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18</v>
      </c>
      <c r="FH25" s="80"/>
      <c r="FI25" s="73" t="str">
        <f aca="false">BE25</f>
        <v>Juan</v>
      </c>
      <c r="FJ25" s="81" t="n">
        <f aca="false">COUNTIF(BF25:DC25,"&gt;0")</f>
        <v>16</v>
      </c>
      <c r="FK25" s="81" t="n">
        <f aca="false">AVERAGE(BF25:DC25)</f>
        <v>1.4375</v>
      </c>
      <c r="FL25" s="81" t="n">
        <f aca="false">_xlfn.STDEV.P(BF25:DC25)</f>
        <v>0.788095013307406</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n">
        <f aca="false">IF($B26=BL$2,"-",IF(COUNTIF(CORRIDA!$M:$M,$B26&amp;" d. "&amp;BL$2)+COUNTIF(CORRIDA!$M:$M,BL$2&amp;" d. "&amp;$B26)=0,"",COUNTIF(CORRIDA!$M:$M,$B26&amp;" d. "&amp;BL$2)+COUNTIF(CORRIDA!$M:$M,BL$2&amp;" d. "&amp;$B26)))</f>
        <v>1</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3</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13</v>
      </c>
      <c r="DE26" s="77" t="n">
        <f aca="false">COUNTIF(BF26:DC26,"&gt;0")</f>
        <v>9</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1</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3</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8</v>
      </c>
      <c r="FH26" s="80"/>
      <c r="FI26" s="73" t="str">
        <f aca="false">BE26</f>
        <v>Luis Carlos</v>
      </c>
      <c r="FJ26" s="81" t="n">
        <f aca="false">COUNTIF(BF26:DC26,"&gt;0")</f>
        <v>9</v>
      </c>
      <c r="FK26" s="81" t="n">
        <f aca="false">AVERAGE(BF26:DC26)</f>
        <v>1.44444444444444</v>
      </c>
      <c r="FL26" s="81" t="n">
        <f aca="false">_xlfn.STDEV.P(BF26:DC26)</f>
        <v>0.684934889218775</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n">
        <f aca="false">IF($B27=AK$2,"-",IF(COUNTIF(CORRIDA!$M:$M,$B27&amp;" d. "&amp;AK$2)=0,"",COUNTIF(CORRIDA!$M:$M,$B27&amp;" d. "&amp;AK$2)))</f>
        <v>1</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9</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n">
        <f aca="false">IF($B27=CN$2,"-",IF(COUNTIF(CORRIDA!$M:$M,$B27&amp;" d. "&amp;CN$2)+COUNTIF(CORRIDA!$M:$M,CN$2&amp;" d. "&amp;$B27)=0,"",COUNTIF(CORRIDA!$M:$M,$B27&amp;" d. "&amp;CN$2)+COUNTIF(CORRIDA!$M:$M,CN$2&amp;" d. "&amp;$B27)))</f>
        <v>1</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12</v>
      </c>
      <c r="DE27" s="77" t="n">
        <f aca="false">COUNTIF(BF27:DC27,"&gt;0")</f>
        <v>10</v>
      </c>
      <c r="DF27" s="78" t="n">
        <f aca="false">IF(COUNTIF(BF27:DC27,"&gt;0")&lt;10,0,QUOTIENT(COUNTIF(BF27:DC27,"&gt;0"),5)*50)</f>
        <v>100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1</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10</v>
      </c>
      <c r="FH27" s="80"/>
      <c r="FI27" s="73" t="str">
        <f aca="false">BE27</f>
        <v>Luiz Henrique</v>
      </c>
      <c r="FJ27" s="81" t="n">
        <f aca="false">COUNTIF(BF27:DC27,"&gt;0")</f>
        <v>10</v>
      </c>
      <c r="FK27" s="81" t="n">
        <f aca="false">AVERAGE(BF27:DC27)</f>
        <v>1.2</v>
      </c>
      <c r="FL27" s="81" t="n">
        <f aca="false">_xlfn.STDEV.P(BF27:DC27)</f>
        <v>0.4</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2</v>
      </c>
      <c r="N28" s="82" t="n">
        <f aca="false">IF($B28=N$2,"-",IF(COUNTIF(CORRIDA!$M:$M,$B28&amp;" d. "&amp;N$2)=0,"",COUNTIF(CORRIDA!$M:$M,$B28&amp;" d. "&amp;N$2)))</f>
        <v>1</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n">
        <f aca="false">IF($B28=S$2,"-",IF(COUNTIF(CORRIDA!$M:$M,$B28&amp;" d. "&amp;S$2)=0,"",COUNTIF(CORRIDA!$M:$M,$B28&amp;" d. "&amp;S$2)))</f>
        <v>1</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n">
        <f aca="false">IF($B28=Y$2,"-",IF(COUNTIF(CORRIDA!$M:$M,$B28&amp;" d. "&amp;Y$2)=0,"",COUNTIF(CORRIDA!$M:$M,$B28&amp;" d. "&amp;Y$2)))</f>
        <v>1</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7</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2</v>
      </c>
      <c r="BQ28" s="83" t="n">
        <f aca="false">IF($B28=BQ$2,"-",IF(COUNTIF(CORRIDA!$M:$M,$B28&amp;" d. "&amp;BQ$2)+COUNTIF(CORRIDA!$M:$M,BQ$2&amp;" d. "&amp;$B28)=0,"",COUNTIF(CORRIDA!$M:$M,$B28&amp;" d. "&amp;BQ$2)+COUNTIF(CORRIDA!$M:$M,BQ$2&amp;" d. "&amp;$B28)))</f>
        <v>1</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n">
        <f aca="false">IF($B28=BV$2,"-",IF(COUNTIF(CORRIDA!$M:$M,$B28&amp;" d. "&amp;BV$2)+COUNTIF(CORRIDA!$M:$M,BV$2&amp;" d. "&amp;$B28)=0,"",COUNTIF(CORRIDA!$M:$M,$B28&amp;" d. "&amp;BV$2)+COUNTIF(CORRIDA!$M:$M,BV$2&amp;" d. "&amp;$B28)))</f>
        <v>1</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n">
        <f aca="false">IF($B28=CB$2,"-",IF(COUNTIF(CORRIDA!$M:$M,$B28&amp;" d. "&amp;CB$2)+COUNTIF(CORRIDA!$M:$M,CB$2&amp;" d. "&amp;$B28)=0,"",COUNTIF(CORRIDA!$M:$M,$B28&amp;" d. "&amp;CB$2)+COUNTIF(CORRIDA!$M:$M,CB$2&amp;" d. "&amp;$B28)))</f>
        <v>1</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8</v>
      </c>
      <c r="DE28" s="77" t="n">
        <f aca="false">COUNTIF(BF28:DC28,"&gt;0")</f>
        <v>7</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2</v>
      </c>
      <c r="DT28" s="83" t="n">
        <f aca="false">IF($B28=DT$2,0,IF(COUNTIF(CORRIDA!$M:$M,$B28&amp;" d. "&amp;DT$2)+COUNTIF(CORRIDA!$M:$M,DT$2&amp;" d. "&amp;$B28)=0,0,COUNTIF(CORRIDA!$M:$M,$B28&amp;" d. "&amp;DT$2)+COUNTIF(CORRIDA!$M:$M,DT$2&amp;" d. "&amp;$B28)))</f>
        <v>1</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1</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1</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8</v>
      </c>
      <c r="FH28" s="80"/>
      <c r="FI28" s="73" t="str">
        <f aca="false">BE28</f>
        <v>Magritto</v>
      </c>
      <c r="FJ28" s="81" t="n">
        <f aca="false">COUNTIF(BF28:DC28,"&gt;0")</f>
        <v>7</v>
      </c>
      <c r="FK28" s="81" t="n">
        <f aca="false">AVERAGE(BF28:DC28)</f>
        <v>1.14285714285714</v>
      </c>
      <c r="FL28" s="81" t="n">
        <f aca="false">_xlfn.STDEV.P(BF28:DC28)</f>
        <v>0.349927106111883</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2</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15</v>
      </c>
      <c r="DE31" s="77" t="n">
        <f aca="false">COUNTIF(BF31:DC31,"&gt;0")</f>
        <v>11</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13</v>
      </c>
      <c r="FH31" s="80"/>
      <c r="FI31" s="73" t="str">
        <f aca="false">BE31</f>
        <v>Oswald</v>
      </c>
      <c r="FJ31" s="81" t="n">
        <f aca="false">COUNTIF(BF31:DC31,"&gt;0")</f>
        <v>11</v>
      </c>
      <c r="FK31" s="81" t="n">
        <f aca="false">AVERAGE(BF31:DC31)</f>
        <v>1.36363636363636</v>
      </c>
      <c r="FL31" s="81" t="n">
        <f aca="false">_xlfn.STDEV.P(BF31:DC31)</f>
        <v>0.642824346533225</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1</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2</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1</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2</v>
      </c>
      <c r="DE32" s="77" t="n">
        <f aca="false">COUNTIF(BF32:DC32,"&gt;0")</f>
        <v>2</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1</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2</v>
      </c>
      <c r="FH32" s="80"/>
      <c r="FI32" s="73" t="str">
        <f aca="false">BE32</f>
        <v>Palazzo</v>
      </c>
      <c r="FJ32" s="81" t="n">
        <f aca="false">COUNTIF(BF32:DC32,"&gt;0")</f>
        <v>2</v>
      </c>
      <c r="FK32" s="81" t="n">
        <f aca="false">AVERAGE(BF32:DC32)</f>
        <v>1</v>
      </c>
      <c r="FL32" s="81" t="n">
        <f aca="false">_xlfn.STDEV.P(BF32:DC32)</f>
        <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n">
        <f aca="false">IF($B33=BQ$2,"-",IF(COUNTIF(CORRIDA!$M:$M,$B33&amp;" d. "&amp;BQ$2)+COUNTIF(CORRIDA!$M:$M,BQ$2&amp;" d. "&amp;$B33)=0,"",COUNTIF(CORRIDA!$M:$M,$B33&amp;" d. "&amp;BQ$2)+COUNTIF(CORRIDA!$M:$M,BQ$2&amp;" d. "&amp;$B33)))</f>
        <v>1</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1</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10</v>
      </c>
      <c r="DE33" s="77" t="n">
        <f aca="false">COUNTIF(BF33:DC33,"&gt;0")</f>
        <v>10</v>
      </c>
      <c r="DF33" s="78" t="n">
        <f aca="false">IF(COUNTIF(BF33:DC33,"&gt;0")&lt;10,0,QUOTIENT(COUNTIF(BF33:DC33,"&gt;0"),5)*50)</f>
        <v>100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1</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1</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8</v>
      </c>
      <c r="FH33" s="80"/>
      <c r="FI33" s="73" t="str">
        <f aca="false">BE33</f>
        <v>Paulo</v>
      </c>
      <c r="FJ33" s="81" t="n">
        <f aca="false">COUNTIF(BF33:DC33,"&gt;0")</f>
        <v>10</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7</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7</v>
      </c>
      <c r="DE34" s="77" t="n">
        <f aca="false">COUNTIF(BF34:DC34,"&gt;0")</f>
        <v>5</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7</v>
      </c>
      <c r="FH34" s="80"/>
      <c r="FI34" s="73" t="str">
        <f aca="false">BE34</f>
        <v>Pedrão</v>
      </c>
      <c r="FJ34" s="81" t="n">
        <f aca="false">COUNTIF(BF34:DC34,"&gt;0")</f>
        <v>5</v>
      </c>
      <c r="FK34" s="81" t="n">
        <f aca="false">AVERAGE(BF34:DC34)</f>
        <v>1.4</v>
      </c>
      <c r="FL34" s="81" t="n">
        <f aca="false">_xlfn.STDEV.P(BF34:DC34)</f>
        <v>0.489897948556636</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2</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n">
        <f aca="false">IF($B36=AX$2,"-",IF(COUNTIF(CORRIDA!$M:$M,$B36&amp;" d. "&amp;AX$2)=0,"",COUNTIF(CORRIDA!$M:$M,$B36&amp;" d. "&amp;AX$2)))</f>
        <v>1</v>
      </c>
      <c r="AY36" s="82" t="str">
        <f aca="false">IF($B36=AY$2,"-",IF(COUNTIF(CORRIDA!$M:$M,$B36&amp;" d. "&amp;AY$2)=0,"",COUNTIF(CORRIDA!$M:$M,$B36&amp;" d. "&amp;AY$2)))</f>
        <v/>
      </c>
      <c r="AZ36" s="82" t="str">
        <f aca="false">IF($B36=AZ$2,"-",IF(COUNTIF(CORRIDA!$M:$M,$B36&amp;" d. "&amp;AZ$2)=0,"",COUNTIF(CORRIDA!$M:$M,$B36&amp;" d. "&amp;AZ$2)))</f>
        <v/>
      </c>
      <c r="BA36" s="75" t="n">
        <f aca="false">SUM(C36:AZ36)</f>
        <v>9</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2</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n">
        <f aca="false">IF($B36=DA$2,"-",IF(COUNTIF(CORRIDA!$M:$M,$B36&amp;" d. "&amp;DA$2)+COUNTIF(CORRIDA!$M:$M,DA$2&amp;" d. "&amp;$B36)=0,"",COUNTIF(CORRIDA!$M:$M,$B36&amp;" d. "&amp;DA$2)+COUNTIF(CORRIDA!$M:$M,DA$2&amp;" d. "&amp;$B36)))</f>
        <v>1</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11</v>
      </c>
      <c r="DE36" s="77" t="n">
        <f aca="false">COUNTIF(BF36:DC36,"&gt;0")</f>
        <v>7</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2</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1</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10</v>
      </c>
      <c r="FH36" s="80"/>
      <c r="FI36" s="73" t="str">
        <f aca="false">BE36</f>
        <v>Persio</v>
      </c>
      <c r="FJ36" s="81" t="n">
        <f aca="false">COUNTIF(BF36:DC36,"&gt;0")</f>
        <v>7</v>
      </c>
      <c r="FK36" s="81" t="n">
        <f aca="false">AVERAGE(BF36:DC36)</f>
        <v>1.57142857142857</v>
      </c>
      <c r="FL36" s="81" t="n">
        <f aca="false">_xlfn.STDEV.P(BF36:DC36)</f>
        <v>0.494871659305394</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4</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n">
        <f aca="false">IF($B37=CD$2,"-",IF(COUNTIF(CORRIDA!$M:$M,$B37&amp;" d. "&amp;CD$2)+COUNTIF(CORRIDA!$M:$M,CD$2&amp;" d. "&amp;$B37)=0,"",COUNTIF(CORRIDA!$M:$M,$B37&amp;" d. "&amp;CD$2)+COUNTIF(CORRIDA!$M:$M,CD$2&amp;" d. "&amp;$B37)))</f>
        <v>1</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n">
        <f aca="false">IF($B37=CO$2,"-",IF(COUNTIF(CORRIDA!$M:$M,$B37&amp;" d. "&amp;CO$2)+COUNTIF(CORRIDA!$M:$M,CO$2&amp;" d. "&amp;$B37)=0,"",COUNTIF(CORRIDA!$M:$M,$B37&amp;" d. "&amp;CO$2)+COUNTIF(CORRIDA!$M:$M,CO$2&amp;" d. "&amp;$B37)))</f>
        <v>1</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16</v>
      </c>
      <c r="DE37" s="77" t="n">
        <f aca="false">COUNTIF(BF37:DC37,"&gt;0")</f>
        <v>12</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4</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1</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1</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14</v>
      </c>
      <c r="FH37" s="80"/>
      <c r="FI37" s="73" t="str">
        <f aca="false">BE37</f>
        <v>Pinga</v>
      </c>
      <c r="FJ37" s="81" t="n">
        <f aca="false">COUNTIF(BF37:DC37,"&gt;0")</f>
        <v>12</v>
      </c>
      <c r="FK37" s="81" t="n">
        <f aca="false">AVERAGE(BF37:DC37)</f>
        <v>1.33333333333333</v>
      </c>
      <c r="FL37" s="81" t="n">
        <f aca="false">_xlfn.STDEV.P(BF37:DC37)</f>
        <v>0.849836585598797</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2</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2</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n">
        <f aca="false">IF($B38=AK$2,"-",IF(COUNTIF(CORRIDA!$M:$M,$B38&amp;" d. "&amp;AK$2)=0,"",COUNTIF(CORRIDA!$M:$M,$B38&amp;" d. "&amp;AK$2)))</f>
        <v>1</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12</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2</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2</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n">
        <f aca="false">IF($B38=CN$2,"-",IF(COUNTIF(CORRIDA!$M:$M,$B38&amp;" d. "&amp;CN$2)+COUNTIF(CORRIDA!$M:$M,CN$2&amp;" d. "&amp;$B38)=0,"",COUNTIF(CORRIDA!$M:$M,$B38&amp;" d. "&amp;CN$2)+COUNTIF(CORRIDA!$M:$M,CN$2&amp;" d. "&amp;$B38)))</f>
        <v>1</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14</v>
      </c>
      <c r="DE38" s="77" t="n">
        <f aca="false">COUNTIF(BF38:DC38,"&gt;0")</f>
        <v>11</v>
      </c>
      <c r="DF38" s="78" t="n">
        <f aca="false">IF(COUNTIF(BF38:DC38,"&gt;0")&lt;10,0,QUOTIENT(COUNTIF(BF38:DC38,"&gt;0"),5)*50)</f>
        <v>100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2</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2</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1</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10</v>
      </c>
      <c r="FH38" s="80"/>
      <c r="FI38" s="73" t="str">
        <f aca="false">BE38</f>
        <v>Pitch</v>
      </c>
      <c r="FJ38" s="81" t="n">
        <f aca="false">COUNTIF(BF38:DC38,"&gt;0")</f>
        <v>11</v>
      </c>
      <c r="FK38" s="81" t="n">
        <f aca="false">AVERAGE(BF38:DC38)</f>
        <v>1.27272727272727</v>
      </c>
      <c r="FL38" s="81" t="n">
        <f aca="false">_xlfn.STDEV.P(BF38:DC38)</f>
        <v>0.445361771415123</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n">
        <f aca="false">IF($B41=H$2,"-",IF(COUNTIF(CORRIDA!$M:$M,$B41&amp;" d. "&amp;H$2)=0,"",COUNTIF(CORRIDA!$M:$M,$B41&amp;" d. "&amp;H$2)))</f>
        <v>1</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2</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12</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n">
        <f aca="false">IF($B41=BK$2,"-",IF(COUNTIF(CORRIDA!$M:$M,$B41&amp;" d. "&amp;BK$2)+COUNTIF(CORRIDA!$M:$M,BK$2&amp;" d. "&amp;$B41)=0,"",COUNTIF(CORRIDA!$M:$M,$B41&amp;" d. "&amp;BK$2)+COUNTIF(CORRIDA!$M:$M,BK$2&amp;" d. "&amp;$B41)))</f>
        <v>1</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2</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1</v>
      </c>
      <c r="CJ41" s="76" t="n">
        <f aca="false">IF($B41=CJ$2,"-",IF(COUNTIF(CORRIDA!$M:$M,$B41&amp;" d. "&amp;CJ$2)+COUNTIF(CORRIDA!$M:$M,CJ$2&amp;" d. "&amp;$B41)=0,"",COUNTIF(CORRIDA!$M:$M,$B41&amp;" d. "&amp;CJ$2)+COUNTIF(CORRIDA!$M:$M,CJ$2&amp;" d. "&amp;$B41)))</f>
        <v>1</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2</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17</v>
      </c>
      <c r="DE41" s="77" t="n">
        <f aca="false">COUNTIF(BF41:DC41,"&gt;0")</f>
        <v>15</v>
      </c>
      <c r="DF41" s="78" t="n">
        <f aca="false">IF(COUNTIF(BF41:DC41,"&gt;0")&lt;10,0,QUOTIENT(COUNTIF(BF41:DC41,"&gt;0"),5)*50)</f>
        <v>150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1</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2</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1</v>
      </c>
      <c r="EM41" s="76" t="n">
        <f aca="false">IF($B41=EM$2,0,IF(COUNTIF(CORRIDA!$M:$M,$B41&amp;" d. "&amp;EM$2)+COUNTIF(CORRIDA!$M:$M,EM$2&amp;" d. "&amp;$B41)=0,0,COUNTIF(CORRIDA!$M:$M,$B41&amp;" d. "&amp;EM$2)+COUNTIF(CORRIDA!$M:$M,EM$2&amp;" d. "&amp;$B41)))</f>
        <v>1</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2</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14</v>
      </c>
      <c r="FH41" s="80"/>
      <c r="FI41" s="73" t="str">
        <f aca="false">BE41</f>
        <v>Robertinho</v>
      </c>
      <c r="FJ41" s="81" t="n">
        <f aca="false">COUNTIF(BF41:DC41,"&gt;0")</f>
        <v>15</v>
      </c>
      <c r="FK41" s="81" t="n">
        <f aca="false">AVERAGE(BF41:DC41)</f>
        <v>1.13333333333333</v>
      </c>
      <c r="FL41" s="81" t="n">
        <f aca="false">_xlfn.STDEV.P(BF41:DC41)</f>
        <v>0.339934634239519</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1</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2</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1</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3</v>
      </c>
      <c r="DE43" s="77" t="n">
        <f aca="false">COUNTIF(BF43:DC43,"&gt;0")</f>
        <v>3</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1</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2</v>
      </c>
      <c r="FH43" s="80"/>
      <c r="FI43" s="73" t="str">
        <f aca="false">BE43</f>
        <v>Salgado</v>
      </c>
      <c r="FJ43" s="81" t="n">
        <f aca="false">COUNTIF(BF43:DC43,"&gt;0")</f>
        <v>3</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3</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8</v>
      </c>
      <c r="DE44" s="77" t="n">
        <f aca="false">COUNTIF(BF44:DC44,"&gt;0")</f>
        <v>5</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3</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7</v>
      </c>
      <c r="FH44" s="80"/>
      <c r="FI44" s="73" t="str">
        <f aca="false">BE44</f>
        <v>Sérgio Nacif</v>
      </c>
      <c r="FJ44" s="81" t="n">
        <f aca="false">COUNTIF(BF44:DC44,"&gt;0")</f>
        <v>5</v>
      </c>
      <c r="FK44" s="81" t="n">
        <f aca="false">AVERAGE(BF44:DC44)</f>
        <v>1.6</v>
      </c>
      <c r="FL44" s="81" t="n">
        <f aca="false">_xlfn.STDEV.P(BF44:DC44)</f>
        <v>0.8</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2</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4</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3</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2</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9</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3</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2</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9</v>
      </c>
      <c r="FH45" s="80"/>
      <c r="FI45" s="73" t="str">
        <f aca="false">BE45</f>
        <v>Rubens</v>
      </c>
      <c r="FJ45" s="81" t="n">
        <f aca="false">COUNTIF(BF45:DC45,"&gt;0")</f>
        <v>4</v>
      </c>
      <c r="FK45" s="81" t="n">
        <f aca="false">AVERAGE(BF45:DC45)</f>
        <v>2.25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2</v>
      </c>
      <c r="AY47" s="74" t="str">
        <f aca="false">IF($B47=AY$2,"-",IF(COUNTIF(CORRIDA!$M:$M,$B47&amp;" d. "&amp;AY$2)=0,"",COUNTIF(CORRIDA!$M:$M,$B47&amp;" d. "&amp;AY$2)))</f>
        <v/>
      </c>
      <c r="AZ47" s="74" t="str">
        <f aca="false">IF($B47=AZ$2,"-",IF(COUNTIF(CORRIDA!$M:$M,$B47&amp;" d. "&amp;AZ$2)=0,"",COUNTIF(CORRIDA!$M:$M,$B47&amp;" d. "&amp;AZ$2)))</f>
        <v/>
      </c>
      <c r="BA47" s="75" t="n">
        <f aca="false">SUM(C47:AZ47)</f>
        <v>2</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2</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2</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6</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2</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2</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4</v>
      </c>
      <c r="FH47" s="80"/>
      <c r="FI47" s="73" t="str">
        <f aca="false">BE47</f>
        <v>Andre Bruni</v>
      </c>
      <c r="FJ47" s="81" t="n">
        <f aca="false">COUNTIF(BF47:DC47,"&gt;0")</f>
        <v>4</v>
      </c>
      <c r="FK47" s="81" t="n">
        <f aca="false">AVERAGE(BF47:DC47)</f>
        <v>1.5</v>
      </c>
      <c r="FL47" s="81" t="n">
        <f aca="false">_xlfn.STDEV.P(BF47:DC47)</f>
        <v>0.5</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n">
        <f aca="false">IF($B50=CM$2,"-",IF(COUNTIF(CORRIDA!$M:$M,$B50&amp;" d. "&amp;CM$2)+COUNTIF(CORRIDA!$M:$M,CM$2&amp;" d. "&amp;$B50)=0,"",COUNTIF(CORRIDA!$M:$M,$B50&amp;" d. "&amp;CM$2)+COUNTIF(CORRIDA!$M:$M,CM$2&amp;" d. "&amp;$B50)))</f>
        <v>1</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2</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18</v>
      </c>
      <c r="DE50" s="77" t="n">
        <f aca="false">COUNTIF(BF50:DC50,"&gt;0")</f>
        <v>15</v>
      </c>
      <c r="DF50" s="78" t="n">
        <f aca="false">IF(COUNTIF(BF50:DC50,"&gt;0")&lt;10,0,QUOTIENT(COUNTIF(BF50:DC50,"&gt;0"),5)*50)</f>
        <v>150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1</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2</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14</v>
      </c>
      <c r="FH50" s="80"/>
      <c r="FI50" s="73" t="str">
        <f aca="false">BE50</f>
        <v>Xuru</v>
      </c>
      <c r="FJ50" s="81" t="n">
        <f aca="false">COUNTIF(BF50:DC50,"&gt;0")</f>
        <v>15</v>
      </c>
      <c r="FK50" s="81" t="n">
        <f aca="false">AVERAGE(BF50:DC50)</f>
        <v>1.2</v>
      </c>
      <c r="FL50" s="81" t="n">
        <f aca="false">_xlfn.STDEV.P(BF50:DC50)</f>
        <v>0.4</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2</v>
      </c>
      <c r="H53" s="75" t="n">
        <f aca="false">SUM(H3:H52)</f>
        <v>3</v>
      </c>
      <c r="I53" s="75" t="n">
        <f aca="false">SUM(I3:I52)</f>
        <v>6</v>
      </c>
      <c r="J53" s="75" t="n">
        <f aca="false">SUM(J3:J52)</f>
        <v>0</v>
      </c>
      <c r="K53" s="75" t="n">
        <f aca="false">SUM(K3:K52)</f>
        <v>1</v>
      </c>
      <c r="L53" s="75" t="n">
        <f aca="false">SUM(L3:L52)</f>
        <v>1</v>
      </c>
      <c r="M53" s="75" t="n">
        <f aca="false">SUM(M3:M52)</f>
        <v>8</v>
      </c>
      <c r="N53" s="75" t="n">
        <f aca="false">SUM(N3:N52)</f>
        <v>14</v>
      </c>
      <c r="O53" s="75" t="n">
        <f aca="false">SUM(O3:O52)</f>
        <v>2</v>
      </c>
      <c r="P53" s="75" t="n">
        <f aca="false">SUM(P3:P52)</f>
        <v>2</v>
      </c>
      <c r="Q53" s="75" t="n">
        <f aca="false">SUM(Q3:Q52)</f>
        <v>2</v>
      </c>
      <c r="R53" s="75" t="n">
        <f aca="false">SUM(R3:R52)</f>
        <v>0</v>
      </c>
      <c r="S53" s="75" t="n">
        <f aca="false">SUM(S3:S52)</f>
        <v>10</v>
      </c>
      <c r="T53" s="75" t="n">
        <f aca="false">SUM(T3:T52)</f>
        <v>0</v>
      </c>
      <c r="U53" s="75" t="n">
        <f aca="false">SUM(U3:U52)</f>
        <v>0</v>
      </c>
      <c r="V53" s="75" t="n">
        <f aca="false">SUM(V3:V52)</f>
        <v>0</v>
      </c>
      <c r="W53" s="75" t="n">
        <f aca="false">SUM(W3:W52)</f>
        <v>0</v>
      </c>
      <c r="X53" s="75" t="n">
        <f aca="false">SUM(X3:X52)</f>
        <v>5</v>
      </c>
      <c r="Y53" s="75" t="n">
        <f aca="false">SUM(Y3:Y52)</f>
        <v>21</v>
      </c>
      <c r="Z53" s="75" t="n">
        <f aca="false">SUM(Z3:Z52)</f>
        <v>10</v>
      </c>
      <c r="AA53" s="75" t="n">
        <f aca="false">SUM(AA3:AA52)</f>
        <v>3</v>
      </c>
      <c r="AB53" s="75" t="n">
        <f aca="false">SUM(AB3:AB52)</f>
        <v>1</v>
      </c>
      <c r="AC53" s="75" t="n">
        <f aca="false">SUM(AC3:AC52)</f>
        <v>0</v>
      </c>
      <c r="AD53" s="75" t="n">
        <f aca="false">SUM(AD3:AD52)</f>
        <v>0</v>
      </c>
      <c r="AE53" s="75" t="n">
        <f aca="false">SUM(AE3:AE52)</f>
        <v>5</v>
      </c>
      <c r="AF53" s="75" t="n">
        <f aca="false">SUM(AF3:AF52)</f>
        <v>0</v>
      </c>
      <c r="AG53" s="75" t="n">
        <f aca="false">SUM(AG3:AG52)</f>
        <v>5</v>
      </c>
      <c r="AH53" s="75" t="n">
        <f aca="false">SUM(AH3:AH52)</f>
        <v>0</v>
      </c>
      <c r="AI53" s="75" t="n">
        <f aca="false">SUM(AI3:AI52)</f>
        <v>0</v>
      </c>
      <c r="AJ53" s="75" t="n">
        <f aca="false">SUM(AJ3:AJ52)</f>
        <v>2</v>
      </c>
      <c r="AK53" s="75" t="n">
        <f aca="false">SUM(AK3:AK52)</f>
        <v>12</v>
      </c>
      <c r="AL53" s="75" t="n">
        <f aca="false">SUM(AL3:AL52)</f>
        <v>2</v>
      </c>
      <c r="AM53" s="75" t="n">
        <f aca="false">SUM(AM3:AM52)</f>
        <v>0</v>
      </c>
      <c r="AN53" s="75" t="n">
        <f aca="false">SUM(AN3:AN52)</f>
        <v>0</v>
      </c>
      <c r="AO53" s="75" t="n">
        <f aca="false">SUM(AO3:AO52)</f>
        <v>5</v>
      </c>
      <c r="AP53" s="75" t="n">
        <f aca="false">SUM(AP3:AP52)</f>
        <v>0</v>
      </c>
      <c r="AQ53" s="75" t="n">
        <f aca="false">SUM(AQ3:AQ52)</f>
        <v>1</v>
      </c>
      <c r="AR53" s="75" t="n">
        <f aca="false">SUM(AR3:AR52)</f>
        <v>4</v>
      </c>
      <c r="AS53" s="75" t="n">
        <f aca="false">SUM(AS3:AS52)</f>
        <v>5</v>
      </c>
      <c r="AT53" s="75" t="n">
        <f aca="false">SUM(AT3:AT52)</f>
        <v>0</v>
      </c>
      <c r="AU53" s="75" t="n">
        <f aca="false">SUM(AU3:AU52)</f>
        <v>4</v>
      </c>
      <c r="AV53" s="75" t="n">
        <f aca="false">SUM(AV3:AV52)</f>
        <v>0</v>
      </c>
      <c r="AW53" s="75" t="n">
        <f aca="false">SUM(AW3:AW52)</f>
        <v>5</v>
      </c>
      <c r="AX53" s="75" t="n">
        <f aca="false">SUM(AX3:AX52)</f>
        <v>17</v>
      </c>
      <c r="AY53" s="75" t="n">
        <f aca="false">SUM(AY3:AY52)</f>
        <v>5</v>
      </c>
      <c r="AZ53" s="75" t="n">
        <f aca="false">SUM(AZ3:AZ52)</f>
        <v>0</v>
      </c>
      <c r="BA53" s="75" t="n">
        <f aca="false">SUM(BA3:BA52)</f>
        <v>164</v>
      </c>
      <c r="BE53" s="84" t="s">
        <v>78</v>
      </c>
      <c r="BF53" s="75" t="n">
        <f aca="false">SUM(BF3:BF52)</f>
        <v>0</v>
      </c>
      <c r="BG53" s="75" t="n">
        <f aca="false">SUM(BG3:BG52)</f>
        <v>0</v>
      </c>
      <c r="BH53" s="75" t="n">
        <f aca="false">SUM(BH3:BH52)</f>
        <v>0</v>
      </c>
      <c r="BI53" s="75" t="n">
        <f aca="false">SUM(BI3:BI52)</f>
        <v>3</v>
      </c>
      <c r="BJ53" s="75" t="n">
        <f aca="false">SUM(BJ3:BJ52)</f>
        <v>8</v>
      </c>
      <c r="BK53" s="75" t="n">
        <f aca="false">SUM(BK3:BK52)</f>
        <v>10</v>
      </c>
      <c r="BL53" s="75" t="n">
        <f aca="false">SUM(BL3:BL52)</f>
        <v>13</v>
      </c>
      <c r="BM53" s="75" t="n">
        <f aca="false">SUM(BM3:BM52)</f>
        <v>0</v>
      </c>
      <c r="BN53" s="75" t="n">
        <f aca="false">SUM(BN3:BN52)</f>
        <v>2</v>
      </c>
      <c r="BO53" s="75" t="n">
        <f aca="false">SUM(BO3:BO52)</f>
        <v>1</v>
      </c>
      <c r="BP53" s="75" t="n">
        <f aca="false">SUM(BP3:BP52)</f>
        <v>16</v>
      </c>
      <c r="BQ53" s="75" t="n">
        <f aca="false">SUM(BQ3:BQ52)</f>
        <v>29</v>
      </c>
      <c r="BR53" s="75" t="n">
        <f aca="false">SUM(BR3:BR52)</f>
        <v>5</v>
      </c>
      <c r="BS53" s="75" t="n">
        <f aca="false">SUM(BS3:BS52)</f>
        <v>6</v>
      </c>
      <c r="BT53" s="75" t="n">
        <f aca="false">SUM(BT3:BT52)</f>
        <v>2</v>
      </c>
      <c r="BU53" s="75" t="n">
        <f aca="false">SUM(BU3:BU52)</f>
        <v>0</v>
      </c>
      <c r="BV53" s="75" t="n">
        <f aca="false">SUM(BV3:BV52)</f>
        <v>17</v>
      </c>
      <c r="BW53" s="75" t="n">
        <f aca="false">SUM(BW3:BW52)</f>
        <v>0</v>
      </c>
      <c r="BX53" s="75" t="n">
        <f aca="false">SUM(BX3:BX52)</f>
        <v>0</v>
      </c>
      <c r="BY53" s="75" t="n">
        <f aca="false">SUM(BY3:BY52)</f>
        <v>0</v>
      </c>
      <c r="BZ53" s="75" t="n">
        <f aca="false">SUM(BZ3:BZ52)</f>
        <v>0</v>
      </c>
      <c r="CA53" s="75" t="n">
        <f aca="false">SUM(CA3:CA52)</f>
        <v>10</v>
      </c>
      <c r="CB53" s="75" t="n">
        <f aca="false">SUM(CB3:CB52)</f>
        <v>23</v>
      </c>
      <c r="CC53" s="75" t="n">
        <f aca="false">SUM(CC3:CC52)</f>
        <v>13</v>
      </c>
      <c r="CD53" s="75" t="n">
        <f aca="false">SUM(CD3:CD52)</f>
        <v>12</v>
      </c>
      <c r="CE53" s="75" t="n">
        <f aca="false">SUM(CE3:CE52)</f>
        <v>8</v>
      </c>
      <c r="CF53" s="75" t="n">
        <f aca="false">SUM(CF3:CF52)</f>
        <v>0</v>
      </c>
      <c r="CG53" s="75" t="n">
        <f aca="false">SUM(CG3:CG52)</f>
        <v>0</v>
      </c>
      <c r="CH53" s="75" t="n">
        <f aca="false">SUM(CH3:CH52)</f>
        <v>15</v>
      </c>
      <c r="CI53" s="75" t="n">
        <f aca="false">SUM(CI3:CI52)</f>
        <v>2</v>
      </c>
      <c r="CJ53" s="75" t="n">
        <f aca="false">SUM(CJ3:CJ52)</f>
        <v>10</v>
      </c>
      <c r="CK53" s="75" t="n">
        <f aca="false">SUM(CK3:CK52)</f>
        <v>7</v>
      </c>
      <c r="CL53" s="75" t="n">
        <f aca="false">SUM(CL3:CL52)</f>
        <v>0</v>
      </c>
      <c r="CM53" s="75" t="n">
        <f aca="false">SUM(CM3:CM52)</f>
        <v>11</v>
      </c>
      <c r="CN53" s="75" t="n">
        <f aca="false">SUM(CN3:CN52)</f>
        <v>16</v>
      </c>
      <c r="CO53" s="75" t="n">
        <f aca="false">SUM(CO3:CO52)</f>
        <v>14</v>
      </c>
      <c r="CP53" s="75" t="n">
        <f aca="false">SUM(CP3:CP52)</f>
        <v>0</v>
      </c>
      <c r="CQ53" s="75" t="n">
        <f aca="false">SUM(CQ3:CQ52)</f>
        <v>0</v>
      </c>
      <c r="CR53" s="75" t="n">
        <f aca="false">SUM(CR3:CR52)</f>
        <v>17</v>
      </c>
      <c r="CS53" s="75" t="n">
        <f aca="false">SUM(CS3:CS52)</f>
        <v>0</v>
      </c>
      <c r="CT53" s="75" t="n">
        <f aca="false">SUM(CT3:CT52)</f>
        <v>3</v>
      </c>
      <c r="CU53" s="75" t="n">
        <f aca="false">SUM(CU3:CU52)</f>
        <v>8</v>
      </c>
      <c r="CV53" s="75" t="n">
        <f aca="false">SUM(CV3:CV52)</f>
        <v>9</v>
      </c>
      <c r="CW53" s="75" t="n">
        <f aca="false">SUM(CW3:CW52)</f>
        <v>0</v>
      </c>
      <c r="CX53" s="75" t="n">
        <f aca="false">SUM(CX3:CX52)</f>
        <v>6</v>
      </c>
      <c r="CY53" s="75" t="n">
        <f aca="false">SUM(CY3:CY52)</f>
        <v>0</v>
      </c>
      <c r="CZ53" s="75" t="n">
        <f aca="false">SUM(CZ3:CZ52)</f>
        <v>9</v>
      </c>
      <c r="DA53" s="75" t="n">
        <f aca="false">SUM(DA3:DA52)</f>
        <v>18</v>
      </c>
      <c r="DB53" s="75" t="n">
        <f aca="false">SUM(DB3:DB52)</f>
        <v>5</v>
      </c>
      <c r="DC53" s="75" t="n">
        <f aca="false">SUM(DC3:DC52)</f>
        <v>0</v>
      </c>
      <c r="DD53" s="75" t="n">
        <f aca="false">SUM(DD3:DD52)</f>
        <v>328</v>
      </c>
      <c r="DE53" s="77"/>
      <c r="DF53" s="78"/>
      <c r="DG53" s="79"/>
      <c r="DH53" s="84" t="s">
        <v>78</v>
      </c>
      <c r="DI53" s="75" t="n">
        <f aca="false">SUM(DI3:DI43)</f>
        <v>0</v>
      </c>
      <c r="DJ53" s="75" t="n">
        <f aca="false">SUM(DJ3:DJ43)</f>
        <v>0</v>
      </c>
      <c r="DK53" s="75" t="n">
        <f aca="false">SUM(DK3:DK43)</f>
        <v>0</v>
      </c>
      <c r="DL53" s="75" t="n">
        <f aca="false">SUM(DL3:DL43)</f>
        <v>3</v>
      </c>
      <c r="DM53" s="75" t="n">
        <f aca="false">SUM(DM3:DM43)</f>
        <v>5</v>
      </c>
      <c r="DN53" s="75" t="n">
        <f aca="false">SUM(DN3:DN43)</f>
        <v>8</v>
      </c>
      <c r="DO53" s="75" t="n">
        <f aca="false">SUM(DO3:DO43)</f>
        <v>12</v>
      </c>
      <c r="DP53" s="75" t="n">
        <f aca="false">SUM(DP3:DP43)</f>
        <v>0</v>
      </c>
      <c r="DQ53" s="75" t="n">
        <f aca="false">SUM(DQ3:DQ43)</f>
        <v>2</v>
      </c>
      <c r="DR53" s="75" t="n">
        <f aca="false">SUM(DR3:DR43)</f>
        <v>1</v>
      </c>
      <c r="DS53" s="75" t="n">
        <f aca="false">SUM(DS3:DS43)</f>
        <v>15</v>
      </c>
      <c r="DT53" s="75" t="n">
        <f aca="false">SUM(DT3:DT43)</f>
        <v>25</v>
      </c>
      <c r="DU53" s="75" t="n">
        <f aca="false">SUM(DU3:DU43)</f>
        <v>2</v>
      </c>
      <c r="DV53" s="75" t="n">
        <f aca="false">SUM(DV3:DV43)</f>
        <v>5</v>
      </c>
      <c r="DW53" s="75" t="n">
        <f aca="false">SUM(DW3:DW43)</f>
        <v>2</v>
      </c>
      <c r="DX53" s="75" t="n">
        <f aca="false">SUM(DX3:DX43)</f>
        <v>0</v>
      </c>
      <c r="DY53" s="75" t="n">
        <f aca="false">SUM(DY3:DY43)</f>
        <v>15</v>
      </c>
      <c r="DZ53" s="75" t="n">
        <f aca="false">SUM(DZ3:DZ43)</f>
        <v>0</v>
      </c>
      <c r="EA53" s="75" t="n">
        <f aca="false">SUM(EA3:EA43)</f>
        <v>0</v>
      </c>
      <c r="EB53" s="75" t="n">
        <f aca="false">SUM(EB3:EB43)</f>
        <v>0</v>
      </c>
      <c r="EC53" s="75" t="n">
        <f aca="false">SUM(EC3:EC43)</f>
        <v>0</v>
      </c>
      <c r="ED53" s="75" t="n">
        <f aca="false">SUM(ED3:ED43)</f>
        <v>7</v>
      </c>
      <c r="EE53" s="75" t="n">
        <f aca="false">SUM(EE3:EE43)</f>
        <v>18</v>
      </c>
      <c r="EF53" s="75" t="n">
        <f aca="false">SUM(EF3:EF43)</f>
        <v>8</v>
      </c>
      <c r="EG53" s="75" t="n">
        <f aca="false">SUM(EG3:EG43)</f>
        <v>10</v>
      </c>
      <c r="EH53" s="75" t="n">
        <f aca="false">SUM(EH3:EH43)</f>
        <v>8</v>
      </c>
      <c r="EI53" s="75" t="n">
        <f aca="false">SUM(EI3:EI43)</f>
        <v>0</v>
      </c>
      <c r="EJ53" s="75" t="n">
        <f aca="false">SUM(EJ3:EJ43)</f>
        <v>0</v>
      </c>
      <c r="EK53" s="75" t="n">
        <f aca="false">SUM(EK3:EK43)</f>
        <v>13</v>
      </c>
      <c r="EL53" s="75" t="n">
        <f aca="false">SUM(EL3:EL43)</f>
        <v>2</v>
      </c>
      <c r="EM53" s="75" t="n">
        <f aca="false">SUM(EM3:EM43)</f>
        <v>8</v>
      </c>
      <c r="EN53" s="75" t="n">
        <f aca="false">SUM(EN3:EN43)</f>
        <v>7</v>
      </c>
      <c r="EO53" s="75" t="n">
        <f aca="false">SUM(EO3:EO43)</f>
        <v>0</v>
      </c>
      <c r="EP53" s="75" t="n">
        <f aca="false">SUM(EP3:EP43)</f>
        <v>10</v>
      </c>
      <c r="EQ53" s="75" t="n">
        <f aca="false">SUM(EQ3:EQ43)</f>
        <v>14</v>
      </c>
      <c r="ER53" s="75" t="n">
        <f aca="false">SUM(ER3:ER43)</f>
        <v>10</v>
      </c>
      <c r="ES53" s="75" t="n">
        <f aca="false">SUM(ES3:ES43)</f>
        <v>0</v>
      </c>
      <c r="ET53" s="75" t="n">
        <f aca="false">SUM(ET3:ET43)</f>
        <v>0</v>
      </c>
      <c r="EU53" s="75" t="n">
        <f aca="false">SUM(EU3:EU43)</f>
        <v>14</v>
      </c>
      <c r="EV53" s="75" t="n">
        <f aca="false">SUM(EV3:EV43)</f>
        <v>0</v>
      </c>
      <c r="EW53" s="75" t="n">
        <f aca="false">SUM(EW3:EW43)</f>
        <v>2</v>
      </c>
      <c r="EX53" s="75" t="n">
        <f aca="false">SUM(EX3:EX43)</f>
        <v>7</v>
      </c>
      <c r="EY53" s="75" t="n">
        <f aca="false">SUM(EY3:EY43)</f>
        <v>9</v>
      </c>
      <c r="EZ53" s="75" t="n">
        <f aca="false">SUM(EZ3:EZ43)</f>
        <v>0</v>
      </c>
      <c r="FA53" s="75" t="n">
        <f aca="false">SUM(FA3:FA43)</f>
        <v>4</v>
      </c>
      <c r="FB53" s="75" t="n">
        <f aca="false">SUM(FB3:FB43)</f>
        <v>0</v>
      </c>
      <c r="FC53" s="75" t="n">
        <f aca="false">SUM(FC3:FC43)</f>
        <v>8</v>
      </c>
      <c r="FD53" s="75" t="n">
        <f aca="false">SUM(FD3:FD43)</f>
        <v>14</v>
      </c>
      <c r="FE53" s="75" t="n">
        <f aca="false">SUM(FE3:FE43)</f>
        <v>5</v>
      </c>
      <c r="FF53" s="75" t="n">
        <f aca="false">SUM(FF3:FF43)</f>
        <v>0</v>
      </c>
      <c r="FG53" s="75" t="n">
        <f aca="false">SUM(FG3:FG52)</f>
        <v>273</v>
      </c>
      <c r="FH53" s="80"/>
      <c r="FI53" s="84"/>
      <c r="FJ53" s="85"/>
      <c r="FK53" s="85"/>
      <c r="FL53" s="85"/>
    </row>
    <row r="54" customFormat="false" ht="12.75" hidden="false" customHeight="false" outlineLevel="0" collapsed="false">
      <c r="BA54" s="86" t="n">
        <f aca="false">SUM(C53:AZ53)</f>
        <v>164</v>
      </c>
      <c r="DD54" s="86" t="n">
        <f aca="false">SUM(BF53:DC53)</f>
        <v>328</v>
      </c>
      <c r="DE54" s="79"/>
      <c r="DF54" s="87"/>
      <c r="DG54" s="79"/>
      <c r="FG54" s="86" t="n">
        <f aca="false">SUM(DI53:FF53)</f>
        <v>273</v>
      </c>
      <c r="FH54" s="79"/>
      <c r="FJ54" s="88"/>
      <c r="FK54" s="88"/>
      <c r="FL54" s="88"/>
    </row>
    <row r="55" customFormat="false" ht="12.75" hidden="false" customHeight="false" outlineLevel="0" collapsed="false">
      <c r="DD55" s="86" t="n">
        <f aca="false">MAX(BF3:DC52)</f>
        <v>4</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0.764696223316913</v>
      </c>
      <c r="DM55" s="89" t="n">
        <f aca="false">SUMPRODUCT(DM3:DM52,CLASSIF!$T3:$T52)/DM53</f>
        <v>1.07383547441965</v>
      </c>
      <c r="DN55" s="89" t="n">
        <f aca="false">SUMPRODUCT(DN3:DN52,CLASSIF!$T3:$T52)/DN53</f>
        <v>0.899288715156682</v>
      </c>
      <c r="DO55" s="89" t="n">
        <f aca="false">SUMPRODUCT(DO3:DO52,CLASSIF!$T3:$T52)/DO53</f>
        <v>0.724080410573102</v>
      </c>
      <c r="DP55" s="89" t="e">
        <f aca="false">SUMPRODUCT(DP3:DP52,CLASSIF!$T3:$T52)/DP53</f>
        <v>#DIV/0!</v>
      </c>
      <c r="DQ55" s="89" t="n">
        <f aca="false">SUMPRODUCT(DQ3:DQ52,CLASSIF!$T3:$T52)/DQ53</f>
        <v>0.78926282051282</v>
      </c>
      <c r="DR55" s="89" t="n">
        <f aca="false">SUMPRODUCT(DR3:DR52,CLASSIF!$T3:$T52)/DR53</f>
        <v>1.125</v>
      </c>
      <c r="DS55" s="89" t="n">
        <f aca="false">SUMPRODUCT(DS3:DS52,CLASSIF!$T3:$T52)/DS53</f>
        <v>0.738421853557756</v>
      </c>
      <c r="DT55" s="89" t="n">
        <f aca="false">SUMPRODUCT(DT3:DT52,CLASSIF!$T3:$T52)/DT53</f>
        <v>0.735264491249018</v>
      </c>
      <c r="DU55" s="89" t="n">
        <f aca="false">SUMPRODUCT(DU3:DU52,CLASSIF!$T3:$T52)/DU53</f>
        <v>1.78051282051282</v>
      </c>
      <c r="DV55" s="89" t="n">
        <f aca="false">SUMPRODUCT(DV3:DV52,CLASSIF!$T3:$T52)/DV53</f>
        <v>0.767641029975208</v>
      </c>
      <c r="DW55" s="89" t="n">
        <f aca="false">SUMPRODUCT(DW3:DW52,CLASSIF!$T3:$T52)/DW53</f>
        <v>0.752757352941176</v>
      </c>
      <c r="DX55" s="89" t="e">
        <f aca="false">SUMPRODUCT(DX3:DX52,CLASSIF!$T3:$T52)/DX53</f>
        <v>#DIV/0!</v>
      </c>
      <c r="DY55" s="89" t="n">
        <f aca="false">SUMPRODUCT(DY3:DY52,CLASSIF!$T3:$T52)/DY53</f>
        <v>0.785246454764071</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1.08413918597742</v>
      </c>
      <c r="EE55" s="89" t="n">
        <f aca="false">SUMPRODUCT(EE3:EE52,CLASSIF!$T3:$T52)/EE53</f>
        <v>0.912018663807457</v>
      </c>
      <c r="EF55" s="89" t="n">
        <f aca="false">SUMPRODUCT(EF3:EF52,CLASSIF!$T3:$T52)/EF53</f>
        <v>1.07188678355958</v>
      </c>
      <c r="EG55" s="89" t="n">
        <f aca="false">SUMPRODUCT(EG3:EG52,CLASSIF!$T3:$T52)/EG53</f>
        <v>0.733434967847901</v>
      </c>
      <c r="EH55" s="89" t="n">
        <f aca="false">SUMPRODUCT(EH3:EH52,CLASSIF!$T3:$T52)/EH53</f>
        <v>0.63958751322868</v>
      </c>
      <c r="EI55" s="89" t="e">
        <f aca="false">SUMPRODUCT(EI3:EI52,CLASSIF!$T3:$T52)/EI53</f>
        <v>#DIV/0!</v>
      </c>
      <c r="EJ55" s="89" t="e">
        <f aca="false">SUMPRODUCT(EJ3:EJ52,CLASSIF!$T3:$T52)/EJ53</f>
        <v>#DIV/0!</v>
      </c>
      <c r="EK55" s="89" t="n">
        <f aca="false">SUMPRODUCT(EK3:EK52,CLASSIF!$T3:$T52)/EK53</f>
        <v>0.699009177537928</v>
      </c>
      <c r="EL55" s="89" t="n">
        <f aca="false">SUMPRODUCT(EL3:EL52,CLASSIF!$T3:$T52)/EL53</f>
        <v>0.505882352941176</v>
      </c>
      <c r="EM55" s="89" t="n">
        <f aca="false">SUMPRODUCT(EM3:EM52,CLASSIF!$T3:$T52)/EM53</f>
        <v>0.945946682662897</v>
      </c>
      <c r="EN55" s="89" t="n">
        <f aca="false">SUMPRODUCT(EN3:EN52,CLASSIF!$T3:$T52)/EN53</f>
        <v>0.596215091387726</v>
      </c>
      <c r="EO55" s="89" t="e">
        <f aca="false">SUMPRODUCT(EO3:EO52,CLASSIF!$T3:$T52)/EO53</f>
        <v>#DIV/0!</v>
      </c>
      <c r="EP55" s="89" t="n">
        <f aca="false">SUMPRODUCT(EP3:EP52,CLASSIF!$T3:$T52)/EP53</f>
        <v>0.661998517897914</v>
      </c>
      <c r="EQ55" s="89" t="n">
        <f aca="false">SUMPRODUCT(EQ3:EQ52,CLASSIF!$T3:$T52)/EQ53</f>
        <v>0.781841744280459</v>
      </c>
      <c r="ER55" s="89" t="n">
        <f aca="false">SUMPRODUCT(ER3:ER52,CLASSIF!$T3:$T52)/ER53</f>
        <v>0.738471366409555</v>
      </c>
      <c r="ES55" s="89" t="e">
        <f aca="false">SUMPRODUCT(ES3:ES52,CLASSIF!$T3:$T52)/ES53</f>
        <v>#DIV/0!</v>
      </c>
      <c r="ET55" s="89" t="e">
        <f aca="false">SUMPRODUCT(ET3:ET52,CLASSIF!$T3:$T52)/ET53</f>
        <v>#DIV/0!</v>
      </c>
      <c r="EU55" s="89" t="n">
        <f aca="false">SUMPRODUCT(EU3:EU52,CLASSIF!$T3:$T52)/EU53</f>
        <v>0.835602802919814</v>
      </c>
      <c r="EV55" s="89" t="e">
        <f aca="false">SUMPRODUCT(EV3:EV52,CLASSIF!$T3:$T52)/EV53</f>
        <v>#DIV/0!</v>
      </c>
      <c r="EW55" s="89" t="n">
        <f aca="false">SUMPRODUCT(EW3:EW52,CLASSIF!$T3:$T52)/EW53</f>
        <v>0.88926282051282</v>
      </c>
      <c r="EX55" s="89" t="n">
        <f aca="false">SUMPRODUCT(EX3:EX52,CLASSIF!$T3:$T52)/EX53</f>
        <v>0.515158761386383</v>
      </c>
      <c r="EY55" s="89" t="n">
        <f aca="false">SUMPRODUCT(EY3:EY52,CLASSIF!$T3:$T52)/EY53</f>
        <v>0.787336601307189</v>
      </c>
      <c r="EZ55" s="89" t="e">
        <f aca="false">SUMPRODUCT(EZ3:EZ52,CLASSIF!$T3:$T52)/EZ53</f>
        <v>#DIV/0!</v>
      </c>
      <c r="FA55" s="89" t="n">
        <f aca="false">SUMPRODUCT(FA3:FA52,CLASSIF!$T3:$T52)/FA53</f>
        <v>0.807907088122605</v>
      </c>
      <c r="FB55" s="89" t="e">
        <f aca="false">SUMPRODUCT(FB3:FB52,CLASSIF!$T3:$T52)/FB53</f>
        <v>#DIV/0!</v>
      </c>
      <c r="FC55" s="89" t="n">
        <f aca="false">SUMPRODUCT(FC3:FC52,CLASSIF!$T3:$T52)/FC53</f>
        <v>0.659572654721174</v>
      </c>
      <c r="FD55" s="89" t="n">
        <f aca="false">SUMPRODUCT(FD3:FD52,CLASSIF!$T3:$T52)/FD53</f>
        <v>0.898015045004977</v>
      </c>
      <c r="FE55" s="89" t="n">
        <f aca="false">SUMPRODUCT(FE3:FE52,CLASSIF!$T3:$T52)/FE53</f>
        <v>0.757424948240166</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55" activePane="bottomLeft" state="frozen"/>
      <selection pane="topLeft" activeCell="A1" activeCellId="0" sqref="A1"/>
      <selection pane="bottomLeft" activeCell="A492" activeCellId="0" sqref="A49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87</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t="n">
        <v>44459</v>
      </c>
      <c r="C437" s="40" t="s">
        <v>37</v>
      </c>
      <c r="D437" s="96" t="n">
        <v>6</v>
      </c>
      <c r="E437" s="96" t="n">
        <v>1</v>
      </c>
      <c r="F437" s="40" t="s">
        <v>8</v>
      </c>
      <c r="G437" s="105" t="str">
        <f aca="false">C437</f>
        <v>Pitch</v>
      </c>
      <c r="H437" s="104" t="n">
        <f aca="false">IF(AND(E437=0,E438=0),25,20)</f>
        <v>20</v>
      </c>
      <c r="I437" s="105" t="str">
        <f aca="false">F437</f>
        <v>Costinha</v>
      </c>
      <c r="J437" s="94" t="n">
        <f aca="false">IF(E437="WO40",-40,MAX(4,SUM(E437:E438)))</f>
        <v>4</v>
      </c>
      <c r="K437" s="104" t="n">
        <f aca="false">IF(D437&gt;E437,1,0)+IF(D438&gt;E438,1,0)+IF(D439&gt;E439,1,0)</f>
        <v>2</v>
      </c>
      <c r="L437" s="104" t="n">
        <f aca="false">IF(E437&gt;D437,1,0)+IF(E438&gt;D438,1,0)+IF(E439&gt;D439,1,0)</f>
        <v>0</v>
      </c>
      <c r="M437" s="97" t="str">
        <f aca="false">G437&amp;" d. "&amp;I437</f>
        <v>Pitch d. Costinha</v>
      </c>
      <c r="N437" s="97" t="str">
        <f aca="false">G437&amp;" x "&amp;I437</f>
        <v>Pitch x Costinha</v>
      </c>
      <c r="O437" s="97" t="str">
        <f aca="false">I437&amp;" x "&amp;G437</f>
        <v>Costinha x Pitch</v>
      </c>
      <c r="P437" s="94" t="n">
        <f aca="false">MONTH(B437)</f>
        <v>9</v>
      </c>
      <c r="Q437" s="94" t="n">
        <f aca="false">QUOTIENT(B437-2,7)-6129</f>
        <v>222</v>
      </c>
    </row>
    <row r="438" customFormat="false" ht="12.75" hidden="false" customHeight="false" outlineLevel="0" collapsed="false">
      <c r="A438" s="94"/>
      <c r="B438" s="39"/>
      <c r="C438" s="40"/>
      <c r="D438" s="98" t="n">
        <v>6</v>
      </c>
      <c r="E438" s="98" t="n">
        <v>2</v>
      </c>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t="n">
        <v>44459</v>
      </c>
      <c r="C440" s="40" t="s">
        <v>40</v>
      </c>
      <c r="D440" s="96" t="n">
        <v>2</v>
      </c>
      <c r="E440" s="96" t="n">
        <v>6</v>
      </c>
      <c r="F440" s="40" t="s">
        <v>7</v>
      </c>
      <c r="G440" s="105" t="str">
        <f aca="false">C440</f>
        <v>Robertinho</v>
      </c>
      <c r="H440" s="104" t="n">
        <f aca="false">IF(AND(E440=0,E441=0),25,20)</f>
        <v>20</v>
      </c>
      <c r="I440" s="105" t="str">
        <f aca="false">F440</f>
        <v>Carlos Coimbra</v>
      </c>
      <c r="J440" s="94" t="n">
        <f aca="false">IF(E440="WO40",-40,MAX(4,SUM(E440:E441)))</f>
        <v>8</v>
      </c>
      <c r="K440" s="104" t="n">
        <f aca="false">IF(D440&gt;E440,1,0)+IF(D441&gt;E441,1,0)+IF(D442&gt;E442,1,0)</f>
        <v>2</v>
      </c>
      <c r="L440" s="104" t="n">
        <f aca="false">IF(E440&gt;D440,1,0)+IF(E441&gt;D441,1,0)+IF(E442&gt;D442,1,0)</f>
        <v>1</v>
      </c>
      <c r="M440" s="97" t="str">
        <f aca="false">G440&amp;" d. "&amp;I440</f>
        <v>Robertinho d. Carlos Coimbra</v>
      </c>
      <c r="N440" s="97" t="str">
        <f aca="false">G440&amp;" x "&amp;I440</f>
        <v>Robertinho x Carlos Coimbra</v>
      </c>
      <c r="O440" s="97" t="str">
        <f aca="false">I440&amp;" x "&amp;G440</f>
        <v>Carlos Coimbra x Robertinho</v>
      </c>
      <c r="P440" s="94" t="n">
        <f aca="false">MONTH(B440)</f>
        <v>9</v>
      </c>
      <c r="Q440" s="94" t="n">
        <f aca="false">QUOTIENT(B440-2,7)-6129</f>
        <v>222</v>
      </c>
    </row>
    <row r="441" customFormat="false" ht="12.75" hidden="false" customHeight="false" outlineLevel="0" collapsed="false">
      <c r="A441" s="94"/>
      <c r="B441" s="39"/>
      <c r="C441" s="40"/>
      <c r="D441" s="98" t="n">
        <v>6</v>
      </c>
      <c r="E441" s="98" t="n">
        <v>2</v>
      </c>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t="n">
        <v>10</v>
      </c>
      <c r="E442" s="102" t="n">
        <v>1</v>
      </c>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t="n">
        <v>44461</v>
      </c>
      <c r="C443" s="40" t="s">
        <v>13</v>
      </c>
      <c r="D443" s="96" t="n">
        <v>6</v>
      </c>
      <c r="E443" s="96" t="n">
        <v>2</v>
      </c>
      <c r="F443" s="40" t="s">
        <v>24</v>
      </c>
      <c r="G443" s="105" t="str">
        <f aca="false">C443</f>
        <v>Elias</v>
      </c>
      <c r="H443" s="104" t="n">
        <f aca="false">IF(AND(E443=0,E444=0),25,20)</f>
        <v>20</v>
      </c>
      <c r="I443" s="105" t="str">
        <f aca="false">F443</f>
        <v>Juan</v>
      </c>
      <c r="J443" s="94" t="n">
        <f aca="false">IF(E443="WO40",-40,MAX(4,SUM(E443:E444)))</f>
        <v>7</v>
      </c>
      <c r="K443" s="104" t="n">
        <f aca="false">IF(D443&gt;E443,1,0)+IF(D444&gt;E444,1,0)+IF(D445&gt;E445,1,0)</f>
        <v>2</v>
      </c>
      <c r="L443" s="104" t="n">
        <f aca="false">IF(E443&gt;D443,1,0)+IF(E444&gt;D444,1,0)+IF(E445&gt;D445,1,0)</f>
        <v>0</v>
      </c>
      <c r="M443" s="97" t="str">
        <f aca="false">G443&amp;" d. "&amp;I443</f>
        <v>Elias d. Juan</v>
      </c>
      <c r="N443" s="97" t="str">
        <f aca="false">G443&amp;" x "&amp;I443</f>
        <v>Elias x Juan</v>
      </c>
      <c r="O443" s="97" t="str">
        <f aca="false">I443&amp;" x "&amp;G443</f>
        <v>Juan x Elias</v>
      </c>
      <c r="P443" s="94" t="n">
        <f aca="false">MONTH(B443)</f>
        <v>9</v>
      </c>
      <c r="Q443" s="94" t="n">
        <f aca="false">QUOTIENT(B443-2,7)-6129</f>
        <v>222</v>
      </c>
    </row>
    <row r="444" customFormat="false" ht="12.75" hidden="false" customHeight="false" outlineLevel="0" collapsed="false">
      <c r="A444" s="94"/>
      <c r="B444" s="39"/>
      <c r="C444" s="40"/>
      <c r="D444" s="98" t="n">
        <v>7</v>
      </c>
      <c r="E444" s="98" t="n">
        <v>5</v>
      </c>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t="n">
        <v>44461</v>
      </c>
      <c r="C446" s="40" t="s">
        <v>26</v>
      </c>
      <c r="D446" s="96" t="n">
        <v>6</v>
      </c>
      <c r="E446" s="96" t="n">
        <v>2</v>
      </c>
      <c r="F446" s="40" t="s">
        <v>36</v>
      </c>
      <c r="G446" s="105" t="str">
        <f aca="false">C446</f>
        <v>Luiz Henrique</v>
      </c>
      <c r="H446" s="104" t="n">
        <f aca="false">IF(AND(E446=0,E447=0),25,20)</f>
        <v>20</v>
      </c>
      <c r="I446" s="105" t="str">
        <f aca="false">F446</f>
        <v>Pinga</v>
      </c>
      <c r="J446" s="94" t="n">
        <f aca="false">IF(E446="WO40",-40,MAX(4,SUM(E446:E447)))</f>
        <v>4</v>
      </c>
      <c r="K446" s="104" t="n">
        <f aca="false">IF(D446&gt;E446,1,0)+IF(D447&gt;E447,1,0)+IF(D448&gt;E448,1,0)</f>
        <v>2</v>
      </c>
      <c r="L446" s="104" t="n">
        <f aca="false">IF(E446&gt;D446,1,0)+IF(E447&gt;D447,1,0)+IF(E448&gt;D448,1,0)</f>
        <v>0</v>
      </c>
      <c r="M446" s="97" t="str">
        <f aca="false">G446&amp;" d. "&amp;I446</f>
        <v>Luiz Henrique d. Pinga</v>
      </c>
      <c r="N446" s="97" t="str">
        <f aca="false">G446&amp;" x "&amp;I446</f>
        <v>Luiz Henrique x Pinga</v>
      </c>
      <c r="O446" s="97" t="str">
        <f aca="false">I446&amp;" x "&amp;G446</f>
        <v>Pinga x Luiz Henrique</v>
      </c>
      <c r="P446" s="94" t="n">
        <f aca="false">MONTH(B446)</f>
        <v>9</v>
      </c>
      <c r="Q446" s="94" t="n">
        <f aca="false">QUOTIENT(B446-2,7)-6129</f>
        <v>222</v>
      </c>
    </row>
    <row r="447" customFormat="false" ht="12.75" hidden="false" customHeight="false" outlineLevel="0" collapsed="false">
      <c r="A447" s="94"/>
      <c r="B447" s="39"/>
      <c r="C447" s="40"/>
      <c r="D447" s="98" t="n">
        <v>6</v>
      </c>
      <c r="E447" s="98" t="n">
        <v>0</v>
      </c>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t="n">
        <v>44461</v>
      </c>
      <c r="C449" s="40" t="s">
        <v>8</v>
      </c>
      <c r="D449" s="96" t="n">
        <v>6</v>
      </c>
      <c r="E449" s="96" t="n">
        <v>3</v>
      </c>
      <c r="F449" s="40" t="s">
        <v>25</v>
      </c>
      <c r="G449" s="105" t="str">
        <f aca="false">C449</f>
        <v>Costinha</v>
      </c>
      <c r="H449" s="104" t="n">
        <f aca="false">IF(AND(E449=0,E450=0),25,20)</f>
        <v>20</v>
      </c>
      <c r="I449" s="105" t="str">
        <f aca="false">F449</f>
        <v>Luis Carlos</v>
      </c>
      <c r="J449" s="94" t="n">
        <f aca="false">IF(E449="WO40",-40,MAX(4,SUM(E449:E450)))</f>
        <v>9</v>
      </c>
      <c r="K449" s="104" t="n">
        <f aca="false">IF(D449&gt;E449,1,0)+IF(D450&gt;E450,1,0)+IF(D451&gt;E451,1,0)</f>
        <v>2</v>
      </c>
      <c r="L449" s="104" t="n">
        <f aca="false">IF(E449&gt;D449,1,0)+IF(E450&gt;D450,1,0)+IF(E451&gt;D451,1,0)</f>
        <v>0</v>
      </c>
      <c r="M449" s="97" t="str">
        <f aca="false">G449&amp;" d. "&amp;I449</f>
        <v>Costinha d. Luis Carlos</v>
      </c>
      <c r="N449" s="97" t="str">
        <f aca="false">G449&amp;" x "&amp;I449</f>
        <v>Costinha x Luis Carlos</v>
      </c>
      <c r="O449" s="97" t="str">
        <f aca="false">I449&amp;" x "&amp;G449</f>
        <v>Luis Carlos x Costinha</v>
      </c>
      <c r="P449" s="94" t="n">
        <f aca="false">MONTH(B449)</f>
        <v>9</v>
      </c>
      <c r="Q449" s="94" t="n">
        <f aca="false">QUOTIENT(B449-2,7)-6129</f>
        <v>222</v>
      </c>
    </row>
    <row r="450" customFormat="false" ht="12.75" hidden="false" customHeight="false" outlineLevel="0" collapsed="false">
      <c r="A450" s="94"/>
      <c r="B450" s="39"/>
      <c r="C450" s="40"/>
      <c r="D450" s="98" t="n">
        <v>7</v>
      </c>
      <c r="E450" s="98" t="n">
        <v>6</v>
      </c>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t="n">
        <v>44461</v>
      </c>
      <c r="C452" s="40" t="s">
        <v>12</v>
      </c>
      <c r="D452" s="96" t="n">
        <v>6</v>
      </c>
      <c r="E452" s="96" t="n">
        <v>4</v>
      </c>
      <c r="F452" s="40" t="s">
        <v>16</v>
      </c>
      <c r="G452" s="105" t="str">
        <f aca="false">C452</f>
        <v>Duclerc</v>
      </c>
      <c r="H452" s="104" t="n">
        <f aca="false">IF(AND(E452=0,E453=0),25,20)</f>
        <v>20</v>
      </c>
      <c r="I452" s="105" t="str">
        <f aca="false">F452</f>
        <v>Fernando Bio</v>
      </c>
      <c r="J452" s="94" t="n">
        <f aca="false">IF(E452="WO40",-40,MAX(4,SUM(E452:E453)))</f>
        <v>8</v>
      </c>
      <c r="K452" s="104" t="n">
        <f aca="false">IF(D452&gt;E452,1,0)+IF(D453&gt;E453,1,0)+IF(D454&gt;E454,1,0)</f>
        <v>2</v>
      </c>
      <c r="L452" s="104" t="n">
        <f aca="false">IF(E452&gt;D452,1,0)+IF(E453&gt;D453,1,0)+IF(E454&gt;D454,1,0)</f>
        <v>0</v>
      </c>
      <c r="M452" s="97" t="str">
        <f aca="false">G452&amp;" d. "&amp;I452</f>
        <v>Duclerc d. Fernando Bio</v>
      </c>
      <c r="N452" s="97" t="str">
        <f aca="false">G452&amp;" x "&amp;I452</f>
        <v>Duclerc x Fernando Bio</v>
      </c>
      <c r="O452" s="97" t="str">
        <f aca="false">I452&amp;" x "&amp;G452</f>
        <v>Fernando Bio x Duclerc</v>
      </c>
      <c r="P452" s="94" t="n">
        <f aca="false">MONTH(B452)</f>
        <v>9</v>
      </c>
      <c r="Q452" s="94" t="n">
        <f aca="false">QUOTIENT(B452-2,7)-6129</f>
        <v>222</v>
      </c>
    </row>
    <row r="453" customFormat="false" ht="12.75" hidden="false" customHeight="false" outlineLevel="0" collapsed="false">
      <c r="A453" s="94"/>
      <c r="B453" s="39"/>
      <c r="C453" s="40"/>
      <c r="D453" s="98" t="n">
        <v>6</v>
      </c>
      <c r="E453" s="98" t="n">
        <v>4</v>
      </c>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t="n">
        <v>44462</v>
      </c>
      <c r="C455" s="40" t="s">
        <v>27</v>
      </c>
      <c r="D455" s="96" t="n">
        <v>6</v>
      </c>
      <c r="E455" s="96" t="n">
        <v>1</v>
      </c>
      <c r="F455" s="40" t="s">
        <v>24</v>
      </c>
      <c r="G455" s="105" t="str">
        <f aca="false">C455</f>
        <v>Magritto</v>
      </c>
      <c r="H455" s="104" t="n">
        <f aca="false">IF(AND(E455=0,E456=0),25,20)</f>
        <v>20</v>
      </c>
      <c r="I455" s="105" t="str">
        <f aca="false">F455</f>
        <v>Juan</v>
      </c>
      <c r="J455" s="94" t="n">
        <f aca="false">IF(E455="WO40",-40,MAX(4,SUM(E455:E456)))</f>
        <v>4</v>
      </c>
      <c r="K455" s="104" t="n">
        <f aca="false">IF(D455&gt;E455,1,0)+IF(D456&gt;E456,1,0)+IF(D457&gt;E457,1,0)</f>
        <v>2</v>
      </c>
      <c r="L455" s="104" t="n">
        <f aca="false">IF(E455&gt;D455,1,0)+IF(E456&gt;D456,1,0)+IF(E457&gt;D457,1,0)</f>
        <v>0</v>
      </c>
      <c r="M455" s="97" t="str">
        <f aca="false">G455&amp;" d. "&amp;I455</f>
        <v>Magritto d. Juan</v>
      </c>
      <c r="N455" s="97" t="str">
        <f aca="false">G455&amp;" x "&amp;I455</f>
        <v>Magritto x Juan</v>
      </c>
      <c r="O455" s="97" t="str">
        <f aca="false">I455&amp;" x "&amp;G455</f>
        <v>Juan x Magritto</v>
      </c>
      <c r="P455" s="94" t="n">
        <f aca="false">MONTH(B455)</f>
        <v>9</v>
      </c>
      <c r="Q455" s="94" t="n">
        <f aca="false">QUOTIENT(B455-2,7)-6129</f>
        <v>222</v>
      </c>
    </row>
    <row r="456" customFormat="false" ht="12.75" hidden="false" customHeight="false" outlineLevel="0" collapsed="false">
      <c r="A456" s="94"/>
      <c r="B456" s="39"/>
      <c r="C456" s="40"/>
      <c r="D456" s="98" t="n">
        <v>6</v>
      </c>
      <c r="E456" s="98" t="n">
        <v>1</v>
      </c>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t="n">
        <v>44462</v>
      </c>
      <c r="C458" s="40" t="s">
        <v>12</v>
      </c>
      <c r="D458" s="96" t="n">
        <v>1</v>
      </c>
      <c r="E458" s="96" t="n">
        <v>6</v>
      </c>
      <c r="F458" s="40" t="s">
        <v>40</v>
      </c>
      <c r="G458" s="105" t="str">
        <f aca="false">C458</f>
        <v>Duclerc</v>
      </c>
      <c r="H458" s="104" t="n">
        <f aca="false">IF(AND(E458=0,E459=0),25,20)</f>
        <v>20</v>
      </c>
      <c r="I458" s="105" t="str">
        <f aca="false">F458</f>
        <v>Robertinho</v>
      </c>
      <c r="J458" s="94" t="n">
        <f aca="false">IF(E458="WO40",-40,MAX(4,SUM(E458:E459)))</f>
        <v>9</v>
      </c>
      <c r="K458" s="104" t="n">
        <f aca="false">IF(D458&gt;E458,1,0)+IF(D459&gt;E459,1,0)+IF(D460&gt;E460,1,0)</f>
        <v>2</v>
      </c>
      <c r="L458" s="104" t="n">
        <f aca="false">IF(E458&gt;D458,1,0)+IF(E459&gt;D459,1,0)+IF(E460&gt;D460,1,0)</f>
        <v>1</v>
      </c>
      <c r="M458" s="97" t="str">
        <f aca="false">G458&amp;" d. "&amp;I458</f>
        <v>Duclerc d. Robertinho</v>
      </c>
      <c r="N458" s="97" t="str">
        <f aca="false">G458&amp;" x "&amp;I458</f>
        <v>Duclerc x Robertinho</v>
      </c>
      <c r="O458" s="97" t="str">
        <f aca="false">I458&amp;" x "&amp;G458</f>
        <v>Robertinho x Duclerc</v>
      </c>
      <c r="P458" s="94" t="n">
        <f aca="false">MONTH(B458)</f>
        <v>9</v>
      </c>
      <c r="Q458" s="94" t="n">
        <f aca="false">QUOTIENT(B458-2,7)-6129</f>
        <v>222</v>
      </c>
    </row>
    <row r="459" customFormat="false" ht="12.75" hidden="false" customHeight="false" outlineLevel="0" collapsed="false">
      <c r="A459" s="94"/>
      <c r="B459" s="39"/>
      <c r="C459" s="40"/>
      <c r="D459" s="98" t="n">
        <v>6</v>
      </c>
      <c r="E459" s="98" t="n">
        <v>3</v>
      </c>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t="n">
        <v>10</v>
      </c>
      <c r="E460" s="102" t="n">
        <v>1</v>
      </c>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t="n">
        <v>44463</v>
      </c>
      <c r="C461" s="40" t="s">
        <v>35</v>
      </c>
      <c r="D461" s="96" t="n">
        <v>6</v>
      </c>
      <c r="E461" s="96" t="n">
        <v>1</v>
      </c>
      <c r="F461" s="40" t="s">
        <v>49</v>
      </c>
      <c r="G461" s="105" t="str">
        <f aca="false">C461</f>
        <v>Persio</v>
      </c>
      <c r="H461" s="104" t="n">
        <f aca="false">IF(AND(E461=0,E462=0),25,20)</f>
        <v>20</v>
      </c>
      <c r="I461" s="105" t="str">
        <f aca="false">F461</f>
        <v>Xuru</v>
      </c>
      <c r="J461" s="94" t="n">
        <f aca="false">IF(E461="WO40",-40,MAX(4,SUM(E461:E462)))</f>
        <v>4</v>
      </c>
      <c r="K461" s="104" t="n">
        <f aca="false">IF(D461&gt;E461,1,0)+IF(D462&gt;E462,1,0)+IF(D463&gt;E463,1,0)</f>
        <v>2</v>
      </c>
      <c r="L461" s="104" t="n">
        <f aca="false">IF(E461&gt;D461,1,0)+IF(E462&gt;D462,1,0)+IF(E463&gt;D463,1,0)</f>
        <v>0</v>
      </c>
      <c r="M461" s="97" t="str">
        <f aca="false">G461&amp;" d. "&amp;I461</f>
        <v>Persio d. Xuru</v>
      </c>
      <c r="N461" s="97" t="str">
        <f aca="false">G461&amp;" x "&amp;I461</f>
        <v>Persio x Xuru</v>
      </c>
      <c r="O461" s="97" t="str">
        <f aca="false">I461&amp;" x "&amp;G461</f>
        <v>Xuru x Persio</v>
      </c>
      <c r="P461" s="94" t="n">
        <f aca="false">MONTH(B461)</f>
        <v>9</v>
      </c>
      <c r="Q461" s="94" t="n">
        <f aca="false">QUOTIENT(B461-2,7)-6129</f>
        <v>222</v>
      </c>
    </row>
    <row r="462" customFormat="false" ht="12.75" hidden="false" customHeight="false" outlineLevel="0" collapsed="false">
      <c r="A462" s="94"/>
      <c r="B462" s="39"/>
      <c r="C462" s="40"/>
      <c r="D462" s="98" t="n">
        <v>6</v>
      </c>
      <c r="E462" s="98" t="n">
        <v>0</v>
      </c>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t="n">
        <v>44464</v>
      </c>
      <c r="C464" s="40" t="s">
        <v>35</v>
      </c>
      <c r="D464" s="96" t="n">
        <v>6</v>
      </c>
      <c r="E464" s="96" t="n">
        <v>4</v>
      </c>
      <c r="F464" s="40" t="s">
        <v>23</v>
      </c>
      <c r="G464" s="105" t="str">
        <f aca="false">C464</f>
        <v>Persio</v>
      </c>
      <c r="H464" s="104" t="n">
        <f aca="false">IF(AND(E464=0,E465=0),25,20)</f>
        <v>20</v>
      </c>
      <c r="I464" s="105" t="str">
        <f aca="false">F464</f>
        <v>Ivan</v>
      </c>
      <c r="J464" s="94" t="n">
        <f aca="false">IF(E464="WO40",-40,MAX(4,SUM(E464:E465)))</f>
        <v>7</v>
      </c>
      <c r="K464" s="104" t="n">
        <f aca="false">IF(D464&gt;E464,1,0)+IF(D465&gt;E465,1,0)+IF(D466&gt;E466,1,0)</f>
        <v>2</v>
      </c>
      <c r="L464" s="104" t="n">
        <f aca="false">IF(E464&gt;D464,1,0)+IF(E465&gt;D465,1,0)+IF(E466&gt;D466,1,0)</f>
        <v>0</v>
      </c>
      <c r="M464" s="97" t="str">
        <f aca="false">G464&amp;" d. "&amp;I464</f>
        <v>Persio d. Ivan</v>
      </c>
      <c r="N464" s="97" t="str">
        <f aca="false">G464&amp;" x "&amp;I464</f>
        <v>Persio x Ivan</v>
      </c>
      <c r="O464" s="97" t="str">
        <f aca="false">I464&amp;" x "&amp;G464</f>
        <v>Ivan x Persio</v>
      </c>
      <c r="P464" s="94" t="n">
        <f aca="false">MONTH(B464)</f>
        <v>9</v>
      </c>
      <c r="Q464" s="94" t="n">
        <f aca="false">QUOTIENT(B464-2,7)-6129</f>
        <v>222</v>
      </c>
    </row>
    <row r="465" customFormat="false" ht="12.75" hidden="false" customHeight="false" outlineLevel="0" collapsed="false">
      <c r="A465" s="94"/>
      <c r="B465" s="39"/>
      <c r="C465" s="40"/>
      <c r="D465" s="98" t="n">
        <v>6</v>
      </c>
      <c r="E465" s="98" t="n">
        <v>3</v>
      </c>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t="n">
        <v>44464</v>
      </c>
      <c r="C467" s="40" t="s">
        <v>46</v>
      </c>
      <c r="D467" s="96" t="n">
        <v>6</v>
      </c>
      <c r="E467" s="96" t="n">
        <v>1</v>
      </c>
      <c r="F467" s="40" t="s">
        <v>49</v>
      </c>
      <c r="G467" s="105" t="str">
        <f aca="false">C467</f>
        <v>Andre Bruni</v>
      </c>
      <c r="H467" s="104" t="n">
        <f aca="false">IF(AND(E467=0,E468=0),25,20)</f>
        <v>20</v>
      </c>
      <c r="I467" s="105" t="str">
        <f aca="false">F467</f>
        <v>Xuru</v>
      </c>
      <c r="J467" s="94" t="n">
        <f aca="false">IF(E467="WO40",-40,MAX(4,SUM(E467:E468)))</f>
        <v>4</v>
      </c>
      <c r="K467" s="104" t="n">
        <f aca="false">IF(D467&gt;E467,1,0)+IF(D468&gt;E468,1,0)+IF(D469&gt;E469,1,0)</f>
        <v>2</v>
      </c>
      <c r="L467" s="104" t="n">
        <f aca="false">IF(E467&gt;D467,1,0)+IF(E468&gt;D468,1,0)+IF(E469&gt;D469,1,0)</f>
        <v>0</v>
      </c>
      <c r="M467" s="97" t="str">
        <f aca="false">G467&amp;" d. "&amp;I467</f>
        <v>Andre Bruni d. Xuru</v>
      </c>
      <c r="N467" s="97" t="str">
        <f aca="false">G467&amp;" x "&amp;I467</f>
        <v>Andre Bruni x Xuru</v>
      </c>
      <c r="O467" s="97" t="str">
        <f aca="false">I467&amp;" x "&amp;G467</f>
        <v>Xuru x Andre Bruni</v>
      </c>
      <c r="P467" s="94" t="n">
        <f aca="false">MONTH(B467)</f>
        <v>9</v>
      </c>
      <c r="Q467" s="94" t="n">
        <f aca="false">QUOTIENT(B467-2,7)-6129</f>
        <v>222</v>
      </c>
    </row>
    <row r="468" customFormat="false" ht="12.75" hidden="false" customHeight="false" outlineLevel="0" collapsed="false">
      <c r="A468" s="94"/>
      <c r="B468" s="39"/>
      <c r="C468" s="40"/>
      <c r="D468" s="98" t="n">
        <v>6</v>
      </c>
      <c r="E468" s="98" t="n">
        <v>1</v>
      </c>
      <c r="F468" s="40"/>
      <c r="G468" s="97"/>
      <c r="H468" s="94"/>
      <c r="I468" s="97"/>
      <c r="J468" s="94"/>
      <c r="K468" s="94"/>
      <c r="L468" s="94"/>
      <c r="M468" s="97" t="n">
        <v>0</v>
      </c>
      <c r="N468" s="97" t="n">
        <v>0</v>
      </c>
      <c r="O468" s="97" t="n">
        <v>0</v>
      </c>
      <c r="P468" s="94"/>
      <c r="Q468" s="94"/>
    </row>
    <row r="469" customFormat="false" ht="12.8"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t="n">
        <v>-620277</v>
      </c>
      <c r="C470" s="40" t="s">
        <v>40</v>
      </c>
      <c r="D470" s="96" t="n">
        <v>6</v>
      </c>
      <c r="E470" s="96" t="n">
        <v>4</v>
      </c>
      <c r="F470" s="40" t="s">
        <v>44</v>
      </c>
      <c r="G470" s="105" t="str">
        <f aca="false">C470</f>
        <v>Robertinho</v>
      </c>
      <c r="H470" s="104" t="n">
        <f aca="false">IF(AND(E470=0,E471=0),25,20)</f>
        <v>20</v>
      </c>
      <c r="I470" s="105" t="str">
        <f aca="false">F470</f>
        <v>Rubens</v>
      </c>
      <c r="J470" s="94" t="n">
        <f aca="false">IF(E470="WO40",-40,MAX(4,SUM(E470:E471)))</f>
        <v>9</v>
      </c>
      <c r="K470" s="104" t="n">
        <f aca="false">IF(D470&gt;E470,1,0)+IF(D471&gt;E471,1,0)+IF(D472&gt;E472,1,0)</f>
        <v>2</v>
      </c>
      <c r="L470" s="104" t="n">
        <f aca="false">IF(E470&gt;D470,1,0)+IF(E471&gt;D471,1,0)+IF(E472&gt;D472,1,0)</f>
        <v>0</v>
      </c>
      <c r="M470" s="97" t="str">
        <f aca="false">G470&amp;" d. "&amp;I470</f>
        <v>Robertinho d. Rubens</v>
      </c>
      <c r="N470" s="97" t="str">
        <f aca="false">G470&amp;" x "&amp;I470</f>
        <v>Robertinho x Rubens</v>
      </c>
      <c r="O470" s="97" t="str">
        <f aca="false">I470&amp;" x "&amp;G470</f>
        <v>Rubens x Robertinho</v>
      </c>
      <c r="P470" s="94" t="n">
        <f aca="false">MONTH(B470)</f>
        <v>9</v>
      </c>
      <c r="Q470" s="94" t="n">
        <f aca="false">QUOTIENT(B470-2,7)-6129</f>
        <v>-94740</v>
      </c>
    </row>
    <row r="471" customFormat="false" ht="12.75" hidden="false" customHeight="false" outlineLevel="0" collapsed="false">
      <c r="A471" s="94"/>
      <c r="B471" s="39"/>
      <c r="C471" s="40"/>
      <c r="D471" s="98" t="n">
        <v>7</v>
      </c>
      <c r="E471" s="98" t="n">
        <v>5</v>
      </c>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t="n">
        <v>44465</v>
      </c>
      <c r="C473" s="40" t="s">
        <v>13</v>
      </c>
      <c r="D473" s="96" t="n">
        <v>6</v>
      </c>
      <c r="E473" s="96" t="n">
        <v>3</v>
      </c>
      <c r="F473" s="40" t="s">
        <v>32</v>
      </c>
      <c r="G473" s="105" t="str">
        <f aca="false">C473</f>
        <v>Elias</v>
      </c>
      <c r="H473" s="104" t="n">
        <f aca="false">IF(AND(E473=0,E474=0),25,20)</f>
        <v>20</v>
      </c>
      <c r="I473" s="105" t="str">
        <f aca="false">F473</f>
        <v>Paulo</v>
      </c>
      <c r="J473" s="94" t="n">
        <f aca="false">IF(E473="WO40",-40,MAX(4,SUM(E473:E474)))</f>
        <v>4</v>
      </c>
      <c r="K473" s="104" t="n">
        <f aca="false">IF(D473&gt;E473,1,0)+IF(D474&gt;E474,1,0)+IF(D475&gt;E475,1,0)</f>
        <v>1</v>
      </c>
      <c r="L473" s="104" t="n">
        <f aca="false">IF(E473&gt;D473,1,0)+IF(E474&gt;D474,1,0)+IF(E475&gt;D475,1,0)</f>
        <v>0</v>
      </c>
      <c r="M473" s="97" t="str">
        <f aca="false">G473&amp;" d. "&amp;I473</f>
        <v>Elias d. Paulo</v>
      </c>
      <c r="N473" s="97" t="str">
        <f aca="false">G473&amp;" x "&amp;I473</f>
        <v>Elias x Paulo</v>
      </c>
      <c r="O473" s="97" t="str">
        <f aca="false">I473&amp;" x "&amp;G473</f>
        <v>Paulo x Elias</v>
      </c>
      <c r="P473" s="94" t="n">
        <f aca="false">MONTH(B473)</f>
        <v>9</v>
      </c>
      <c r="Q473" s="94" t="n">
        <f aca="false">QUOTIENT(B473-2,7)-6129</f>
        <v>222</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8" hidden="false" customHeight="false" outlineLevel="0" collapsed="false">
      <c r="A476" s="104" t="n">
        <f aca="false">A473+1</f>
        <v>159</v>
      </c>
      <c r="B476" s="95" t="n">
        <v>44465</v>
      </c>
      <c r="C476" s="40" t="s">
        <v>23</v>
      </c>
      <c r="D476" s="96" t="n">
        <v>6</v>
      </c>
      <c r="E476" s="96" t="n">
        <v>3</v>
      </c>
      <c r="F476" s="40" t="s">
        <v>46</v>
      </c>
      <c r="G476" s="105" t="str">
        <f aca="false">C476</f>
        <v>Ivan</v>
      </c>
      <c r="H476" s="104" t="n">
        <f aca="false">IF(AND(E476=0,E477=0),25,20)</f>
        <v>20</v>
      </c>
      <c r="I476" s="105" t="str">
        <f aca="false">F476</f>
        <v>Andre Bruni</v>
      </c>
      <c r="J476" s="94" t="n">
        <f aca="false">IF(E476="WO40",-40,MAX(4,SUM(E476:E477)))</f>
        <v>9</v>
      </c>
      <c r="K476" s="104" t="n">
        <f aca="false">IF(D476&gt;E476,1,0)+IF(D477&gt;E477,1,0)+IF(D478&gt;E478,1,0)</f>
        <v>2</v>
      </c>
      <c r="L476" s="104" t="n">
        <f aca="false">IF(E476&gt;D476,1,0)+IF(E477&gt;D477,1,0)+IF(E478&gt;D478,1,0)</f>
        <v>1</v>
      </c>
      <c r="M476" s="97" t="str">
        <f aca="false">G476&amp;" d. "&amp;I476</f>
        <v>Ivan d. Andre Bruni</v>
      </c>
      <c r="N476" s="97" t="str">
        <f aca="false">G476&amp;" x "&amp;I476</f>
        <v>Ivan x Andre Bruni</v>
      </c>
      <c r="O476" s="97" t="str">
        <f aca="false">I476&amp;" x "&amp;G476</f>
        <v>Andre Bruni x Ivan</v>
      </c>
      <c r="P476" s="94" t="n">
        <f aca="false">MONTH(B476)</f>
        <v>9</v>
      </c>
      <c r="Q476" s="94" t="n">
        <f aca="false">QUOTIENT(B476-2,7)-6129</f>
        <v>222</v>
      </c>
    </row>
    <row r="477" customFormat="false" ht="12.8" hidden="false" customHeight="false" outlineLevel="0" collapsed="false">
      <c r="A477" s="94"/>
      <c r="B477" s="39"/>
      <c r="C477" s="40"/>
      <c r="D477" s="98" t="n">
        <v>2</v>
      </c>
      <c r="E477" s="98" t="n">
        <v>6</v>
      </c>
      <c r="F477" s="40"/>
      <c r="G477" s="97"/>
      <c r="H477" s="94"/>
      <c r="I477" s="97"/>
      <c r="J477" s="94"/>
      <c r="K477" s="94"/>
      <c r="L477" s="94"/>
      <c r="M477" s="97" t="n">
        <v>0</v>
      </c>
      <c r="N477" s="97" t="n">
        <v>0</v>
      </c>
      <c r="O477" s="97" t="n">
        <v>0</v>
      </c>
      <c r="P477" s="94"/>
      <c r="Q477" s="94"/>
    </row>
    <row r="478" customFormat="false" ht="12.8" hidden="false" customHeight="false" outlineLevel="0" collapsed="false">
      <c r="A478" s="99"/>
      <c r="B478" s="100"/>
      <c r="C478" s="101"/>
      <c r="D478" s="102" t="n">
        <v>10</v>
      </c>
      <c r="E478" s="102" t="n">
        <v>1</v>
      </c>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t="n">
        <v>44466</v>
      </c>
      <c r="C479" s="40" t="s">
        <v>27</v>
      </c>
      <c r="D479" s="96" t="n">
        <v>6</v>
      </c>
      <c r="E479" s="96" t="n">
        <v>2</v>
      </c>
      <c r="F479" s="40" t="s">
        <v>12</v>
      </c>
      <c r="G479" s="105" t="str">
        <f aca="false">C479</f>
        <v>Magritto</v>
      </c>
      <c r="H479" s="104" t="n">
        <f aca="false">IF(AND(E479=0,E480=0),25,20)</f>
        <v>20</v>
      </c>
      <c r="I479" s="105" t="str">
        <f aca="false">F479</f>
        <v>Duclerc</v>
      </c>
      <c r="J479" s="94" t="n">
        <f aca="false">IF(E479="WO40",-40,MAX(4,SUM(E479:E480)))</f>
        <v>5</v>
      </c>
      <c r="K479" s="104" t="n">
        <f aca="false">IF(D479&gt;E479,1,0)+IF(D480&gt;E480,1,0)+IF(D481&gt;E481,1,0)</f>
        <v>2</v>
      </c>
      <c r="L479" s="104" t="n">
        <f aca="false">IF(E479&gt;D479,1,0)+IF(E480&gt;D480,1,0)+IF(E481&gt;D481,1,0)</f>
        <v>0</v>
      </c>
      <c r="M479" s="97" t="str">
        <f aca="false">G479&amp;" d. "&amp;I479</f>
        <v>Magritto d. Duclerc</v>
      </c>
      <c r="N479" s="97" t="str">
        <f aca="false">G479&amp;" x "&amp;I479</f>
        <v>Magritto x Duclerc</v>
      </c>
      <c r="O479" s="97" t="str">
        <f aca="false">I479&amp;" x "&amp;G479</f>
        <v>Duclerc x Magritto</v>
      </c>
      <c r="P479" s="94" t="n">
        <f aca="false">MONTH(B479)</f>
        <v>9</v>
      </c>
      <c r="Q479" s="94" t="n">
        <f aca="false">QUOTIENT(B479-2,7)-6129</f>
        <v>223</v>
      </c>
    </row>
    <row r="480" customFormat="false" ht="12.75" hidden="false" customHeight="false" outlineLevel="0" collapsed="false">
      <c r="A480" s="94"/>
      <c r="B480" s="39"/>
      <c r="C480" s="40"/>
      <c r="D480" s="98" t="n">
        <v>6</v>
      </c>
      <c r="E480" s="98" t="n">
        <v>3</v>
      </c>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t="n">
        <v>44468</v>
      </c>
      <c r="C482" s="40" t="s">
        <v>7</v>
      </c>
      <c r="D482" s="96" t="n">
        <v>6</v>
      </c>
      <c r="E482" s="96" t="n">
        <v>1</v>
      </c>
      <c r="F482" s="40" t="s">
        <v>24</v>
      </c>
      <c r="G482" s="105" t="str">
        <f aca="false">C482</f>
        <v>Carlos Coimbra</v>
      </c>
      <c r="H482" s="104" t="n">
        <f aca="false">IF(AND(E482=0,E483=0),25,20)</f>
        <v>20</v>
      </c>
      <c r="I482" s="105" t="str">
        <f aca="false">F482</f>
        <v>Juan</v>
      </c>
      <c r="J482" s="94" t="n">
        <f aca="false">IF(E482="WO40",-40,MAX(4,SUM(E482:E483)))</f>
        <v>4</v>
      </c>
      <c r="K482" s="104" t="n">
        <f aca="false">IF(D482&gt;E482,1,0)+IF(D483&gt;E483,1,0)+IF(D484&gt;E484,1,0)</f>
        <v>2</v>
      </c>
      <c r="L482" s="104" t="n">
        <f aca="false">IF(E482&gt;D482,1,0)+IF(E483&gt;D483,1,0)+IF(E484&gt;D484,1,0)</f>
        <v>0</v>
      </c>
      <c r="M482" s="97" t="str">
        <f aca="false">G482&amp;" d. "&amp;I482</f>
        <v>Carlos Coimbra d. Juan</v>
      </c>
      <c r="N482" s="97" t="str">
        <f aca="false">G482&amp;" x "&amp;I482</f>
        <v>Carlos Coimbra x Juan</v>
      </c>
      <c r="O482" s="97" t="str">
        <f aca="false">I482&amp;" x "&amp;G482</f>
        <v>Juan x Carlos Coimbra</v>
      </c>
      <c r="P482" s="94" t="n">
        <f aca="false">MONTH(B482)</f>
        <v>9</v>
      </c>
      <c r="Q482" s="94" t="n">
        <f aca="false">QUOTIENT(B482-2,7)-6129</f>
        <v>223</v>
      </c>
    </row>
    <row r="483" customFormat="false" ht="12.75" hidden="false" customHeight="false" outlineLevel="0" collapsed="false">
      <c r="A483" s="94"/>
      <c r="B483" s="39"/>
      <c r="C483" s="40"/>
      <c r="D483" s="98" t="n">
        <v>6</v>
      </c>
      <c r="E483" s="98" t="n">
        <v>0</v>
      </c>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t="n">
        <v>44468</v>
      </c>
      <c r="C485" s="40" t="s">
        <v>37</v>
      </c>
      <c r="D485" s="96" t="n">
        <v>4</v>
      </c>
      <c r="E485" s="96" t="n">
        <v>6</v>
      </c>
      <c r="F485" s="40" t="s">
        <v>36</v>
      </c>
      <c r="G485" s="105" t="str">
        <f aca="false">C485</f>
        <v>Pitch</v>
      </c>
      <c r="H485" s="104" t="n">
        <f aca="false">IF(AND(E485=0,E486=0),25,20)</f>
        <v>20</v>
      </c>
      <c r="I485" s="105" t="str">
        <f aca="false">F485</f>
        <v>Pinga</v>
      </c>
      <c r="J485" s="94" t="n">
        <f aca="false">IF(E485="WO40",-40,MAX(4,SUM(E485:E486)))</f>
        <v>6</v>
      </c>
      <c r="K485" s="104" t="n">
        <f aca="false">IF(D485&gt;E485,1,0)+IF(D486&gt;E486,1,0)+IF(D487&gt;E487,1,0)</f>
        <v>2</v>
      </c>
      <c r="L485" s="104" t="n">
        <f aca="false">IF(E485&gt;D485,1,0)+IF(E486&gt;D486,1,0)+IF(E487&gt;D487,1,0)</f>
        <v>1</v>
      </c>
      <c r="M485" s="97" t="str">
        <f aca="false">G485&amp;" d. "&amp;I485</f>
        <v>Pitch d. Pinga</v>
      </c>
      <c r="N485" s="97" t="str">
        <f aca="false">G485&amp;" x "&amp;I485</f>
        <v>Pitch x Pinga</v>
      </c>
      <c r="O485" s="97" t="str">
        <f aca="false">I485&amp;" x "&amp;G485</f>
        <v>Pinga x Pitch</v>
      </c>
      <c r="P485" s="94" t="n">
        <f aca="false">MONTH(B485)</f>
        <v>9</v>
      </c>
      <c r="Q485" s="94" t="n">
        <f aca="false">QUOTIENT(B485-2,7)-6129</f>
        <v>223</v>
      </c>
    </row>
    <row r="486" customFormat="false" ht="12.75" hidden="false" customHeight="false" outlineLevel="0" collapsed="false">
      <c r="A486" s="94"/>
      <c r="B486" s="39"/>
      <c r="C486" s="40"/>
      <c r="D486" s="98" t="n">
        <v>6</v>
      </c>
      <c r="E486" s="98" t="n">
        <v>0</v>
      </c>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t="n">
        <v>10</v>
      </c>
      <c r="E487" s="102" t="n">
        <v>1</v>
      </c>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t="n">
        <v>44469</v>
      </c>
      <c r="C488" s="40" t="s">
        <v>27</v>
      </c>
      <c r="D488" s="96" t="n">
        <v>6</v>
      </c>
      <c r="E488" s="96" t="n">
        <v>1</v>
      </c>
      <c r="F488" s="40" t="s">
        <v>13</v>
      </c>
      <c r="G488" s="105" t="str">
        <f aca="false">C488</f>
        <v>Magritto</v>
      </c>
      <c r="H488" s="104" t="n">
        <f aca="false">IF(AND(E488=0,E489=0),25,20)</f>
        <v>20</v>
      </c>
      <c r="I488" s="105" t="str">
        <f aca="false">F488</f>
        <v>Elias</v>
      </c>
      <c r="J488" s="94" t="n">
        <f aca="false">IF(E488="WO40",-40,MAX(4,SUM(E488:E489)))</f>
        <v>4</v>
      </c>
      <c r="K488" s="104" t="n">
        <f aca="false">IF(D488&gt;E488,1,0)+IF(D489&gt;E489,1,0)+IF(D490&gt;E490,1,0)</f>
        <v>2</v>
      </c>
      <c r="L488" s="104" t="n">
        <f aca="false">IF(E488&gt;D488,1,0)+IF(E489&gt;D489,1,0)+IF(E490&gt;D490,1,0)</f>
        <v>0</v>
      </c>
      <c r="M488" s="97" t="str">
        <f aca="false">G488&amp;" d. "&amp;I488</f>
        <v>Magritto d. Elias</v>
      </c>
      <c r="N488" s="97" t="str">
        <f aca="false">G488&amp;" x "&amp;I488</f>
        <v>Magritto x Elias</v>
      </c>
      <c r="O488" s="97" t="str">
        <f aca="false">I488&amp;" x "&amp;G488</f>
        <v>Elias x Magritto</v>
      </c>
      <c r="P488" s="94" t="n">
        <f aca="false">MONTH(B488)</f>
        <v>9</v>
      </c>
      <c r="Q488" s="94" t="n">
        <f aca="false">QUOTIENT(B488-2,7)-6129</f>
        <v>223</v>
      </c>
    </row>
    <row r="489" customFormat="false" ht="12.75" hidden="false" customHeight="false" outlineLevel="0" collapsed="false">
      <c r="A489" s="94"/>
      <c r="B489" s="39"/>
      <c r="C489" s="40"/>
      <c r="D489" s="98" t="n">
        <v>6</v>
      </c>
      <c r="E489" s="98" t="n">
        <v>1</v>
      </c>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t="n">
        <v>44470</v>
      </c>
      <c r="C491" s="40" t="s">
        <v>27</v>
      </c>
      <c r="D491" s="96" t="n">
        <v>6</v>
      </c>
      <c r="E491" s="96" t="n">
        <v>3</v>
      </c>
      <c r="F491" s="40" t="s">
        <v>18</v>
      </c>
      <c r="G491" s="105" t="str">
        <f aca="false">C491</f>
        <v>Magritto</v>
      </c>
      <c r="H491" s="104" t="n">
        <f aca="false">IF(AND(E491=0,E492=0),25,20)</f>
        <v>20</v>
      </c>
      <c r="I491" s="105" t="str">
        <f aca="false">F491</f>
        <v>Flavio</v>
      </c>
      <c r="J491" s="94" t="n">
        <f aca="false">IF(E491="WO40",-40,MAX(4,SUM(E491:E492)))</f>
        <v>5</v>
      </c>
      <c r="K491" s="104" t="n">
        <f aca="false">IF(D491&gt;E491,1,0)+IF(D492&gt;E492,1,0)+IF(D493&gt;E493,1,0)</f>
        <v>2</v>
      </c>
      <c r="L491" s="104" t="n">
        <f aca="false">IF(E491&gt;D491,1,0)+IF(E492&gt;D492,1,0)+IF(E493&gt;D493,1,0)</f>
        <v>0</v>
      </c>
      <c r="M491" s="97" t="str">
        <f aca="false">G491&amp;" d. "&amp;I491</f>
        <v>Magritto d. Flavio</v>
      </c>
      <c r="N491" s="97" t="str">
        <f aca="false">G491&amp;" x "&amp;I491</f>
        <v>Magritto x Flavio</v>
      </c>
      <c r="O491" s="97" t="str">
        <f aca="false">I491&amp;" x "&amp;G491</f>
        <v>Flavio x Magritto</v>
      </c>
      <c r="P491" s="94" t="n">
        <f aca="false">MONTH(B491)</f>
        <v>10</v>
      </c>
      <c r="Q491" s="94" t="n">
        <f aca="false">QUOTIENT(B491-2,7)-6129</f>
        <v>223</v>
      </c>
    </row>
    <row r="492" customFormat="false" ht="12.75" hidden="false" customHeight="false" outlineLevel="0" collapsed="false">
      <c r="A492" s="94"/>
      <c r="B492" s="39"/>
      <c r="C492" s="40"/>
      <c r="D492" s="98" t="n">
        <v>6</v>
      </c>
      <c r="E492" s="98" t="n">
        <v>2</v>
      </c>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24</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2021-10-01T19:14:22Z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