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.HSLB\Contenido\1_Conceptos\Xlsx\"/>
    </mc:Choice>
  </mc:AlternateContent>
  <xr:revisionPtr revIDLastSave="0" documentId="13_ncr:1_{42E7B1F8-60F8-4914-9282-73FE27476267}" xr6:coauthVersionLast="47" xr6:coauthVersionMax="47" xr10:uidLastSave="{00000000-0000-0000-0000-000000000000}"/>
  <bookViews>
    <workbookView xWindow="-120" yWindow="-120" windowWidth="29040" windowHeight="15720" xr2:uid="{FA95E0CD-CCCC-4A95-BA2E-85228A7718E6}"/>
  </bookViews>
  <sheets>
    <sheet name="C.Compuesto" sheetId="1" r:id="rId1"/>
    <sheet name="C.Irregul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2" l="1"/>
  <c r="D61" i="2"/>
  <c r="M43" i="2"/>
  <c r="M42" i="2"/>
  <c r="M41" i="2"/>
  <c r="M40" i="2"/>
  <c r="L44" i="2"/>
  <c r="L43" i="2"/>
  <c r="L42" i="2"/>
  <c r="L41" i="2"/>
  <c r="L40" i="2"/>
  <c r="L39" i="2"/>
  <c r="K45" i="2"/>
  <c r="K44" i="2"/>
  <c r="K43" i="2"/>
  <c r="K42" i="2"/>
  <c r="K41" i="2"/>
  <c r="K40" i="2"/>
  <c r="K39" i="2"/>
  <c r="K38" i="2"/>
  <c r="J46" i="2"/>
  <c r="J45" i="2"/>
  <c r="J44" i="2"/>
  <c r="J43" i="2"/>
  <c r="J42" i="2"/>
  <c r="J41" i="2"/>
  <c r="J40" i="2"/>
  <c r="J39" i="2"/>
  <c r="J38" i="2"/>
  <c r="J37" i="2"/>
  <c r="J36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E34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E32" i="2"/>
  <c r="E30" i="2"/>
  <c r="D41" i="2"/>
  <c r="E75" i="2"/>
  <c r="F83" i="2"/>
  <c r="F75" i="2"/>
  <c r="E83" i="2"/>
  <c r="D83" i="2"/>
  <c r="C83" i="2"/>
  <c r="C82" i="2"/>
  <c r="C81" i="2"/>
  <c r="C80" i="2"/>
  <c r="C79" i="2"/>
  <c r="C78" i="2"/>
  <c r="C77" i="2"/>
  <c r="C76" i="2"/>
  <c r="F50" i="2"/>
  <c r="F49" i="2"/>
  <c r="F48" i="2"/>
  <c r="F47" i="2"/>
  <c r="F44" i="2"/>
  <c r="F43" i="2"/>
  <c r="F42" i="2"/>
  <c r="F41" i="2"/>
  <c r="F38" i="2"/>
  <c r="F37" i="2"/>
  <c r="F34" i="2"/>
  <c r="F33" i="2"/>
  <c r="F32" i="2"/>
  <c r="F31" i="2"/>
  <c r="F30" i="2"/>
  <c r="C58" i="2"/>
  <c r="D49" i="2"/>
  <c r="C48" i="2"/>
  <c r="D48" i="2" s="1"/>
  <c r="D46" i="2"/>
  <c r="C45" i="2"/>
  <c r="D45" i="2" s="1"/>
  <c r="C39" i="2"/>
  <c r="D39" i="2" s="1"/>
  <c r="D38" i="2"/>
  <c r="D30" i="2"/>
  <c r="D31" i="2"/>
  <c r="D32" i="2"/>
  <c r="D33" i="2"/>
  <c r="D34" i="2"/>
  <c r="D36" i="2"/>
  <c r="C35" i="2"/>
  <c r="D35" i="2" s="1"/>
  <c r="D50" i="2"/>
  <c r="D47" i="2"/>
  <c r="D44" i="2"/>
  <c r="D43" i="2"/>
  <c r="D42" i="2"/>
  <c r="D40" i="2"/>
  <c r="D37" i="2"/>
  <c r="D29" i="2"/>
  <c r="F70" i="1"/>
  <c r="F69" i="1"/>
  <c r="F68" i="1"/>
  <c r="F67" i="1"/>
  <c r="F66" i="1"/>
  <c r="F65" i="1"/>
  <c r="F64" i="1"/>
  <c r="F63" i="1"/>
  <c r="F62" i="1"/>
  <c r="F61" i="1"/>
  <c r="F60" i="1"/>
  <c r="E70" i="1"/>
  <c r="E69" i="1"/>
  <c r="E68" i="1"/>
  <c r="E67" i="1"/>
  <c r="E66" i="1"/>
  <c r="E65" i="1"/>
  <c r="E64" i="1"/>
  <c r="E63" i="1"/>
  <c r="E62" i="1"/>
  <c r="E61" i="1"/>
  <c r="E60" i="1"/>
  <c r="D64" i="1"/>
  <c r="D61" i="1"/>
  <c r="D62" i="1"/>
  <c r="D63" i="1"/>
  <c r="D65" i="1"/>
  <c r="D66" i="1"/>
  <c r="D67" i="1"/>
  <c r="D68" i="1"/>
  <c r="D69" i="1"/>
  <c r="D70" i="1"/>
  <c r="D60" i="1"/>
  <c r="C70" i="1"/>
  <c r="C69" i="1"/>
  <c r="C68" i="1"/>
  <c r="C67" i="1"/>
  <c r="C65" i="1"/>
  <c r="C64" i="1"/>
  <c r="C63" i="1"/>
  <c r="C62" i="1"/>
  <c r="C61" i="1"/>
  <c r="C60" i="1"/>
  <c r="C66" i="1"/>
  <c r="B70" i="1"/>
  <c r="B69" i="1"/>
  <c r="B68" i="1"/>
  <c r="B67" i="1"/>
  <c r="B66" i="1"/>
  <c r="B65" i="1"/>
  <c r="B64" i="1"/>
  <c r="B63" i="1"/>
  <c r="B62" i="1"/>
  <c r="B61" i="1"/>
  <c r="B60" i="1"/>
  <c r="B46" i="1"/>
  <c r="C46" i="1" s="1"/>
  <c r="C45" i="1"/>
  <c r="D45" i="1"/>
  <c r="D30" i="1"/>
  <c r="C30" i="1"/>
  <c r="B31" i="1"/>
  <c r="D31" i="1" s="1"/>
  <c r="C25" i="1"/>
  <c r="C22" i="1"/>
  <c r="C19" i="1"/>
  <c r="C20" i="1" s="1"/>
  <c r="C23" i="1" s="1"/>
  <c r="C24" i="1" s="1"/>
  <c r="C18" i="1"/>
  <c r="C13" i="1"/>
  <c r="B25" i="1" s="1"/>
  <c r="C12" i="1"/>
  <c r="B19" i="1"/>
  <c r="F40" i="2" l="1"/>
  <c r="D59" i="2" s="1"/>
  <c r="F35" i="2"/>
  <c r="F36" i="2"/>
  <c r="F45" i="2"/>
  <c r="F46" i="2"/>
  <c r="F39" i="2"/>
  <c r="E37" i="2"/>
  <c r="E45" i="2"/>
  <c r="E39" i="2"/>
  <c r="E43" i="2"/>
  <c r="E40" i="2"/>
  <c r="E46" i="2"/>
  <c r="E48" i="2"/>
  <c r="E49" i="2"/>
  <c r="E42" i="2"/>
  <c r="E33" i="2"/>
  <c r="E41" i="2"/>
  <c r="E35" i="2"/>
  <c r="E36" i="2"/>
  <c r="E50" i="2"/>
  <c r="E44" i="2"/>
  <c r="E47" i="2"/>
  <c r="E38" i="2"/>
  <c r="E31" i="2"/>
  <c r="B47" i="1"/>
  <c r="D46" i="1"/>
  <c r="E46" i="1" s="1"/>
  <c r="E45" i="1"/>
  <c r="B20" i="1"/>
  <c r="B21" i="1" s="1"/>
  <c r="B22" i="1" s="1"/>
  <c r="B23" i="1" s="1"/>
  <c r="B24" i="1" s="1"/>
  <c r="E30" i="1"/>
  <c r="F45" i="1" s="1"/>
  <c r="B32" i="1"/>
  <c r="C31" i="1"/>
  <c r="E31" i="1" s="1"/>
  <c r="D63" i="2" l="1"/>
  <c r="D64" i="2"/>
  <c r="D62" i="2"/>
  <c r="D60" i="2"/>
  <c r="F51" i="2"/>
  <c r="D66" i="2" s="1"/>
  <c r="K51" i="2"/>
  <c r="C61" i="2" s="1"/>
  <c r="M51" i="2"/>
  <c r="C59" i="2" s="1"/>
  <c r="L51" i="2"/>
  <c r="C60" i="2" s="1"/>
  <c r="I51" i="2"/>
  <c r="C63" i="2" s="1"/>
  <c r="J51" i="2"/>
  <c r="C62" i="2" s="1"/>
  <c r="H51" i="2"/>
  <c r="C64" i="2" s="1"/>
  <c r="E51" i="2"/>
  <c r="C66" i="2" s="1"/>
  <c r="G51" i="2"/>
  <c r="C65" i="2" s="1"/>
  <c r="F46" i="1"/>
  <c r="C47" i="1"/>
  <c r="B48" i="1"/>
  <c r="B49" i="1" s="1"/>
  <c r="B50" i="1" s="1"/>
  <c r="B51" i="1" s="1"/>
  <c r="B52" i="1" s="1"/>
  <c r="B53" i="1" s="1"/>
  <c r="B54" i="1" s="1"/>
  <c r="B55" i="1" s="1"/>
  <c r="D47" i="1"/>
  <c r="B33" i="1"/>
  <c r="C32" i="1"/>
  <c r="D32" i="1"/>
  <c r="E32" i="1" s="1"/>
  <c r="E63" i="2" l="1"/>
  <c r="F80" i="2" s="1"/>
  <c r="D80" i="2"/>
  <c r="E80" i="2" s="1"/>
  <c r="D77" i="2"/>
  <c r="E77" i="2" s="1"/>
  <c r="E64" i="2"/>
  <c r="F81" i="2" s="1"/>
  <c r="D81" i="2"/>
  <c r="E81" i="2" s="1"/>
  <c r="E59" i="2"/>
  <c r="F76" i="2" s="1"/>
  <c r="D76" i="2"/>
  <c r="E76" i="2" s="1"/>
  <c r="E61" i="2"/>
  <c r="F78" i="2" s="1"/>
  <c r="D78" i="2"/>
  <c r="E78" i="2" s="1"/>
  <c r="E62" i="2"/>
  <c r="F79" i="2" s="1"/>
  <c r="D79" i="2"/>
  <c r="E79" i="2" s="1"/>
  <c r="E65" i="2"/>
  <c r="F82" i="2" s="1"/>
  <c r="D82" i="2"/>
  <c r="E82" i="2" s="1"/>
  <c r="E66" i="2"/>
  <c r="E60" i="2"/>
  <c r="F77" i="2" s="1"/>
  <c r="C48" i="1"/>
  <c r="E48" i="1" s="1"/>
  <c r="D48" i="1"/>
  <c r="E47" i="1"/>
  <c r="F47" i="1"/>
  <c r="D49" i="1"/>
  <c r="C49" i="1"/>
  <c r="B34" i="1"/>
  <c r="D33" i="1"/>
  <c r="C33" i="1"/>
  <c r="E49" i="1" l="1"/>
  <c r="C50" i="1"/>
  <c r="D50" i="1"/>
  <c r="E33" i="1"/>
  <c r="F48" i="1" s="1"/>
  <c r="B35" i="1"/>
  <c r="C34" i="1"/>
  <c r="D34" i="1"/>
  <c r="E34" i="1" s="1"/>
  <c r="F49" i="1" l="1"/>
  <c r="E50" i="1"/>
  <c r="C51" i="1"/>
  <c r="D51" i="1"/>
  <c r="B36" i="1"/>
  <c r="B37" i="1" s="1"/>
  <c r="C35" i="1"/>
  <c r="D35" i="1"/>
  <c r="C52" i="1" l="1"/>
  <c r="D52" i="1"/>
  <c r="E51" i="1"/>
  <c r="E35" i="1"/>
  <c r="F50" i="1" s="1"/>
  <c r="D36" i="1"/>
  <c r="C36" i="1"/>
  <c r="C53" i="1" l="1"/>
  <c r="D53" i="1"/>
  <c r="E52" i="1"/>
  <c r="E36" i="1"/>
  <c r="F51" i="1" s="1"/>
  <c r="B38" i="1"/>
  <c r="D37" i="1"/>
  <c r="C37" i="1"/>
  <c r="D54" i="1" l="1"/>
  <c r="C54" i="1"/>
  <c r="E53" i="1"/>
  <c r="E37" i="1"/>
  <c r="F52" i="1" s="1"/>
  <c r="B39" i="1"/>
  <c r="D38" i="1"/>
  <c r="C38" i="1"/>
  <c r="E54" i="1" l="1"/>
  <c r="D55" i="1"/>
  <c r="C55" i="1"/>
  <c r="E38" i="1"/>
  <c r="F53" i="1" s="1"/>
  <c r="B40" i="1"/>
  <c r="D39" i="1"/>
  <c r="C39" i="1"/>
  <c r="E55" i="1" l="1"/>
  <c r="E39" i="1"/>
  <c r="F54" i="1" s="1"/>
  <c r="D40" i="1"/>
  <c r="C40" i="1"/>
  <c r="E40" i="1" l="1"/>
  <c r="F55" i="1" s="1"/>
</calcChain>
</file>

<file path=xl/sharedStrings.xml><?xml version="1.0" encoding="utf-8"?>
<sst xmlns="http://schemas.openxmlformats.org/spreadsheetml/2006/main" count="59" uniqueCount="42">
  <si>
    <t>b</t>
  </si>
  <si>
    <t>bv</t>
  </si>
  <si>
    <t>x (m)</t>
  </si>
  <si>
    <t>y (m)</t>
  </si>
  <si>
    <r>
      <t>y</t>
    </r>
    <r>
      <rPr>
        <vertAlign val="subscript"/>
        <sz val="10"/>
        <color theme="1"/>
        <rFont val="Segoe UI Light"/>
        <family val="2"/>
      </rPr>
      <t>m</t>
    </r>
  </si>
  <si>
    <r>
      <t>y</t>
    </r>
    <r>
      <rPr>
        <vertAlign val="subscript"/>
        <sz val="10"/>
        <color theme="1"/>
        <rFont val="Segoe UI Light"/>
        <family val="2"/>
      </rPr>
      <t>i</t>
    </r>
  </si>
  <si>
    <r>
      <t>T</t>
    </r>
    <r>
      <rPr>
        <vertAlign val="subscript"/>
        <sz val="10"/>
        <color theme="1"/>
        <rFont val="Segoe UI Light"/>
        <family val="2"/>
      </rPr>
      <t>1</t>
    </r>
  </si>
  <si>
    <r>
      <t>T</t>
    </r>
    <r>
      <rPr>
        <vertAlign val="subscript"/>
        <sz val="10"/>
        <color theme="1"/>
        <rFont val="Segoe UI Light"/>
        <family val="2"/>
      </rPr>
      <t>2</t>
    </r>
  </si>
  <si>
    <t>1. Información inicial</t>
  </si>
  <si>
    <t>2. Geometría de la sección transversal</t>
  </si>
  <si>
    <r>
      <t>A</t>
    </r>
    <r>
      <rPr>
        <vertAlign val="subscript"/>
        <sz val="10"/>
        <color theme="1"/>
        <rFont val="Segoe UI Light"/>
        <family val="2"/>
      </rPr>
      <t>c.ppal</t>
    </r>
  </si>
  <si>
    <r>
      <t>A</t>
    </r>
    <r>
      <rPr>
        <vertAlign val="subscript"/>
        <sz val="10"/>
        <color theme="1"/>
        <rFont val="Segoe UI Light"/>
        <family val="2"/>
      </rPr>
      <t>valle</t>
    </r>
  </si>
  <si>
    <r>
      <t>A</t>
    </r>
    <r>
      <rPr>
        <vertAlign val="subscript"/>
        <sz val="10"/>
        <color theme="1"/>
        <rFont val="Segoe UI Light"/>
        <family val="2"/>
      </rPr>
      <t>total</t>
    </r>
  </si>
  <si>
    <r>
      <t>P</t>
    </r>
    <r>
      <rPr>
        <vertAlign val="subscript"/>
        <sz val="10"/>
        <color theme="1"/>
        <rFont val="Segoe UI Light"/>
        <family val="2"/>
      </rPr>
      <t>m1</t>
    </r>
    <r>
      <rPr>
        <sz val="10"/>
        <color theme="1"/>
        <rFont val="Segoe UI Light"/>
        <family val="2"/>
      </rPr>
      <t xml:space="preserve"> (m)</t>
    </r>
  </si>
  <si>
    <r>
      <t>P</t>
    </r>
    <r>
      <rPr>
        <vertAlign val="subscript"/>
        <sz val="10"/>
        <color theme="1"/>
        <rFont val="Segoe UI Light"/>
        <family val="2"/>
      </rPr>
      <t>m2</t>
    </r>
    <r>
      <rPr>
        <sz val="10"/>
        <color theme="1"/>
        <rFont val="Segoe UI Light"/>
        <family val="2"/>
      </rPr>
      <t xml:space="preserve"> (m)</t>
    </r>
  </si>
  <si>
    <r>
      <t>P</t>
    </r>
    <r>
      <rPr>
        <vertAlign val="subscript"/>
        <sz val="10"/>
        <color theme="1"/>
        <rFont val="Segoe UI Light"/>
        <family val="2"/>
      </rPr>
      <t>m.total</t>
    </r>
    <r>
      <rPr>
        <sz val="10"/>
        <color theme="1"/>
        <rFont val="Segoe UI Light"/>
        <family val="2"/>
      </rPr>
      <t xml:space="preserve"> (m)</t>
    </r>
  </si>
  <si>
    <r>
      <t>R</t>
    </r>
    <r>
      <rPr>
        <vertAlign val="subscript"/>
        <sz val="10"/>
        <color theme="1"/>
        <rFont val="Segoe UI Light"/>
        <family val="2"/>
      </rPr>
      <t>h</t>
    </r>
    <r>
      <rPr>
        <sz val="10"/>
        <color theme="1"/>
        <rFont val="Segoe UI Light"/>
        <family val="2"/>
      </rPr>
      <t xml:space="preserve"> (m)</t>
    </r>
  </si>
  <si>
    <t>Ejemplo - Características Geométricas de un Canal con Sección Compuesta</t>
  </si>
  <si>
    <t>3. Estimación del área hidráulica</t>
  </si>
  <si>
    <t>4. Estimación del radio hidráulico</t>
  </si>
  <si>
    <r>
      <t>4. Estimación de los factores de sección 'Z</t>
    </r>
    <r>
      <rPr>
        <vertAlign val="subscript"/>
        <sz val="10"/>
        <color theme="1"/>
        <rFont val="Segoe UI"/>
        <family val="2"/>
      </rPr>
      <t>c</t>
    </r>
    <r>
      <rPr>
        <sz val="10"/>
        <color theme="1"/>
        <rFont val="Segoe UI"/>
        <family val="2"/>
      </rPr>
      <t>' y transoprte 'U</t>
    </r>
    <r>
      <rPr>
        <vertAlign val="subscript"/>
        <sz val="10"/>
        <color theme="1"/>
        <rFont val="Segoe UI"/>
        <family val="2"/>
      </rPr>
      <t>c</t>
    </r>
    <r>
      <rPr>
        <sz val="10"/>
        <color theme="1"/>
        <rFont val="Segoe UI"/>
        <family val="2"/>
      </rPr>
      <t>'</t>
    </r>
  </si>
  <si>
    <r>
      <t>Z</t>
    </r>
    <r>
      <rPr>
        <vertAlign val="subscript"/>
        <sz val="10"/>
        <color theme="1"/>
        <rFont val="Segoe UI Light"/>
        <family val="2"/>
      </rPr>
      <t>c</t>
    </r>
  </si>
  <si>
    <t>T (m)</t>
  </si>
  <si>
    <t>D (m)</t>
  </si>
  <si>
    <r>
      <t>U</t>
    </r>
    <r>
      <rPr>
        <vertAlign val="subscript"/>
        <sz val="10"/>
        <color theme="1"/>
        <rFont val="Segoe UI Light"/>
        <family val="2"/>
      </rPr>
      <t>c</t>
    </r>
  </si>
  <si>
    <t>Ejemplo - Características Geométricas de un Canal Irregular</t>
  </si>
  <si>
    <t>1. Información inicial - Geometría de la sección transversal (Batimetría)</t>
  </si>
  <si>
    <t>3. Estimación del perímetro mojado, área hidráulica y radio hidráulico.</t>
  </si>
  <si>
    <t>h (m)</t>
  </si>
  <si>
    <r>
      <t>A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</si>
  <si>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y=4.5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</si>
  <si>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y=4.0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</si>
  <si>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y=3.5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</si>
  <si>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y=3.0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</si>
  <si>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y=2.0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</si>
  <si>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y=1.5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</si>
  <si>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y=1.0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</si>
  <si>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L</t>
    </r>
    <r>
      <rPr>
        <vertAlign val="subscript"/>
        <sz val="10"/>
        <color theme="1"/>
        <rFont val="Segoe UI Light"/>
        <family val="2"/>
      </rPr>
      <t>i-j</t>
    </r>
    <r>
      <rPr>
        <sz val="10"/>
        <color theme="1"/>
        <rFont val="Segoe UI Light"/>
        <family val="2"/>
      </rPr>
      <t xml:space="preserve"> (m)</t>
    </r>
  </si>
  <si>
    <r>
      <t>P</t>
    </r>
    <r>
      <rPr>
        <vertAlign val="subscript"/>
        <sz val="10"/>
        <color theme="1"/>
        <rFont val="Segoe UI Light"/>
        <family val="2"/>
      </rPr>
      <t>m</t>
    </r>
    <r>
      <rPr>
        <sz val="10"/>
        <color theme="1"/>
        <rFont val="Segoe UI Light"/>
        <family val="2"/>
      </rPr>
      <t xml:space="preserve"> (m)</t>
    </r>
  </si>
  <si>
    <t>juanrodace</t>
  </si>
  <si>
    <r>
      <t>z</t>
    </r>
    <r>
      <rPr>
        <vertAlign val="subscript"/>
        <sz val="10"/>
        <color theme="1"/>
        <rFont val="Segoe UI Light"/>
        <family val="2"/>
      </rPr>
      <t>1</t>
    </r>
  </si>
  <si>
    <r>
      <t>z</t>
    </r>
    <r>
      <rPr>
        <vertAlign val="subscript"/>
        <sz val="10"/>
        <color theme="1"/>
        <rFont val="Segoe UI Light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</si>
</sst>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&quot;m&quot;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Segoe UI Light"/>
      <family val="2"/>
    </font>
    <font>
      <vertAlign val="subscript"/>
      <sz val="10"/>
      <color theme="1"/>
      <name val="Segoe UI Light"/>
      <family val="2"/>
    </font>
    <font>
      <sz val="12"/>
      <color theme="1"/>
      <name val="Segoe UI"/>
      <family val="2"/>
    </font>
    <font>
      <vertAlign val="subscript"/>
      <sz val="10"/>
      <color theme="1"/>
      <name val="Segoe UI"/>
      <family val="2"/>
    </font>
    <font>
      <vertAlign val="superscript"/>
      <sz val="10"/>
      <color theme="1"/>
      <name val="Segoe UI Light"/>
      <family val="2"/>
    </font>
    <font>
      <u/>
      <sz val="11"/>
      <color theme="10"/>
      <name val="Calibri"/>
      <family val="2"/>
      <scheme val="minor"/>
    </font>
    <font>
      <i/>
      <u/>
      <sz val="9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2" fillId="0" borderId="0" xfId="0" applyFont="1"/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2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610326807762083"/>
          <c:y val="0.18638922092176563"/>
          <c:w val="0.80637119562981607"/>
          <c:h val="0.62485118107702597"/>
        </c:manualLayout>
      </c:layout>
      <c:scatterChart>
        <c:scatterStyle val="lineMarker"/>
        <c:varyColors val="0"/>
        <c:ser>
          <c:idx val="0"/>
          <c:order val="0"/>
          <c:tx>
            <c:v>Sección Transversal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'C.Compuesto'!$B$18:$B$25</c:f>
              <c:numCache>
                <c:formatCode>0.0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</c:numCache>
            </c:numRef>
          </c:xVal>
          <c:yVal>
            <c:numRef>
              <c:f>'C.Compuesto'!$C$18:$C$25</c:f>
              <c:numCache>
                <c:formatCode>0.0</c:formatCode>
                <c:ptCount val="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8-400C-9AE1-E1048195C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5390117444086"/>
          <c:y val="0.18638922092176563"/>
          <c:w val="0.73708455229657166"/>
          <c:h val="0.6131843429669066"/>
        </c:manualLayout>
      </c:layout>
      <c:scatterChart>
        <c:scatterStyle val="smoothMarker"/>
        <c:varyColors val="0"/>
        <c:ser>
          <c:idx val="0"/>
          <c:order val="0"/>
          <c:tx>
            <c:v>Área del canal compuesto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'C.Compuesto'!$E$30:$E$40</c:f>
              <c:numCache>
                <c:formatCode>0.0</c:formatCode>
                <c:ptCount val="11"/>
                <c:pt idx="0">
                  <c:v>0</c:v>
                </c:pt>
                <c:pt idx="1">
                  <c:v>5.25</c:v>
                </c:pt>
                <c:pt idx="2">
                  <c:v>11</c:v>
                </c:pt>
                <c:pt idx="3">
                  <c:v>17.25</c:v>
                </c:pt>
                <c:pt idx="4">
                  <c:v>24</c:v>
                </c:pt>
                <c:pt idx="5">
                  <c:v>31.25</c:v>
                </c:pt>
                <c:pt idx="6">
                  <c:v>39</c:v>
                </c:pt>
                <c:pt idx="7">
                  <c:v>49.125</c:v>
                </c:pt>
                <c:pt idx="8">
                  <c:v>59.5</c:v>
                </c:pt>
                <c:pt idx="9">
                  <c:v>70.125</c:v>
                </c:pt>
                <c:pt idx="10">
                  <c:v>81</c:v>
                </c:pt>
              </c:numCache>
            </c:numRef>
          </c:xVal>
          <c:yVal>
            <c:numRef>
              <c:f>'C.Compuesto'!$B$30:$B$40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A-42D6-B6E5-51423F57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Área de flujo,</a:t>
                </a:r>
                <a:r>
                  <a:rPr lang="es-CO" sz="900" baseline="0"/>
                  <a:t> A(m</a:t>
                </a:r>
                <a:r>
                  <a:rPr lang="es-CO" sz="900" baseline="30000"/>
                  <a:t>2</a:t>
                </a:r>
                <a:r>
                  <a:rPr lang="es-CO" sz="900" baseline="0"/>
                  <a:t>)</a:t>
                </a:r>
                <a:endParaRPr lang="es-CO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Profundidad, 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5390117444086"/>
          <c:y val="0.18638922092176563"/>
          <c:w val="0.73708455229657166"/>
          <c:h val="0.6131843429669066"/>
        </c:manualLayout>
      </c:layout>
      <c:scatterChart>
        <c:scatterStyle val="smoothMarker"/>
        <c:varyColors val="0"/>
        <c:ser>
          <c:idx val="0"/>
          <c:order val="0"/>
          <c:tx>
            <c:v>Radio hidráulico del canal compuesto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'C.Compuesto'!$F$45:$F$55</c:f>
              <c:numCache>
                <c:formatCode>0.0</c:formatCode>
                <c:ptCount val="11"/>
                <c:pt idx="0">
                  <c:v>0</c:v>
                </c:pt>
                <c:pt idx="1">
                  <c:v>0.44749209546663293</c:v>
                </c:pt>
                <c:pt idx="2">
                  <c:v>0.85747066986730336</c:v>
                </c:pt>
                <c:pt idx="3">
                  <c:v>1.2434239679755537</c:v>
                </c:pt>
                <c:pt idx="4">
                  <c:v>1.6108485835053612</c:v>
                </c:pt>
                <c:pt idx="5">
                  <c:v>1.9634231812021077</c:v>
                </c:pt>
                <c:pt idx="6">
                  <c:v>2.3038475772933684</c:v>
                </c:pt>
                <c:pt idx="7">
                  <c:v>2.1678927305032607</c:v>
                </c:pt>
                <c:pt idx="8">
                  <c:v>2.5045639516558307</c:v>
                </c:pt>
                <c:pt idx="9">
                  <c:v>2.8274856843540785</c:v>
                </c:pt>
                <c:pt idx="10">
                  <c:v>3.1362305711461227</c:v>
                </c:pt>
              </c:numCache>
            </c:numRef>
          </c:xVal>
          <c:yVal>
            <c:numRef>
              <c:f>'C.Compuesto'!$B$30:$B$40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83-4AEC-89BC-C04158BB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Radio hidráulico (A/P),</a:t>
                </a:r>
                <a:r>
                  <a:rPr lang="es-CO" sz="900" baseline="0"/>
                  <a:t> R(m)</a:t>
                </a:r>
                <a:endParaRPr lang="es-CO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Profundidad, 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 sz="1200"/>
              <a:t>Factores de sección y transporte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5390117444086"/>
          <c:y val="0.18638922092176563"/>
          <c:w val="0.73708455229657166"/>
          <c:h val="0.6131843429669066"/>
        </c:manualLayout>
      </c:layout>
      <c:scatterChart>
        <c:scatterStyle val="smoothMarker"/>
        <c:varyColors val="0"/>
        <c:ser>
          <c:idx val="1"/>
          <c:order val="0"/>
          <c:tx>
            <c:v>Factor de sección, Zc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'C.Compuesto'!$E$60:$E$70</c:f>
              <c:numCache>
                <c:formatCode>0.0</c:formatCode>
                <c:ptCount val="11"/>
                <c:pt idx="0">
                  <c:v>0</c:v>
                </c:pt>
                <c:pt idx="1">
                  <c:v>3.6269587184657266</c:v>
                </c:pt>
                <c:pt idx="2">
                  <c:v>10.531698185319719</c:v>
                </c:pt>
                <c:pt idx="3">
                  <c:v>19.870645386522376</c:v>
                </c:pt>
                <c:pt idx="4">
                  <c:v>31.4233761939829</c:v>
                </c:pt>
                <c:pt idx="5">
                  <c:v>45.10548978043952</c:v>
                </c:pt>
                <c:pt idx="6">
                  <c:v>60.888730484384382</c:v>
                </c:pt>
                <c:pt idx="7">
                  <c:v>76.046094438969916</c:v>
                </c:pt>
                <c:pt idx="8">
                  <c:v>100.15342397209061</c:v>
                </c:pt>
                <c:pt idx="9">
                  <c:v>126.6455928782924</c:v>
                </c:pt>
                <c:pt idx="10">
                  <c:v>155.42332222324001</c:v>
                </c:pt>
              </c:numCache>
            </c:numRef>
          </c:xVal>
          <c:yVal>
            <c:numRef>
              <c:f>'C.Compuesto'!$B$60:$B$70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24-4D7C-A612-BF8A34BBE45A}"/>
            </c:ext>
          </c:extLst>
        </c:ser>
        <c:ser>
          <c:idx val="2"/>
          <c:order val="1"/>
          <c:tx>
            <c:v>Foctor de transporte, 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'C.Compuesto'!$F$60:$F$70</c:f>
              <c:numCache>
                <c:formatCode>0.0</c:formatCode>
                <c:ptCount val="11"/>
                <c:pt idx="0">
                  <c:v>0</c:v>
                </c:pt>
                <c:pt idx="1">
                  <c:v>3.0714931347702152</c:v>
                </c:pt>
                <c:pt idx="2">
                  <c:v>9.9282384905052279</c:v>
                </c:pt>
                <c:pt idx="3">
                  <c:v>19.946586701235528</c:v>
                </c:pt>
                <c:pt idx="4">
                  <c:v>32.979777505983876</c:v>
                </c:pt>
                <c:pt idx="5">
                  <c:v>48.999610875468527</c:v>
                </c:pt>
                <c:pt idx="6">
                  <c:v>68.029994449461284</c:v>
                </c:pt>
                <c:pt idx="7">
                  <c:v>82.286341943042601</c:v>
                </c:pt>
                <c:pt idx="8">
                  <c:v>109.73328554920076</c:v>
                </c:pt>
                <c:pt idx="9">
                  <c:v>140.21887685039661</c:v>
                </c:pt>
                <c:pt idx="10">
                  <c:v>173.54962308391583</c:v>
                </c:pt>
              </c:numCache>
            </c:numRef>
          </c:xVal>
          <c:yVal>
            <c:numRef>
              <c:f>'C.Compuesto'!$B$60:$B$70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24-4D7C-A612-BF8A34BB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Parámetro Geométrico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Profundidad, 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005769080845095"/>
          <c:y val="0.583850370346784"/>
          <c:w val="0.30773483314585681"/>
          <c:h val="0.16987020386210211"/>
        </c:manualLayout>
      </c:layout>
      <c:overlay val="0"/>
      <c:spPr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Sección Transversal - Batimetría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610326807762083"/>
          <c:y val="0.14007645882588904"/>
          <c:w val="0.80637119562981607"/>
          <c:h val="0.7792275713686616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'C.Irregular'!$B$7:$B$24</c:f>
              <c:numCache>
                <c:formatCode>0.0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25</c:v>
                </c:pt>
                <c:pt idx="17">
                  <c:v>28</c:v>
                </c:pt>
              </c:numCache>
            </c:numRef>
          </c:xVal>
          <c:yVal>
            <c:numRef>
              <c:f>'C.Irregular'!$C$7:$C$24</c:f>
              <c:numCache>
                <c:formatCode>0.0</c:formatCode>
                <c:ptCount val="18"/>
                <c:pt idx="0">
                  <c:v>5.2</c:v>
                </c:pt>
                <c:pt idx="1">
                  <c:v>4.5</c:v>
                </c:pt>
                <c:pt idx="2">
                  <c:v>4.2</c:v>
                </c:pt>
                <c:pt idx="3">
                  <c:v>4.3</c:v>
                </c:pt>
                <c:pt idx="4">
                  <c:v>4</c:v>
                </c:pt>
                <c:pt idx="5">
                  <c:v>3.5</c:v>
                </c:pt>
                <c:pt idx="6">
                  <c:v>2</c:v>
                </c:pt>
                <c:pt idx="7">
                  <c:v>2.1</c:v>
                </c:pt>
                <c:pt idx="8">
                  <c:v>1.5</c:v>
                </c:pt>
                <c:pt idx="9">
                  <c:v>0</c:v>
                </c:pt>
                <c:pt idx="10">
                  <c:v>0.2</c:v>
                </c:pt>
                <c:pt idx="11">
                  <c:v>0.6</c:v>
                </c:pt>
                <c:pt idx="12">
                  <c:v>1</c:v>
                </c:pt>
                <c:pt idx="13">
                  <c:v>1.5</c:v>
                </c:pt>
                <c:pt idx="14">
                  <c:v>3</c:v>
                </c:pt>
                <c:pt idx="15">
                  <c:v>3.5</c:v>
                </c:pt>
                <c:pt idx="16">
                  <c:v>4.5</c:v>
                </c:pt>
                <c:pt idx="17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A-47B3-9ACB-80130E672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Área</a:t>
            </a:r>
            <a:r>
              <a:rPr lang="es-CO" baseline="0"/>
              <a:t> de flujo y perimetro mojado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0409700225368178E-2"/>
          <c:y val="0.17079904813495578"/>
          <c:w val="0.86468946392593249"/>
          <c:h val="0.66436804103362823"/>
        </c:manualLayout>
      </c:layout>
      <c:scatterChart>
        <c:scatterStyle val="smoothMarker"/>
        <c:varyColors val="0"/>
        <c:ser>
          <c:idx val="0"/>
          <c:order val="0"/>
          <c:tx>
            <c:v>Área de flujo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'C.Irregular'!$C$58:$C$66</c:f>
              <c:numCache>
                <c:formatCode>0.0</c:formatCode>
                <c:ptCount val="9"/>
                <c:pt idx="0">
                  <c:v>0</c:v>
                </c:pt>
                <c:pt idx="1">
                  <c:v>2.6499999999999995</c:v>
                </c:pt>
                <c:pt idx="2">
                  <c:v>5.2749999999999995</c:v>
                </c:pt>
                <c:pt idx="3">
                  <c:v>8.6416666666666657</c:v>
                </c:pt>
                <c:pt idx="4">
                  <c:v>18.591666666666669</c:v>
                </c:pt>
                <c:pt idx="5">
                  <c:v>24.925000000000001</c:v>
                </c:pt>
                <c:pt idx="6">
                  <c:v>32.800000000000004</c:v>
                </c:pt>
                <c:pt idx="7">
                  <c:v>43.375</c:v>
                </c:pt>
                <c:pt idx="8">
                  <c:v>61.574999999999996</c:v>
                </c:pt>
              </c:numCache>
            </c:numRef>
          </c:xVal>
          <c:yVal>
            <c:numRef>
              <c:f>'C.Irregular'!$B$58:$B$66</c:f>
              <c:numCache>
                <c:formatCode>0.0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E-4409-AC72-F128BB559F50}"/>
            </c:ext>
          </c:extLst>
        </c:ser>
        <c:ser>
          <c:idx val="1"/>
          <c:order val="1"/>
          <c:tx>
            <c:v>Perimetro mojado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'C.Irregular'!$D$58:$D$66</c:f>
              <c:numCache>
                <c:formatCode>0.0</c:formatCode>
                <c:ptCount val="9"/>
                <c:pt idx="0">
                  <c:v>0</c:v>
                </c:pt>
                <c:pt idx="1">
                  <c:v>5.0815540802690524</c:v>
                </c:pt>
                <c:pt idx="2">
                  <c:v>6.9066948502054943</c:v>
                </c:pt>
                <c:pt idx="3">
                  <c:v>8.9062185625078882</c:v>
                </c:pt>
                <c:pt idx="4">
                  <c:v>13.24453945795331</c:v>
                </c:pt>
                <c:pt idx="5">
                  <c:v>16.139425604095475</c:v>
                </c:pt>
                <c:pt idx="6">
                  <c:v>19.782117246988491</c:v>
                </c:pt>
                <c:pt idx="7">
                  <c:v>26.427236976412093</c:v>
                </c:pt>
                <c:pt idx="8">
                  <c:v>30.728476898135341</c:v>
                </c:pt>
              </c:numCache>
            </c:numRef>
          </c:xVal>
          <c:yVal>
            <c:numRef>
              <c:f>'C.Irregular'!$B$58:$B$66</c:f>
              <c:numCache>
                <c:formatCode>0.0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EE-4409-AC72-F128BB559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Área (m</a:t>
                </a:r>
                <a:r>
                  <a:rPr lang="es-CO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2</a:t>
                </a: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) y Perímetro mojado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Profundidad de flujo,</a:t>
                </a:r>
                <a:r>
                  <a:rPr lang="es-CO" baseline="0"/>
                  <a:t> y(m)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99583256792193"/>
          <c:y val="0.63785987058966331"/>
          <c:w val="0.27837133684156207"/>
          <c:h val="0.1653057565682248"/>
        </c:manualLayout>
      </c:layout>
      <c:overlay val="0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 sz="1400"/>
              <a:t>Factores de sección y transporte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605035080371854"/>
          <c:y val="0.18638922092176563"/>
          <c:w val="0.7864242625792186"/>
          <c:h val="0.6131843429669066"/>
        </c:manualLayout>
      </c:layout>
      <c:scatterChart>
        <c:scatterStyle val="smoothMarker"/>
        <c:varyColors val="0"/>
        <c:ser>
          <c:idx val="1"/>
          <c:order val="0"/>
          <c:tx>
            <c:v>Factor de Sección, Zc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'C.Irregular'!$E$75:$E$83</c:f>
              <c:numCache>
                <c:formatCode>0.0</c:formatCode>
                <c:ptCount val="9"/>
                <c:pt idx="0">
                  <c:v>0</c:v>
                </c:pt>
                <c:pt idx="1">
                  <c:v>2.0335860498691023</c:v>
                </c:pt>
                <c:pt idx="2">
                  <c:v>4.9460450846273787</c:v>
                </c:pt>
                <c:pt idx="3">
                  <c:v>8.6291937229515518</c:v>
                </c:pt>
                <c:pt idx="4">
                  <c:v>23.812152497550176</c:v>
                </c:pt>
                <c:pt idx="5">
                  <c:v>33.25743359775268</c:v>
                </c:pt>
                <c:pt idx="6">
                  <c:v>44.904693995807875</c:v>
                </c:pt>
                <c:pt idx="7">
                  <c:v>58.311419107300857</c:v>
                </c:pt>
                <c:pt idx="8">
                  <c:v>91.31194951616115</c:v>
                </c:pt>
              </c:numCache>
            </c:numRef>
          </c:xVal>
          <c:yVal>
            <c:numRef>
              <c:f>'C.Irregular'!$B$75:$B$83</c:f>
              <c:numCache>
                <c:formatCode>0.0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D4-48A9-BE11-E62DAB30841B}"/>
            </c:ext>
          </c:extLst>
        </c:ser>
        <c:ser>
          <c:idx val="2"/>
          <c:order val="1"/>
          <c:tx>
            <c:v>Factor de Forma, 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'C.Irregular'!$F$75:$F$83</c:f>
              <c:numCache>
                <c:formatCode>0.0</c:formatCode>
                <c:ptCount val="9"/>
                <c:pt idx="0">
                  <c:v>0</c:v>
                </c:pt>
                <c:pt idx="1">
                  <c:v>1.7169016656513085</c:v>
                </c:pt>
                <c:pt idx="2">
                  <c:v>4.4074824761892897</c:v>
                </c:pt>
                <c:pt idx="3">
                  <c:v>8.4696790099306671</c:v>
                </c:pt>
                <c:pt idx="4">
                  <c:v>23.308051341317224</c:v>
                </c:pt>
                <c:pt idx="5">
                  <c:v>33.301712114176155</c:v>
                </c:pt>
                <c:pt idx="6">
                  <c:v>45.948840696719017</c:v>
                </c:pt>
                <c:pt idx="7">
                  <c:v>60.352876445642622</c:v>
                </c:pt>
                <c:pt idx="8">
                  <c:v>97.869344139478585</c:v>
                </c:pt>
              </c:numCache>
            </c:numRef>
          </c:xVal>
          <c:yVal>
            <c:numRef>
              <c:f>'C.Irregular'!$B$75:$B$83</c:f>
              <c:numCache>
                <c:formatCode>0.0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D4-48A9-BE11-E62DAB308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Parámetro Geométrico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Profundidad, 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7844571813407"/>
          <c:y val="0.54787747533839903"/>
          <c:w val="0.31992235129024715"/>
          <c:h val="0.14966617749111946"/>
        </c:manualLayout>
      </c:layout>
      <c:overlay val="0"/>
      <c:spPr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Radio hidráulico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316743850880212"/>
          <c:y val="0.15371739480576513"/>
          <c:w val="0.8119316768775815"/>
          <c:h val="0.68144969436281899"/>
        </c:manualLayout>
      </c:layout>
      <c:scatterChart>
        <c:scatterStyle val="smoothMarker"/>
        <c:varyColors val="0"/>
        <c:ser>
          <c:idx val="2"/>
          <c:order val="0"/>
          <c:tx>
            <c:v>Radio hidráulico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'C.Irregular'!$E$58:$E$66</c:f>
              <c:numCache>
                <c:formatCode>0.0</c:formatCode>
                <c:ptCount val="9"/>
                <c:pt idx="1">
                  <c:v>0.52149400717579109</c:v>
                </c:pt>
                <c:pt idx="2">
                  <c:v>0.76375170966805528</c:v>
                </c:pt>
                <c:pt idx="3">
                  <c:v>0.97029582263398573</c:v>
                </c:pt>
                <c:pt idx="4">
                  <c:v>1.4037231513929631</c:v>
                </c:pt>
                <c:pt idx="5">
                  <c:v>1.5443548371185609</c:v>
                </c:pt>
                <c:pt idx="6">
                  <c:v>1.6580631683897877</c:v>
                </c:pt>
                <c:pt idx="7">
                  <c:v>1.6412990899773143</c:v>
                </c:pt>
                <c:pt idx="8">
                  <c:v>2.0038415898100199</c:v>
                </c:pt>
              </c:numCache>
            </c:numRef>
          </c:xVal>
          <c:yVal>
            <c:numRef>
              <c:f>'C.Irregular'!$B$58:$B$66</c:f>
              <c:numCache>
                <c:formatCode>0.0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F-4593-AD0E-51E602FEF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Radio hidráulico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Profundidad de flujo,</a:t>
                </a:r>
                <a:r>
                  <a:rPr lang="es-CO" baseline="0"/>
                  <a:t> y(m)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16</xdr:row>
      <xdr:rowOff>6803</xdr:rowOff>
    </xdr:from>
    <xdr:to>
      <xdr:col>8</xdr:col>
      <xdr:colOff>84666</xdr:colOff>
      <xdr:row>25</xdr:row>
      <xdr:rowOff>31749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FAC205-C40A-5039-E05D-59625839D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170089</xdr:colOff>
      <xdr:row>28</xdr:row>
      <xdr:rowOff>13606</xdr:rowOff>
    </xdr:from>
    <xdr:to>
      <xdr:col>9</xdr:col>
      <xdr:colOff>238125</xdr:colOff>
      <xdr:row>39</xdr:row>
      <xdr:rowOff>170088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63F9BB-6918-4F43-91F5-B5112F1EF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176892</xdr:colOff>
      <xdr:row>43</xdr:row>
      <xdr:rowOff>6803</xdr:rowOff>
    </xdr:from>
    <xdr:to>
      <xdr:col>10</xdr:col>
      <xdr:colOff>244928</xdr:colOff>
      <xdr:row>54</xdr:row>
      <xdr:rowOff>163285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BE1D68-E440-4001-B774-4646B3F18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63501</xdr:colOff>
      <xdr:row>2</xdr:row>
      <xdr:rowOff>158751</xdr:rowOff>
    </xdr:from>
    <xdr:to>
      <xdr:col>8</xdr:col>
      <xdr:colOff>111126</xdr:colOff>
      <xdr:row>13</xdr:row>
      <xdr:rowOff>170245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E38D7029-C368-D99C-31BF-19FEACBF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0751" y="563564"/>
          <a:ext cx="2730500" cy="2019681"/>
        </a:xfrm>
        <a:prstGeom prst="rect">
          <a:avLst/>
        </a:prstGeom>
      </xdr:spPr>
    </xdr:pic>
    <xdr:clientData/>
  </xdr:twoCellAnchor>
  <xdr:twoCellAnchor>
    <xdr:from>
      <xdr:col>6</xdr:col>
      <xdr:colOff>338667</xdr:colOff>
      <xdr:row>58</xdr:row>
      <xdr:rowOff>31750</xdr:rowOff>
    </xdr:from>
    <xdr:to>
      <xdr:col>10</xdr:col>
      <xdr:colOff>497417</xdr:colOff>
      <xdr:row>70</xdr:row>
      <xdr:rowOff>8316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514DF355-62E7-4F76-ACF5-AECB8F18D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195602</xdr:colOff>
      <xdr:row>0</xdr:row>
      <xdr:rowOff>72410</xdr:rowOff>
    </xdr:from>
    <xdr:to>
      <xdr:col>0</xdr:col>
      <xdr:colOff>845720</xdr:colOff>
      <xdr:row>3</xdr:row>
      <xdr:rowOff>158682</xdr:rowOff>
    </xdr:to>
    <xdr:pic>
      <xdr:nvPicPr>
        <xdr:cNvPr id="33" name="Gráfico 32">
          <a:extLst>
            <a:ext uri="{FF2B5EF4-FFF2-40B4-BE49-F238E27FC236}">
              <a16:creationId xmlns:a16="http://schemas.microsoft.com/office/drawing/2014/main" id="{BDE4E546-9FCC-44F6-96DF-F7D2A4324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95602" y="72410"/>
          <a:ext cx="650118" cy="6791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408275</xdr:colOff>
      <xdr:row>5</xdr:row>
      <xdr:rowOff>125557</xdr:rowOff>
    </xdr:from>
    <xdr:to>
      <xdr:col>10</xdr:col>
      <xdr:colOff>285132</xdr:colOff>
      <xdr:row>23</xdr:row>
      <xdr:rowOff>109681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205671-0614-46AF-A566-B507FD34A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52</xdr:row>
      <xdr:rowOff>175484</xdr:rowOff>
    </xdr:from>
    <xdr:to>
      <xdr:col>11</xdr:col>
      <xdr:colOff>623454</xdr:colOff>
      <xdr:row>69</xdr:row>
      <xdr:rowOff>40822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FD5825-91A6-447D-B3AC-E414F3E9D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417464</xdr:colOff>
      <xdr:row>72</xdr:row>
      <xdr:rowOff>143451</xdr:rowOff>
    </xdr:from>
    <xdr:to>
      <xdr:col>14</xdr:col>
      <xdr:colOff>232281</xdr:colOff>
      <xdr:row>92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6AD104-19D5-4A75-9C06-CCC425075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8658</xdr:colOff>
      <xdr:row>53</xdr:row>
      <xdr:rowOff>8659</xdr:rowOff>
    </xdr:from>
    <xdr:to>
      <xdr:col>17</xdr:col>
      <xdr:colOff>60614</xdr:colOff>
      <xdr:row>69</xdr:row>
      <xdr:rowOff>55838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1FF36C9-7C0F-40FB-82BB-3F002B508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201083</xdr:colOff>
      <xdr:row>0</xdr:row>
      <xdr:rowOff>84667</xdr:rowOff>
    </xdr:from>
    <xdr:to>
      <xdr:col>0</xdr:col>
      <xdr:colOff>851201</xdr:colOff>
      <xdr:row>3</xdr:row>
      <xdr:rowOff>166309</xdr:rowOff>
    </xdr:to>
    <xdr:pic>
      <xdr:nvPicPr>
        <xdr:cNvPr id="9" name="Gráfico 8">
          <a:extLst>
            <a:ext uri="{FF2B5EF4-FFF2-40B4-BE49-F238E27FC236}">
              <a16:creationId xmlns:a16="http://schemas.microsoft.com/office/drawing/2014/main" id="{69BA7A16-E98E-C424-BC68-F534A074E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1083" y="84667"/>
          <a:ext cx="650118" cy="663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juanrodace/J.HSL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uanrodace/J.HS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1A42-70FE-4B49-BC99-5CD246E7AF51}">
  <dimension ref="A2:F70"/>
  <sheetViews>
    <sheetView showGridLines="0" tabSelected="1" zoomScale="87" zoomScaleNormal="87" workbookViewId="0">
      <selection activeCell="A8" sqref="A8"/>
    </sheetView>
  </sheetViews>
  <sheetFormatPr baseColWidth="10" defaultRowHeight="14.25" x14ac:dyDescent="0.25"/>
  <cols>
    <col min="1" max="1" width="14.42578125" style="2" customWidth="1"/>
    <col min="2" max="6" width="8.7109375" style="2" customWidth="1"/>
    <col min="7" max="16384" width="11.42578125" style="2"/>
  </cols>
  <sheetData>
    <row r="2" spans="1:3" ht="17.25" x14ac:dyDescent="0.3">
      <c r="B2" s="7" t="s">
        <v>17</v>
      </c>
    </row>
    <row r="4" spans="1:3" x14ac:dyDescent="0.25">
      <c r="B4" s="6" t="s">
        <v>8</v>
      </c>
    </row>
    <row r="5" spans="1:3" x14ac:dyDescent="0.25">
      <c r="A5" s="11" t="s">
        <v>39</v>
      </c>
    </row>
    <row r="6" spans="1:3" x14ac:dyDescent="0.25">
      <c r="B6" s="12" t="s">
        <v>0</v>
      </c>
      <c r="C6" s="1">
        <v>10</v>
      </c>
    </row>
    <row r="7" spans="1:3" x14ac:dyDescent="0.25">
      <c r="B7" s="12" t="s">
        <v>1</v>
      </c>
      <c r="C7" s="1">
        <v>20</v>
      </c>
    </row>
    <row r="8" spans="1:3" x14ac:dyDescent="0.25">
      <c r="B8" s="12" t="s">
        <v>4</v>
      </c>
      <c r="C8" s="1">
        <v>3</v>
      </c>
    </row>
    <row r="9" spans="1:3" x14ac:dyDescent="0.25">
      <c r="B9" s="12" t="s">
        <v>40</v>
      </c>
      <c r="C9" s="3">
        <v>1</v>
      </c>
    </row>
    <row r="10" spans="1:3" x14ac:dyDescent="0.25">
      <c r="B10" s="12" t="s">
        <v>41</v>
      </c>
      <c r="C10" s="3">
        <v>0.5</v>
      </c>
    </row>
    <row r="11" spans="1:3" x14ac:dyDescent="0.25">
      <c r="B11" s="12" t="s">
        <v>5</v>
      </c>
      <c r="C11" s="1">
        <v>5</v>
      </c>
    </row>
    <row r="12" spans="1:3" x14ac:dyDescent="0.25">
      <c r="B12" s="12" t="s">
        <v>6</v>
      </c>
      <c r="C12" s="1">
        <f>+C6+(2*C8*C9)</f>
        <v>16</v>
      </c>
    </row>
    <row r="13" spans="1:3" x14ac:dyDescent="0.25">
      <c r="B13" s="12" t="s">
        <v>7</v>
      </c>
      <c r="C13" s="1">
        <f>+C7+(2*(C11-C8)*C10)</f>
        <v>22</v>
      </c>
    </row>
    <row r="15" spans="1:3" x14ac:dyDescent="0.25">
      <c r="B15" s="6" t="s">
        <v>9</v>
      </c>
    </row>
    <row r="17" spans="2:5" x14ac:dyDescent="0.25">
      <c r="B17" s="4" t="s">
        <v>2</v>
      </c>
      <c r="C17" s="4" t="s">
        <v>3</v>
      </c>
    </row>
    <row r="18" spans="2:5" x14ac:dyDescent="0.25">
      <c r="B18" s="3">
        <v>0</v>
      </c>
      <c r="C18" s="3">
        <f>+C11</f>
        <v>5</v>
      </c>
    </row>
    <row r="19" spans="2:5" x14ac:dyDescent="0.25">
      <c r="B19" s="3">
        <f>+C10*(C11-C8)</f>
        <v>1</v>
      </c>
      <c r="C19" s="3">
        <f>+C8</f>
        <v>3</v>
      </c>
    </row>
    <row r="20" spans="2:5" x14ac:dyDescent="0.25">
      <c r="B20" s="3">
        <f>+B19+0.5*(C7-C12)</f>
        <v>3</v>
      </c>
      <c r="C20" s="3">
        <f>+C19</f>
        <v>3</v>
      </c>
    </row>
    <row r="21" spans="2:5" x14ac:dyDescent="0.25">
      <c r="B21" s="3">
        <f>+B20+(C8*C9)</f>
        <v>6</v>
      </c>
      <c r="C21" s="3">
        <v>0</v>
      </c>
    </row>
    <row r="22" spans="2:5" x14ac:dyDescent="0.25">
      <c r="B22" s="3">
        <f>+B21+C6</f>
        <v>16</v>
      </c>
      <c r="C22" s="3">
        <f>+C21</f>
        <v>0</v>
      </c>
    </row>
    <row r="23" spans="2:5" x14ac:dyDescent="0.25">
      <c r="B23" s="3">
        <f>+B22+C8*C9</f>
        <v>19</v>
      </c>
      <c r="C23" s="3">
        <f>+C20</f>
        <v>3</v>
      </c>
    </row>
    <row r="24" spans="2:5" x14ac:dyDescent="0.25">
      <c r="B24" s="3">
        <f>+B23+0.5*(C7-C12)</f>
        <v>21</v>
      </c>
      <c r="C24" s="3">
        <f>+C23</f>
        <v>3</v>
      </c>
    </row>
    <row r="25" spans="2:5" x14ac:dyDescent="0.25">
      <c r="B25" s="3">
        <f>+C13</f>
        <v>22</v>
      </c>
      <c r="C25" s="3">
        <f>+C11</f>
        <v>5</v>
      </c>
    </row>
    <row r="27" spans="2:5" x14ac:dyDescent="0.25">
      <c r="B27" s="6" t="s">
        <v>18</v>
      </c>
    </row>
    <row r="29" spans="2:5" x14ac:dyDescent="0.25">
      <c r="B29" s="4" t="s">
        <v>3</v>
      </c>
      <c r="C29" s="4" t="s">
        <v>10</v>
      </c>
      <c r="D29" s="4" t="s">
        <v>11</v>
      </c>
      <c r="E29" s="4" t="s">
        <v>12</v>
      </c>
    </row>
    <row r="30" spans="2:5" x14ac:dyDescent="0.25">
      <c r="B30" s="3">
        <v>0</v>
      </c>
      <c r="C30" s="3">
        <f>IF(B30&lt;$C$8,$C$6*B30+(B30^2*$C$9),$C$6*$C$8+($C$8^2*$C$9))</f>
        <v>0</v>
      </c>
      <c r="D30" s="3">
        <f>IF(B30&gt;$C$8,$C$7*(B30-$C$8)+((B30-$C$8)^2*$C$10),0)</f>
        <v>0</v>
      </c>
      <c r="E30" s="3">
        <f>+D30+C30</f>
        <v>0</v>
      </c>
    </row>
    <row r="31" spans="2:5" x14ac:dyDescent="0.25">
      <c r="B31" s="3">
        <f>+C11/10</f>
        <v>0.5</v>
      </c>
      <c r="C31" s="3">
        <f t="shared" ref="C31:C40" si="0">IF(B31&lt;$C$8,$C$6*B31+(B31^2*$C$9),$C$6*$C$8+($C$8^2*$C$9))</f>
        <v>5.25</v>
      </c>
      <c r="D31" s="3">
        <f t="shared" ref="D31:D40" si="1">IF(B31&gt;$C$8,$C$7*(B31-$C$8)+((B31-$C$8)^2*$C$10),0)</f>
        <v>0</v>
      </c>
      <c r="E31" s="3">
        <f t="shared" ref="E31:E40" si="2">+D31+C31</f>
        <v>5.25</v>
      </c>
    </row>
    <row r="32" spans="2:5" x14ac:dyDescent="0.25">
      <c r="B32" s="3">
        <f>+B31+($C$11/10)</f>
        <v>1</v>
      </c>
      <c r="C32" s="3">
        <f t="shared" si="0"/>
        <v>11</v>
      </c>
      <c r="D32" s="3">
        <f t="shared" si="1"/>
        <v>0</v>
      </c>
      <c r="E32" s="3">
        <f t="shared" si="2"/>
        <v>11</v>
      </c>
    </row>
    <row r="33" spans="2:6" x14ac:dyDescent="0.25">
      <c r="B33" s="3">
        <f t="shared" ref="B33:B40" si="3">+B32+($C$11/10)</f>
        <v>1.5</v>
      </c>
      <c r="C33" s="3">
        <f t="shared" si="0"/>
        <v>17.25</v>
      </c>
      <c r="D33" s="3">
        <f t="shared" si="1"/>
        <v>0</v>
      </c>
      <c r="E33" s="3">
        <f t="shared" si="2"/>
        <v>17.25</v>
      </c>
    </row>
    <row r="34" spans="2:6" x14ac:dyDescent="0.25">
      <c r="B34" s="3">
        <f t="shared" si="3"/>
        <v>2</v>
      </c>
      <c r="C34" s="3">
        <f t="shared" si="0"/>
        <v>24</v>
      </c>
      <c r="D34" s="3">
        <f t="shared" si="1"/>
        <v>0</v>
      </c>
      <c r="E34" s="3">
        <f t="shared" si="2"/>
        <v>24</v>
      </c>
    </row>
    <row r="35" spans="2:6" x14ac:dyDescent="0.25">
      <c r="B35" s="3">
        <f t="shared" si="3"/>
        <v>2.5</v>
      </c>
      <c r="C35" s="3">
        <f t="shared" si="0"/>
        <v>31.25</v>
      </c>
      <c r="D35" s="3">
        <f t="shared" si="1"/>
        <v>0</v>
      </c>
      <c r="E35" s="3">
        <f t="shared" si="2"/>
        <v>31.25</v>
      </c>
    </row>
    <row r="36" spans="2:6" x14ac:dyDescent="0.25">
      <c r="B36" s="3">
        <f t="shared" si="3"/>
        <v>3</v>
      </c>
      <c r="C36" s="3">
        <f t="shared" si="0"/>
        <v>39</v>
      </c>
      <c r="D36" s="3">
        <f t="shared" si="1"/>
        <v>0</v>
      </c>
      <c r="E36" s="3">
        <f t="shared" si="2"/>
        <v>39</v>
      </c>
    </row>
    <row r="37" spans="2:6" x14ac:dyDescent="0.25">
      <c r="B37" s="3">
        <f t="shared" si="3"/>
        <v>3.5</v>
      </c>
      <c r="C37" s="3">
        <f t="shared" si="0"/>
        <v>39</v>
      </c>
      <c r="D37" s="3">
        <f t="shared" si="1"/>
        <v>10.125</v>
      </c>
      <c r="E37" s="3">
        <f t="shared" si="2"/>
        <v>49.125</v>
      </c>
    </row>
    <row r="38" spans="2:6" x14ac:dyDescent="0.25">
      <c r="B38" s="5">
        <f t="shared" si="3"/>
        <v>4</v>
      </c>
      <c r="C38" s="3">
        <f t="shared" si="0"/>
        <v>39</v>
      </c>
      <c r="D38" s="3">
        <f t="shared" si="1"/>
        <v>20.5</v>
      </c>
      <c r="E38" s="3">
        <f t="shared" si="2"/>
        <v>59.5</v>
      </c>
    </row>
    <row r="39" spans="2:6" x14ac:dyDescent="0.25">
      <c r="B39" s="5">
        <f t="shared" si="3"/>
        <v>4.5</v>
      </c>
      <c r="C39" s="3">
        <f t="shared" si="0"/>
        <v>39</v>
      </c>
      <c r="D39" s="3">
        <f t="shared" si="1"/>
        <v>31.125</v>
      </c>
      <c r="E39" s="3">
        <f t="shared" si="2"/>
        <v>70.125</v>
      </c>
    </row>
    <row r="40" spans="2:6" x14ac:dyDescent="0.25">
      <c r="B40" s="5">
        <f t="shared" si="3"/>
        <v>5</v>
      </c>
      <c r="C40" s="3">
        <f t="shared" si="0"/>
        <v>39</v>
      </c>
      <c r="D40" s="3">
        <f t="shared" si="1"/>
        <v>42</v>
      </c>
      <c r="E40" s="3">
        <f t="shared" si="2"/>
        <v>81</v>
      </c>
    </row>
    <row r="42" spans="2:6" x14ac:dyDescent="0.25">
      <c r="B42" s="6" t="s">
        <v>19</v>
      </c>
    </row>
    <row r="44" spans="2:6" x14ac:dyDescent="0.25">
      <c r="B44" s="4" t="s">
        <v>3</v>
      </c>
      <c r="C44" s="4" t="s">
        <v>13</v>
      </c>
      <c r="D44" s="4" t="s">
        <v>14</v>
      </c>
      <c r="E44" s="4" t="s">
        <v>15</v>
      </c>
      <c r="F44" s="4" t="s">
        <v>16</v>
      </c>
    </row>
    <row r="45" spans="2:6" x14ac:dyDescent="0.25">
      <c r="B45" s="3">
        <v>0</v>
      </c>
      <c r="C45" s="3">
        <f>IF(B45&lt;$C$8,$C$6+2*SQRT(B45^2+(B45*$C$9)),$C$6+2*SQRT($C$8^2+($C$8*$C$9)))</f>
        <v>10</v>
      </c>
      <c r="D45" s="3">
        <f t="shared" ref="D45:D52" si="4">IF(B45&gt;$C$8,($C$7-$C$12)+2*SQRT((B45-$C$8)^2+((B45-$C$8)*$C$9)),0)</f>
        <v>0</v>
      </c>
      <c r="E45" s="3">
        <f>+C45+D45</f>
        <v>10</v>
      </c>
      <c r="F45" s="3">
        <f>+E30/E45</f>
        <v>0</v>
      </c>
    </row>
    <row r="46" spans="2:6" x14ac:dyDescent="0.25">
      <c r="B46" s="3">
        <f>+C11/10</f>
        <v>0.5</v>
      </c>
      <c r="C46" s="3">
        <f t="shared" ref="C46:C55" si="5">IF(B46&lt;$C$8,$C$6+2*SQRT(B46^2+(B46*$C$9)),$C$6+2*SQRT($C$8^2+($C$8*$C$9)))</f>
        <v>11.732050807568877</v>
      </c>
      <c r="D46" s="3">
        <f t="shared" si="4"/>
        <v>0</v>
      </c>
      <c r="E46" s="3">
        <f t="shared" ref="E46:E55" si="6">+C46+D46</f>
        <v>11.732050807568877</v>
      </c>
      <c r="F46" s="3">
        <f t="shared" ref="F46:F55" si="7">+E31/E46</f>
        <v>0.44749209546663293</v>
      </c>
    </row>
    <row r="47" spans="2:6" x14ac:dyDescent="0.25">
      <c r="B47" s="3">
        <f>+B46+($C$11/10)</f>
        <v>1</v>
      </c>
      <c r="C47" s="3">
        <f t="shared" si="5"/>
        <v>12.82842712474619</v>
      </c>
      <c r="D47" s="3">
        <f t="shared" si="4"/>
        <v>0</v>
      </c>
      <c r="E47" s="3">
        <f t="shared" si="6"/>
        <v>12.82842712474619</v>
      </c>
      <c r="F47" s="3">
        <f t="shared" si="7"/>
        <v>0.85747066986730336</v>
      </c>
    </row>
    <row r="48" spans="2:6" x14ac:dyDescent="0.25">
      <c r="B48" s="3">
        <f t="shared" ref="B48:B55" si="8">+B47+($C$11/10)</f>
        <v>1.5</v>
      </c>
      <c r="C48" s="3">
        <f t="shared" si="5"/>
        <v>13.872983346207416</v>
      </c>
      <c r="D48" s="3">
        <f t="shared" si="4"/>
        <v>0</v>
      </c>
      <c r="E48" s="3">
        <f t="shared" si="6"/>
        <v>13.872983346207416</v>
      </c>
      <c r="F48" s="3">
        <f t="shared" si="7"/>
        <v>1.2434239679755537</v>
      </c>
    </row>
    <row r="49" spans="2:6" x14ac:dyDescent="0.25">
      <c r="B49" s="3">
        <f t="shared" si="8"/>
        <v>2</v>
      </c>
      <c r="C49" s="3">
        <f t="shared" si="5"/>
        <v>14.898979485566356</v>
      </c>
      <c r="D49" s="3">
        <f t="shared" si="4"/>
        <v>0</v>
      </c>
      <c r="E49" s="3">
        <f t="shared" si="6"/>
        <v>14.898979485566356</v>
      </c>
      <c r="F49" s="3">
        <f>+E34/E49</f>
        <v>1.6108485835053612</v>
      </c>
    </row>
    <row r="50" spans="2:6" x14ac:dyDescent="0.25">
      <c r="B50" s="3">
        <f t="shared" si="8"/>
        <v>2.5</v>
      </c>
      <c r="C50" s="3">
        <f t="shared" si="5"/>
        <v>15.916079783099615</v>
      </c>
      <c r="D50" s="3">
        <f t="shared" si="4"/>
        <v>0</v>
      </c>
      <c r="E50" s="3">
        <f t="shared" si="6"/>
        <v>15.916079783099615</v>
      </c>
      <c r="F50" s="3">
        <f t="shared" si="7"/>
        <v>1.9634231812021077</v>
      </c>
    </row>
    <row r="51" spans="2:6" x14ac:dyDescent="0.25">
      <c r="B51" s="3">
        <f t="shared" si="8"/>
        <v>3</v>
      </c>
      <c r="C51" s="3">
        <f t="shared" si="5"/>
        <v>16.928203230275507</v>
      </c>
      <c r="D51" s="3">
        <f t="shared" si="4"/>
        <v>0</v>
      </c>
      <c r="E51" s="3">
        <f t="shared" si="6"/>
        <v>16.928203230275507</v>
      </c>
      <c r="F51" s="3">
        <f t="shared" si="7"/>
        <v>2.3038475772933684</v>
      </c>
    </row>
    <row r="52" spans="2:6" x14ac:dyDescent="0.25">
      <c r="B52" s="3">
        <f t="shared" si="8"/>
        <v>3.5</v>
      </c>
      <c r="C52" s="3">
        <f t="shared" si="5"/>
        <v>16.928203230275507</v>
      </c>
      <c r="D52" s="3">
        <f t="shared" si="4"/>
        <v>5.7320508075688767</v>
      </c>
      <c r="E52" s="3">
        <f t="shared" si="6"/>
        <v>22.660254037844382</v>
      </c>
      <c r="F52" s="3">
        <f t="shared" si="7"/>
        <v>2.1678927305032607</v>
      </c>
    </row>
    <row r="53" spans="2:6" x14ac:dyDescent="0.25">
      <c r="B53" s="3">
        <f t="shared" si="8"/>
        <v>4</v>
      </c>
      <c r="C53" s="3">
        <f t="shared" si="5"/>
        <v>16.928203230275507</v>
      </c>
      <c r="D53" s="3">
        <f>IF(B53&gt;$C$8,($C$7-$C$12)+2*SQRT((B53-$C$8)^2+((B53-$C$8)*$C$9)),0)</f>
        <v>6.8284271247461898</v>
      </c>
      <c r="E53" s="3">
        <f t="shared" si="6"/>
        <v>23.756630355021699</v>
      </c>
      <c r="F53" s="3">
        <f t="shared" si="7"/>
        <v>2.5045639516558307</v>
      </c>
    </row>
    <row r="54" spans="2:6" x14ac:dyDescent="0.25">
      <c r="B54" s="3">
        <f t="shared" si="8"/>
        <v>4.5</v>
      </c>
      <c r="C54" s="3">
        <f t="shared" si="5"/>
        <v>16.928203230275507</v>
      </c>
      <c r="D54" s="3">
        <f t="shared" ref="D54:D55" si="9">IF(B54&gt;$C$8,($C$7-$C$12)+2*SQRT((B54-$C$8)^2+((B54-$C$8)*$C$9)),0)</f>
        <v>7.872983346207417</v>
      </c>
      <c r="E54" s="3">
        <f t="shared" si="6"/>
        <v>24.801186576482923</v>
      </c>
      <c r="F54" s="3">
        <f t="shared" si="7"/>
        <v>2.8274856843540785</v>
      </c>
    </row>
    <row r="55" spans="2:6" x14ac:dyDescent="0.25">
      <c r="B55" s="3">
        <f t="shared" si="8"/>
        <v>5</v>
      </c>
      <c r="C55" s="3">
        <f t="shared" si="5"/>
        <v>16.928203230275507</v>
      </c>
      <c r="D55" s="3">
        <f t="shared" si="9"/>
        <v>8.8989794855663558</v>
      </c>
      <c r="E55" s="3">
        <f t="shared" si="6"/>
        <v>25.827182715841865</v>
      </c>
      <c r="F55" s="3">
        <f t="shared" si="7"/>
        <v>3.1362305711461227</v>
      </c>
    </row>
    <row r="57" spans="2:6" x14ac:dyDescent="0.25">
      <c r="B57" s="6" t="s">
        <v>20</v>
      </c>
    </row>
    <row r="59" spans="2:6" x14ac:dyDescent="0.25">
      <c r="B59" s="4" t="s">
        <v>3</v>
      </c>
      <c r="C59" s="4" t="s">
        <v>22</v>
      </c>
      <c r="D59" s="4" t="s">
        <v>23</v>
      </c>
      <c r="E59" s="4" t="s">
        <v>21</v>
      </c>
      <c r="F59" s="4" t="s">
        <v>24</v>
      </c>
    </row>
    <row r="60" spans="2:6" x14ac:dyDescent="0.25">
      <c r="B60" s="3">
        <f>+B45</f>
        <v>0</v>
      </c>
      <c r="C60" s="3">
        <f t="shared" ref="C60:C65" si="10">IF(B60&lt;=$C$8,$C$6+(2*B60*$C$9),$C$7+(2*(B60-$C$8)*$C$10))</f>
        <v>10</v>
      </c>
      <c r="D60" s="3">
        <f>+E30/C60</f>
        <v>0</v>
      </c>
      <c r="E60" s="3">
        <f>+E30*SQRT(D60)</f>
        <v>0</v>
      </c>
      <c r="F60" s="3">
        <f>+E30*(F45^(0.666666666666667))</f>
        <v>0</v>
      </c>
    </row>
    <row r="61" spans="2:6" x14ac:dyDescent="0.25">
      <c r="B61" s="3">
        <f t="shared" ref="B61:B70" si="11">+B46</f>
        <v>0.5</v>
      </c>
      <c r="C61" s="3">
        <f t="shared" si="10"/>
        <v>11</v>
      </c>
      <c r="D61" s="3">
        <f t="shared" ref="D61:D70" si="12">+E31/C61</f>
        <v>0.47727272727272729</v>
      </c>
      <c r="E61" s="3">
        <f t="shared" ref="E61:E70" si="13">+E31*SQRT(D61)</f>
        <v>3.6269587184657266</v>
      </c>
      <c r="F61" s="3">
        <f t="shared" ref="F61:F70" si="14">+E31*(F46^(0.666666666666667))</f>
        <v>3.0714931347702152</v>
      </c>
    </row>
    <row r="62" spans="2:6" x14ac:dyDescent="0.25">
      <c r="B62" s="3">
        <f t="shared" si="11"/>
        <v>1</v>
      </c>
      <c r="C62" s="3">
        <f t="shared" si="10"/>
        <v>12</v>
      </c>
      <c r="D62" s="3">
        <f t="shared" si="12"/>
        <v>0.91666666666666663</v>
      </c>
      <c r="E62" s="3">
        <f t="shared" si="13"/>
        <v>10.531698185319719</v>
      </c>
      <c r="F62" s="3">
        <f t="shared" si="14"/>
        <v>9.9282384905052279</v>
      </c>
    </row>
    <row r="63" spans="2:6" x14ac:dyDescent="0.25">
      <c r="B63" s="3">
        <f t="shared" si="11"/>
        <v>1.5</v>
      </c>
      <c r="C63" s="3">
        <f t="shared" si="10"/>
        <v>13</v>
      </c>
      <c r="D63" s="3">
        <f t="shared" si="12"/>
        <v>1.3269230769230769</v>
      </c>
      <c r="E63" s="3">
        <f t="shared" si="13"/>
        <v>19.870645386522376</v>
      </c>
      <c r="F63" s="3">
        <f t="shared" si="14"/>
        <v>19.946586701235528</v>
      </c>
    </row>
    <row r="64" spans="2:6" x14ac:dyDescent="0.25">
      <c r="B64" s="3">
        <f t="shared" si="11"/>
        <v>2</v>
      </c>
      <c r="C64" s="3">
        <f t="shared" si="10"/>
        <v>14</v>
      </c>
      <c r="D64" s="3">
        <f>+E34/C64</f>
        <v>1.7142857142857142</v>
      </c>
      <c r="E64" s="3">
        <f t="shared" si="13"/>
        <v>31.4233761939829</v>
      </c>
      <c r="F64" s="3">
        <f t="shared" si="14"/>
        <v>32.979777505983876</v>
      </c>
    </row>
    <row r="65" spans="2:6" x14ac:dyDescent="0.25">
      <c r="B65" s="3">
        <f t="shared" si="11"/>
        <v>2.5</v>
      </c>
      <c r="C65" s="3">
        <f t="shared" si="10"/>
        <v>15</v>
      </c>
      <c r="D65" s="3">
        <f t="shared" si="12"/>
        <v>2.0833333333333335</v>
      </c>
      <c r="E65" s="3">
        <f t="shared" si="13"/>
        <v>45.10548978043952</v>
      </c>
      <c r="F65" s="3">
        <f t="shared" si="14"/>
        <v>48.999610875468527</v>
      </c>
    </row>
    <row r="66" spans="2:6" x14ac:dyDescent="0.25">
      <c r="B66" s="3">
        <f t="shared" si="11"/>
        <v>3</v>
      </c>
      <c r="C66" s="3">
        <f>IF(B66&lt;=$C$8,$C$6+(2*B66*$C$9),$C$7+(2*(B66-$C$8)*$C$10))</f>
        <v>16</v>
      </c>
      <c r="D66" s="3">
        <f t="shared" si="12"/>
        <v>2.4375</v>
      </c>
      <c r="E66" s="3">
        <f t="shared" si="13"/>
        <v>60.888730484384382</v>
      </c>
      <c r="F66" s="3">
        <f t="shared" si="14"/>
        <v>68.029994449461284</v>
      </c>
    </row>
    <row r="67" spans="2:6" x14ac:dyDescent="0.25">
      <c r="B67" s="3">
        <f t="shared" si="11"/>
        <v>3.5</v>
      </c>
      <c r="C67" s="3">
        <f t="shared" ref="C67:C70" si="15">IF(B67&lt;=$C$8,$C$6+(2*B67*$C$9),$C$7+(2*(B67-$C$8)*$C$10))</f>
        <v>20.5</v>
      </c>
      <c r="D67" s="3">
        <f t="shared" si="12"/>
        <v>2.3963414634146343</v>
      </c>
      <c r="E67" s="3">
        <f t="shared" si="13"/>
        <v>76.046094438969916</v>
      </c>
      <c r="F67" s="3">
        <f t="shared" si="14"/>
        <v>82.286341943042601</v>
      </c>
    </row>
    <row r="68" spans="2:6" x14ac:dyDescent="0.25">
      <c r="B68" s="3">
        <f t="shared" si="11"/>
        <v>4</v>
      </c>
      <c r="C68" s="3">
        <f t="shared" si="15"/>
        <v>21</v>
      </c>
      <c r="D68" s="3">
        <f t="shared" si="12"/>
        <v>2.8333333333333335</v>
      </c>
      <c r="E68" s="3">
        <f t="shared" si="13"/>
        <v>100.15342397209061</v>
      </c>
      <c r="F68" s="3">
        <f t="shared" si="14"/>
        <v>109.73328554920076</v>
      </c>
    </row>
    <row r="69" spans="2:6" x14ac:dyDescent="0.25">
      <c r="B69" s="3">
        <f t="shared" si="11"/>
        <v>4.5</v>
      </c>
      <c r="C69" s="3">
        <f t="shared" si="15"/>
        <v>21.5</v>
      </c>
      <c r="D69" s="3">
        <f t="shared" si="12"/>
        <v>3.2616279069767442</v>
      </c>
      <c r="E69" s="3">
        <f t="shared" si="13"/>
        <v>126.6455928782924</v>
      </c>
      <c r="F69" s="3">
        <f t="shared" si="14"/>
        <v>140.21887685039661</v>
      </c>
    </row>
    <row r="70" spans="2:6" x14ac:dyDescent="0.25">
      <c r="B70" s="3">
        <f t="shared" si="11"/>
        <v>5</v>
      </c>
      <c r="C70" s="3">
        <f t="shared" si="15"/>
        <v>22</v>
      </c>
      <c r="D70" s="3">
        <f t="shared" si="12"/>
        <v>3.6818181818181817</v>
      </c>
      <c r="E70" s="3">
        <f t="shared" si="13"/>
        <v>155.42332222324001</v>
      </c>
      <c r="F70" s="3">
        <f t="shared" si="14"/>
        <v>173.54962308391583</v>
      </c>
    </row>
  </sheetData>
  <hyperlinks>
    <hyperlink ref="A5" r:id="rId1" xr:uid="{61F91308-C6F7-448A-9715-0269D9074FC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F9B-558A-4E92-9B0C-4473AA019825}">
  <dimension ref="A2:M83"/>
  <sheetViews>
    <sheetView showGridLines="0" zoomScale="64" zoomScaleNormal="64" workbookViewId="0">
      <selection activeCell="L14" sqref="L14"/>
    </sheetView>
  </sheetViews>
  <sheetFormatPr baseColWidth="10" defaultRowHeight="14.25" x14ac:dyDescent="0.25"/>
  <cols>
    <col min="1" max="1" width="15" style="2" customWidth="1"/>
    <col min="2" max="6" width="8.7109375" style="2" customWidth="1"/>
    <col min="7" max="13" width="11.42578125" style="2"/>
    <col min="14" max="14" width="7.7109375" style="2" customWidth="1"/>
    <col min="15" max="16384" width="11.42578125" style="2"/>
  </cols>
  <sheetData>
    <row r="2" spans="1:3" ht="17.25" x14ac:dyDescent="0.3">
      <c r="B2" s="7" t="s">
        <v>25</v>
      </c>
    </row>
    <row r="4" spans="1:3" x14ac:dyDescent="0.25">
      <c r="B4" s="6" t="s">
        <v>26</v>
      </c>
    </row>
    <row r="5" spans="1:3" x14ac:dyDescent="0.25">
      <c r="A5" s="11" t="s">
        <v>39</v>
      </c>
    </row>
    <row r="6" spans="1:3" x14ac:dyDescent="0.25">
      <c r="B6" s="13" t="s">
        <v>2</v>
      </c>
      <c r="C6" s="13" t="s">
        <v>3</v>
      </c>
    </row>
    <row r="7" spans="1:3" x14ac:dyDescent="0.25">
      <c r="B7" s="3">
        <v>0</v>
      </c>
      <c r="C7" s="3">
        <v>5.2</v>
      </c>
    </row>
    <row r="8" spans="1:3" x14ac:dyDescent="0.25">
      <c r="B8" s="3">
        <v>1</v>
      </c>
      <c r="C8" s="3">
        <v>4.5</v>
      </c>
    </row>
    <row r="9" spans="1:3" x14ac:dyDescent="0.25">
      <c r="B9" s="3">
        <v>2</v>
      </c>
      <c r="C9" s="3">
        <v>4.2</v>
      </c>
    </row>
    <row r="10" spans="1:3" x14ac:dyDescent="0.25">
      <c r="B10" s="3">
        <v>3</v>
      </c>
      <c r="C10" s="3">
        <v>4.3</v>
      </c>
    </row>
    <row r="11" spans="1:3" x14ac:dyDescent="0.25">
      <c r="B11" s="3">
        <v>6</v>
      </c>
      <c r="C11" s="3">
        <v>4</v>
      </c>
    </row>
    <row r="12" spans="1:3" x14ac:dyDescent="0.25">
      <c r="B12" s="3">
        <v>8</v>
      </c>
      <c r="C12" s="3">
        <v>3.5</v>
      </c>
    </row>
    <row r="13" spans="1:3" x14ac:dyDescent="0.25">
      <c r="B13" s="3">
        <v>10</v>
      </c>
      <c r="C13" s="3">
        <v>2</v>
      </c>
    </row>
    <row r="14" spans="1:3" x14ac:dyDescent="0.25">
      <c r="B14" s="3">
        <v>11</v>
      </c>
      <c r="C14" s="3">
        <v>2.1</v>
      </c>
    </row>
    <row r="15" spans="1:3" x14ac:dyDescent="0.25">
      <c r="B15" s="3">
        <v>12</v>
      </c>
      <c r="C15" s="3">
        <v>1.5</v>
      </c>
    </row>
    <row r="16" spans="1:3" x14ac:dyDescent="0.25">
      <c r="B16" s="3">
        <v>13.5</v>
      </c>
      <c r="C16" s="3">
        <v>0</v>
      </c>
    </row>
    <row r="17" spans="2:13" x14ac:dyDescent="0.25">
      <c r="B17" s="3">
        <v>15</v>
      </c>
      <c r="C17" s="3">
        <v>0.2</v>
      </c>
    </row>
    <row r="18" spans="2:13" x14ac:dyDescent="0.25">
      <c r="B18" s="3">
        <v>16</v>
      </c>
      <c r="C18" s="3">
        <v>0.6</v>
      </c>
    </row>
    <row r="19" spans="2:13" x14ac:dyDescent="0.25">
      <c r="B19" s="3">
        <v>17</v>
      </c>
      <c r="C19" s="3">
        <v>1</v>
      </c>
    </row>
    <row r="20" spans="2:13" x14ac:dyDescent="0.25">
      <c r="B20" s="3">
        <v>18</v>
      </c>
      <c r="C20" s="3">
        <v>1.5</v>
      </c>
    </row>
    <row r="21" spans="2:13" x14ac:dyDescent="0.25">
      <c r="B21" s="3">
        <v>20</v>
      </c>
      <c r="C21" s="3">
        <v>3</v>
      </c>
    </row>
    <row r="22" spans="2:13" x14ac:dyDescent="0.25">
      <c r="B22" s="3">
        <v>22</v>
      </c>
      <c r="C22" s="3">
        <v>3.5</v>
      </c>
    </row>
    <row r="23" spans="2:13" x14ac:dyDescent="0.25">
      <c r="B23" s="3">
        <v>25</v>
      </c>
      <c r="C23" s="3">
        <v>4.5</v>
      </c>
    </row>
    <row r="24" spans="2:13" x14ac:dyDescent="0.25">
      <c r="B24" s="3">
        <v>28</v>
      </c>
      <c r="C24" s="3">
        <v>5.2</v>
      </c>
    </row>
    <row r="26" spans="2:13" x14ac:dyDescent="0.25">
      <c r="B26" s="6" t="s">
        <v>27</v>
      </c>
    </row>
    <row r="28" spans="2:13" ht="15.75" x14ac:dyDescent="0.25">
      <c r="B28" s="4" t="s">
        <v>2</v>
      </c>
      <c r="C28" s="4" t="s">
        <v>3</v>
      </c>
      <c r="D28" s="4" t="s">
        <v>28</v>
      </c>
      <c r="E28" s="4" t="s">
        <v>29</v>
      </c>
      <c r="F28" s="4" t="s">
        <v>37</v>
      </c>
      <c r="G28" s="4" t="s">
        <v>30</v>
      </c>
      <c r="H28" s="4" t="s">
        <v>31</v>
      </c>
      <c r="I28" s="4" t="s">
        <v>32</v>
      </c>
      <c r="J28" s="4" t="s">
        <v>33</v>
      </c>
      <c r="K28" s="4" t="s">
        <v>34</v>
      </c>
      <c r="L28" s="4" t="s">
        <v>35</v>
      </c>
      <c r="M28" s="4" t="s">
        <v>36</v>
      </c>
    </row>
    <row r="29" spans="2:13" x14ac:dyDescent="0.25">
      <c r="B29" s="3">
        <v>0</v>
      </c>
      <c r="C29" s="3">
        <v>5.2</v>
      </c>
      <c r="D29" s="3">
        <f>5.2-C29</f>
        <v>0</v>
      </c>
      <c r="E29" s="3"/>
      <c r="F29" s="3"/>
      <c r="G29" s="3"/>
      <c r="H29" s="3"/>
      <c r="I29" s="3"/>
      <c r="J29" s="3"/>
      <c r="K29" s="3"/>
      <c r="L29" s="3"/>
      <c r="M29" s="3"/>
    </row>
    <row r="30" spans="2:13" x14ac:dyDescent="0.25">
      <c r="B30" s="3">
        <v>1</v>
      </c>
      <c r="C30" s="3">
        <v>4.5</v>
      </c>
      <c r="D30" s="3">
        <f t="shared" ref="D30:D36" si="0">5.2-C30</f>
        <v>0.70000000000000018</v>
      </c>
      <c r="E30" s="8">
        <f>0.5*(D30+D29)*(B30-B29)</f>
        <v>0.35000000000000009</v>
      </c>
      <c r="F30" s="8">
        <f>+SQRT((B30-B29)^2+(C30-C29)^2)</f>
        <v>1.2206555615733703</v>
      </c>
      <c r="G30" s="8"/>
      <c r="H30" s="8"/>
      <c r="I30" s="8"/>
      <c r="J30" s="8"/>
      <c r="K30" s="8"/>
      <c r="L30" s="8"/>
      <c r="M30" s="8"/>
    </row>
    <row r="31" spans="2:13" x14ac:dyDescent="0.25">
      <c r="B31" s="3">
        <v>2</v>
      </c>
      <c r="C31" s="3">
        <v>4.2</v>
      </c>
      <c r="D31" s="3">
        <f t="shared" si="0"/>
        <v>1</v>
      </c>
      <c r="E31" s="8">
        <f t="shared" ref="E31:E37" si="1">0.5*(D31+D30)*(B31-B30)</f>
        <v>0.85000000000000009</v>
      </c>
      <c r="F31" s="8">
        <f t="shared" ref="F31:F50" si="2">+SQRT((B31-B30)^2+(C31-C30)^2)</f>
        <v>1.0440306508910548</v>
      </c>
      <c r="G31" s="8">
        <f>+E31-($D$30*(B31-B30))</f>
        <v>0.14999999999999991</v>
      </c>
      <c r="H31" s="8"/>
      <c r="I31" s="8"/>
      <c r="J31" s="8"/>
      <c r="K31" s="8"/>
      <c r="L31" s="8"/>
      <c r="M31" s="8"/>
    </row>
    <row r="32" spans="2:13" x14ac:dyDescent="0.25">
      <c r="B32" s="3">
        <v>3</v>
      </c>
      <c r="C32" s="3">
        <v>4.3</v>
      </c>
      <c r="D32" s="3">
        <f t="shared" si="0"/>
        <v>0.90000000000000036</v>
      </c>
      <c r="E32" s="8">
        <f>0.5*(D32+D31)*(B32-B31)</f>
        <v>0.95000000000000018</v>
      </c>
      <c r="F32" s="8">
        <f t="shared" si="2"/>
        <v>1.004987562112089</v>
      </c>
      <c r="G32" s="8">
        <f t="shared" ref="G32:G49" si="3">+E32-($D$30*(B32-B31))</f>
        <v>0.25</v>
      </c>
      <c r="H32" s="8"/>
      <c r="I32" s="8"/>
      <c r="J32" s="8"/>
      <c r="K32" s="8"/>
      <c r="L32" s="8"/>
      <c r="M32" s="8"/>
    </row>
    <row r="33" spans="2:13" x14ac:dyDescent="0.25">
      <c r="B33" s="3">
        <v>6</v>
      </c>
      <c r="C33" s="3">
        <v>4</v>
      </c>
      <c r="D33" s="3">
        <f t="shared" si="0"/>
        <v>1.2000000000000002</v>
      </c>
      <c r="E33" s="8">
        <f t="shared" si="1"/>
        <v>3.1500000000000008</v>
      </c>
      <c r="F33" s="8">
        <f t="shared" si="2"/>
        <v>3.0149626863362671</v>
      </c>
      <c r="G33" s="8">
        <f t="shared" si="3"/>
        <v>1.0500000000000003</v>
      </c>
      <c r="H33" s="8"/>
      <c r="I33" s="8"/>
      <c r="J33" s="8"/>
      <c r="K33" s="8"/>
      <c r="L33" s="8"/>
      <c r="M33" s="8"/>
    </row>
    <row r="34" spans="2:13" x14ac:dyDescent="0.25">
      <c r="B34" s="3">
        <v>8</v>
      </c>
      <c r="C34" s="3">
        <v>3.5</v>
      </c>
      <c r="D34" s="3">
        <f t="shared" si="0"/>
        <v>1.7000000000000002</v>
      </c>
      <c r="E34" s="8">
        <f>0.5*(D34+D33)*(B34-B33)</f>
        <v>2.9000000000000004</v>
      </c>
      <c r="F34" s="8">
        <f t="shared" si="2"/>
        <v>2.0615528128088303</v>
      </c>
      <c r="G34" s="8">
        <f t="shared" si="3"/>
        <v>1.5</v>
      </c>
      <c r="H34" s="8">
        <f>+E34-($D$33*(B34-B33))</f>
        <v>0.5</v>
      </c>
      <c r="I34" s="8"/>
      <c r="J34" s="8"/>
      <c r="K34" s="8"/>
      <c r="L34" s="8"/>
      <c r="M34" s="8"/>
    </row>
    <row r="35" spans="2:13" x14ac:dyDescent="0.25">
      <c r="B35" s="10">
        <v>8.6666666666666661</v>
      </c>
      <c r="C35" s="10">
        <f>((C36-C34)/(B36-B34))*B35+(C34-((C36-C34)/(B36-B34))*B34)</f>
        <v>3</v>
      </c>
      <c r="D35" s="3">
        <f t="shared" si="0"/>
        <v>2.2000000000000002</v>
      </c>
      <c r="E35" s="8">
        <f t="shared" si="1"/>
        <v>1.2999999999999989</v>
      </c>
      <c r="F35" s="8">
        <f t="shared" si="2"/>
        <v>0.83333333333333282</v>
      </c>
      <c r="G35" s="8">
        <f t="shared" si="3"/>
        <v>0.83333333333333259</v>
      </c>
      <c r="H35" s="8">
        <f t="shared" ref="H35:H48" si="4">+E35-($D$33*(B35-B34))</f>
        <v>0.49999999999999956</v>
      </c>
      <c r="I35" s="8">
        <f>+E35-($D$34*(B35-B34))</f>
        <v>0.16666666666666652</v>
      </c>
      <c r="J35" s="8"/>
      <c r="K35" s="8"/>
      <c r="L35" s="8"/>
      <c r="M35" s="8"/>
    </row>
    <row r="36" spans="2:13" x14ac:dyDescent="0.25">
      <c r="B36" s="3">
        <v>10</v>
      </c>
      <c r="C36" s="3">
        <v>2</v>
      </c>
      <c r="D36" s="3">
        <f t="shared" si="0"/>
        <v>3.2</v>
      </c>
      <c r="E36" s="8">
        <f t="shared" si="1"/>
        <v>3.6000000000000019</v>
      </c>
      <c r="F36" s="8">
        <f t="shared" si="2"/>
        <v>1.6666666666666672</v>
      </c>
      <c r="G36" s="8">
        <f t="shared" si="3"/>
        <v>2.6666666666666679</v>
      </c>
      <c r="H36" s="8">
        <f t="shared" si="4"/>
        <v>2.0000000000000009</v>
      </c>
      <c r="I36" s="8">
        <f t="shared" ref="I36:I47" si="5">+E36-($D$34*(B36-B35))</f>
        <v>1.3333333333333339</v>
      </c>
      <c r="J36" s="8">
        <f>+E36-($D$35*(B36-B35))</f>
        <v>0.66666666666666696</v>
      </c>
      <c r="K36" s="8"/>
      <c r="L36" s="8"/>
      <c r="M36" s="8"/>
    </row>
    <row r="37" spans="2:13" x14ac:dyDescent="0.25">
      <c r="B37" s="3">
        <v>11</v>
      </c>
      <c r="C37" s="3">
        <v>2.1</v>
      </c>
      <c r="D37" s="3">
        <f t="shared" ref="D37:D50" si="6">5.2-C37</f>
        <v>3.1</v>
      </c>
      <c r="E37" s="8">
        <f t="shared" si="1"/>
        <v>3.1500000000000004</v>
      </c>
      <c r="F37" s="8">
        <f t="shared" si="2"/>
        <v>1.004987562112089</v>
      </c>
      <c r="G37" s="8">
        <f t="shared" si="3"/>
        <v>2.4500000000000002</v>
      </c>
      <c r="H37" s="8">
        <f t="shared" si="4"/>
        <v>1.9500000000000002</v>
      </c>
      <c r="I37" s="8">
        <f t="shared" si="5"/>
        <v>1.4500000000000002</v>
      </c>
      <c r="J37" s="8">
        <f t="shared" ref="J37:J46" si="7">+E37-($D$35*(B37-B36))</f>
        <v>0.95000000000000018</v>
      </c>
      <c r="K37" s="8"/>
      <c r="L37" s="8"/>
      <c r="M37" s="8"/>
    </row>
    <row r="38" spans="2:13" x14ac:dyDescent="0.25">
      <c r="B38" s="3">
        <v>12</v>
      </c>
      <c r="C38" s="3">
        <v>1.5</v>
      </c>
      <c r="D38" s="3">
        <f t="shared" si="6"/>
        <v>3.7</v>
      </c>
      <c r="E38" s="8">
        <f t="shared" ref="E38:E50" si="8">0.5*(D38+D37)*(B38-B37)</f>
        <v>3.4000000000000004</v>
      </c>
      <c r="F38" s="8">
        <f t="shared" si="2"/>
        <v>1.1661903789690602</v>
      </c>
      <c r="G38" s="8">
        <f t="shared" si="3"/>
        <v>2.7</v>
      </c>
      <c r="H38" s="8">
        <f t="shared" si="4"/>
        <v>2.2000000000000002</v>
      </c>
      <c r="I38" s="8">
        <f t="shared" si="5"/>
        <v>1.7000000000000002</v>
      </c>
      <c r="J38" s="8">
        <f t="shared" si="7"/>
        <v>1.2000000000000002</v>
      </c>
      <c r="K38" s="8">
        <f t="shared" ref="K38:K45" si="9">+E38-($D$36*(B38-B37))</f>
        <v>0.20000000000000018</v>
      </c>
      <c r="L38" s="8"/>
      <c r="M38" s="8"/>
    </row>
    <row r="39" spans="2:13" x14ac:dyDescent="0.25">
      <c r="B39" s="10">
        <v>12.5</v>
      </c>
      <c r="C39" s="10">
        <f>((C40-C38)/(B40-B38))*B39+(C38-((C40-C38)/(B40-B38))*B38)</f>
        <v>1</v>
      </c>
      <c r="D39" s="3">
        <f t="shared" si="6"/>
        <v>4.2</v>
      </c>
      <c r="E39" s="8">
        <f t="shared" si="8"/>
        <v>1.9750000000000001</v>
      </c>
      <c r="F39" s="8">
        <f t="shared" si="2"/>
        <v>0.70710678118654757</v>
      </c>
      <c r="G39" s="8">
        <f t="shared" si="3"/>
        <v>1.625</v>
      </c>
      <c r="H39" s="8">
        <f t="shared" si="4"/>
        <v>1.375</v>
      </c>
      <c r="I39" s="8">
        <f t="shared" si="5"/>
        <v>1.125</v>
      </c>
      <c r="J39" s="8">
        <f t="shared" si="7"/>
        <v>0.875</v>
      </c>
      <c r="K39" s="8">
        <f t="shared" si="9"/>
        <v>0.375</v>
      </c>
      <c r="L39" s="8">
        <f>+E39-($D$38*(B39-B38))</f>
        <v>0.125</v>
      </c>
      <c r="M39" s="8"/>
    </row>
    <row r="40" spans="2:13" x14ac:dyDescent="0.25">
      <c r="B40" s="3">
        <v>13.5</v>
      </c>
      <c r="C40" s="3">
        <v>0</v>
      </c>
      <c r="D40" s="3">
        <f t="shared" si="6"/>
        <v>5.2</v>
      </c>
      <c r="E40" s="8">
        <f t="shared" si="8"/>
        <v>4.7</v>
      </c>
      <c r="F40" s="8">
        <f t="shared" si="2"/>
        <v>1.4142135623730951</v>
      </c>
      <c r="G40" s="8">
        <f t="shared" si="3"/>
        <v>4</v>
      </c>
      <c r="H40" s="8">
        <f t="shared" si="4"/>
        <v>3.5</v>
      </c>
      <c r="I40" s="8">
        <f t="shared" si="5"/>
        <v>3</v>
      </c>
      <c r="J40" s="8">
        <f t="shared" si="7"/>
        <v>2.5</v>
      </c>
      <c r="K40" s="8">
        <f t="shared" si="9"/>
        <v>1.5</v>
      </c>
      <c r="L40" s="8">
        <f t="shared" ref="L40:L44" si="10">+E40-($D$38*(B40-B39))</f>
        <v>1</v>
      </c>
      <c r="M40" s="8">
        <f>+E40-($D$39*(B40-B39))</f>
        <v>0.5</v>
      </c>
    </row>
    <row r="41" spans="2:13" x14ac:dyDescent="0.25">
      <c r="B41" s="3">
        <v>15</v>
      </c>
      <c r="C41" s="3">
        <v>0.2</v>
      </c>
      <c r="D41" s="3">
        <f t="shared" si="6"/>
        <v>5</v>
      </c>
      <c r="E41" s="8">
        <f t="shared" si="8"/>
        <v>7.6499999999999995</v>
      </c>
      <c r="F41" s="8">
        <f t="shared" si="2"/>
        <v>1.5132745950421556</v>
      </c>
      <c r="G41" s="8">
        <f t="shared" si="3"/>
        <v>6.6</v>
      </c>
      <c r="H41" s="8">
        <f t="shared" si="4"/>
        <v>5.85</v>
      </c>
      <c r="I41" s="8">
        <f t="shared" si="5"/>
        <v>5.0999999999999996</v>
      </c>
      <c r="J41" s="8">
        <f t="shared" si="7"/>
        <v>4.3499999999999996</v>
      </c>
      <c r="K41" s="8">
        <f t="shared" si="9"/>
        <v>2.8499999999999988</v>
      </c>
      <c r="L41" s="8">
        <f t="shared" si="10"/>
        <v>2.0999999999999988</v>
      </c>
      <c r="M41" s="8">
        <f t="shared" ref="M41:M43" si="11">+E41-($D$39*(B41-B40))</f>
        <v>1.3499999999999988</v>
      </c>
    </row>
    <row r="42" spans="2:13" x14ac:dyDescent="0.25">
      <c r="B42" s="3">
        <v>16</v>
      </c>
      <c r="C42" s="3">
        <v>0.6</v>
      </c>
      <c r="D42" s="3">
        <f t="shared" si="6"/>
        <v>4.6000000000000005</v>
      </c>
      <c r="E42" s="8">
        <f t="shared" si="8"/>
        <v>4.8000000000000007</v>
      </c>
      <c r="F42" s="8">
        <f t="shared" si="2"/>
        <v>1.0770329614269007</v>
      </c>
      <c r="G42" s="8">
        <f t="shared" si="3"/>
        <v>4.1000000000000005</v>
      </c>
      <c r="H42" s="8">
        <f t="shared" si="4"/>
        <v>3.6000000000000005</v>
      </c>
      <c r="I42" s="8">
        <f t="shared" si="5"/>
        <v>3.1000000000000005</v>
      </c>
      <c r="J42" s="8">
        <f t="shared" si="7"/>
        <v>2.6000000000000005</v>
      </c>
      <c r="K42" s="8">
        <f t="shared" si="9"/>
        <v>1.6000000000000005</v>
      </c>
      <c r="L42" s="8">
        <f t="shared" si="10"/>
        <v>1.1000000000000005</v>
      </c>
      <c r="M42" s="8">
        <f t="shared" si="11"/>
        <v>0.60000000000000053</v>
      </c>
    </row>
    <row r="43" spans="2:13" x14ac:dyDescent="0.25">
      <c r="B43" s="3">
        <v>17</v>
      </c>
      <c r="C43" s="3">
        <v>1</v>
      </c>
      <c r="D43" s="3">
        <f t="shared" si="6"/>
        <v>4.2</v>
      </c>
      <c r="E43" s="8">
        <f t="shared" si="8"/>
        <v>4.4000000000000004</v>
      </c>
      <c r="F43" s="8">
        <f t="shared" si="2"/>
        <v>1.077032961426901</v>
      </c>
      <c r="G43" s="8">
        <f t="shared" si="3"/>
        <v>3.7</v>
      </c>
      <c r="H43" s="8">
        <f t="shared" si="4"/>
        <v>3.2</v>
      </c>
      <c r="I43" s="8">
        <f t="shared" si="5"/>
        <v>2.7</v>
      </c>
      <c r="J43" s="8">
        <f t="shared" si="7"/>
        <v>2.2000000000000002</v>
      </c>
      <c r="K43" s="8">
        <f t="shared" si="9"/>
        <v>1.2000000000000002</v>
      </c>
      <c r="L43" s="8">
        <f t="shared" si="10"/>
        <v>0.70000000000000018</v>
      </c>
      <c r="M43" s="8">
        <f t="shared" si="11"/>
        <v>0.20000000000000018</v>
      </c>
    </row>
    <row r="44" spans="2:13" x14ac:dyDescent="0.25">
      <c r="B44" s="3">
        <v>18</v>
      </c>
      <c r="C44" s="3">
        <v>1.5</v>
      </c>
      <c r="D44" s="3">
        <f t="shared" si="6"/>
        <v>3.7</v>
      </c>
      <c r="E44" s="8">
        <f t="shared" si="8"/>
        <v>3.95</v>
      </c>
      <c r="F44" s="8">
        <f t="shared" si="2"/>
        <v>1.1180339887498949</v>
      </c>
      <c r="G44" s="8">
        <f t="shared" si="3"/>
        <v>3.25</v>
      </c>
      <c r="H44" s="8">
        <f t="shared" si="4"/>
        <v>2.75</v>
      </c>
      <c r="I44" s="8">
        <f t="shared" si="5"/>
        <v>2.25</v>
      </c>
      <c r="J44" s="8">
        <f t="shared" si="7"/>
        <v>1.75</v>
      </c>
      <c r="K44" s="8">
        <f t="shared" si="9"/>
        <v>0.75</v>
      </c>
      <c r="L44" s="8">
        <f t="shared" si="10"/>
        <v>0.25</v>
      </c>
      <c r="M44" s="8"/>
    </row>
    <row r="45" spans="2:13" x14ac:dyDescent="0.25">
      <c r="B45" s="10">
        <v>18.666666666666668</v>
      </c>
      <c r="C45" s="10">
        <f>((C46-C44)/(B46-B44))*B45+(C44-((C46-C44)/(B46-B44))*B44)</f>
        <v>2</v>
      </c>
      <c r="D45" s="3">
        <f t="shared" si="6"/>
        <v>3.2</v>
      </c>
      <c r="E45" s="8">
        <f t="shared" si="8"/>
        <v>2.3000000000000043</v>
      </c>
      <c r="F45" s="8">
        <f t="shared" si="2"/>
        <v>0.83333333333333426</v>
      </c>
      <c r="G45" s="8">
        <f t="shared" si="3"/>
        <v>1.8333333333333366</v>
      </c>
      <c r="H45" s="8">
        <f t="shared" si="4"/>
        <v>1.5000000000000027</v>
      </c>
      <c r="I45" s="8">
        <f t="shared" si="5"/>
        <v>1.1666666666666687</v>
      </c>
      <c r="J45" s="8">
        <f t="shared" si="7"/>
        <v>0.83333333333333481</v>
      </c>
      <c r="K45" s="8">
        <f t="shared" si="9"/>
        <v>0.16666666666666696</v>
      </c>
      <c r="L45" s="8"/>
      <c r="M45" s="8"/>
    </row>
    <row r="46" spans="2:13" x14ac:dyDescent="0.25">
      <c r="B46" s="3">
        <v>20</v>
      </c>
      <c r="C46" s="3">
        <v>3</v>
      </c>
      <c r="D46" s="3">
        <f t="shared" si="6"/>
        <v>2.2000000000000002</v>
      </c>
      <c r="E46" s="8">
        <f t="shared" si="8"/>
        <v>3.599999999999997</v>
      </c>
      <c r="F46" s="8">
        <f t="shared" si="2"/>
        <v>1.6666666666666656</v>
      </c>
      <c r="G46" s="8">
        <f t="shared" si="3"/>
        <v>2.6666666666666643</v>
      </c>
      <c r="H46" s="8">
        <f t="shared" si="4"/>
        <v>1.9999999999999982</v>
      </c>
      <c r="I46" s="8">
        <f t="shared" si="5"/>
        <v>1.3333333333333321</v>
      </c>
      <c r="J46" s="8">
        <f t="shared" si="7"/>
        <v>0.66666666666666607</v>
      </c>
      <c r="K46" s="8"/>
      <c r="L46" s="8"/>
      <c r="M46" s="8"/>
    </row>
    <row r="47" spans="2:13" x14ac:dyDescent="0.25">
      <c r="B47" s="3">
        <v>22</v>
      </c>
      <c r="C47" s="3">
        <v>3.5</v>
      </c>
      <c r="D47" s="3">
        <f t="shared" si="6"/>
        <v>1.7000000000000002</v>
      </c>
      <c r="E47" s="8">
        <f t="shared" si="8"/>
        <v>3.9000000000000004</v>
      </c>
      <c r="F47" s="8">
        <f t="shared" si="2"/>
        <v>2.0615528128088303</v>
      </c>
      <c r="G47" s="8">
        <f t="shared" si="3"/>
        <v>2.5</v>
      </c>
      <c r="H47" s="8">
        <f t="shared" si="4"/>
        <v>1.5</v>
      </c>
      <c r="I47" s="8">
        <f t="shared" si="5"/>
        <v>0.5</v>
      </c>
      <c r="J47" s="8"/>
      <c r="K47" s="8"/>
      <c r="L47" s="8"/>
      <c r="M47" s="8"/>
    </row>
    <row r="48" spans="2:13" x14ac:dyDescent="0.25">
      <c r="B48" s="10">
        <v>23.5</v>
      </c>
      <c r="C48" s="10">
        <f>((C49-C47)/(B49-B47))*B48+(C47-((C49-C47)/(B49-B47))*B47)</f>
        <v>4</v>
      </c>
      <c r="D48" s="3">
        <f t="shared" si="6"/>
        <v>1.2000000000000002</v>
      </c>
      <c r="E48" s="8">
        <f t="shared" si="8"/>
        <v>2.1750000000000003</v>
      </c>
      <c r="F48" s="8">
        <f t="shared" si="2"/>
        <v>1.5811388300841898</v>
      </c>
      <c r="G48" s="8">
        <f t="shared" si="3"/>
        <v>1.125</v>
      </c>
      <c r="H48" s="8">
        <f t="shared" si="4"/>
        <v>0.375</v>
      </c>
      <c r="I48" s="8"/>
      <c r="J48" s="8"/>
      <c r="K48" s="8"/>
      <c r="L48" s="8"/>
      <c r="M48" s="8"/>
    </row>
    <row r="49" spans="2:13" x14ac:dyDescent="0.25">
      <c r="B49" s="3">
        <v>25</v>
      </c>
      <c r="C49" s="3">
        <v>4.5</v>
      </c>
      <c r="D49" s="3">
        <f t="shared" si="6"/>
        <v>0.70000000000000018</v>
      </c>
      <c r="E49" s="8">
        <f t="shared" si="8"/>
        <v>1.4250000000000003</v>
      </c>
      <c r="F49" s="8">
        <f t="shared" si="2"/>
        <v>1.5811388300841898</v>
      </c>
      <c r="G49" s="8">
        <f t="shared" si="3"/>
        <v>0.375</v>
      </c>
      <c r="H49" s="8"/>
      <c r="I49" s="8"/>
      <c r="J49" s="8"/>
      <c r="K49" s="8"/>
      <c r="L49" s="8"/>
      <c r="M49" s="8"/>
    </row>
    <row r="50" spans="2:13" x14ac:dyDescent="0.25">
      <c r="B50" s="3">
        <v>28</v>
      </c>
      <c r="C50" s="3">
        <v>5.2</v>
      </c>
      <c r="D50" s="3">
        <f t="shared" si="6"/>
        <v>0</v>
      </c>
      <c r="E50" s="8">
        <f t="shared" si="8"/>
        <v>1.0500000000000003</v>
      </c>
      <c r="F50" s="8">
        <f t="shared" si="2"/>
        <v>3.0805843601498726</v>
      </c>
      <c r="G50" s="8"/>
      <c r="H50" s="8"/>
      <c r="I50" s="8"/>
      <c r="J50" s="8"/>
      <c r="K50" s="8"/>
      <c r="L50" s="8"/>
      <c r="M50" s="8"/>
    </row>
    <row r="51" spans="2:13" x14ac:dyDescent="0.25">
      <c r="E51" s="9">
        <f t="shared" ref="E51:M51" si="12">+SUM(E30:E50)</f>
        <v>61.574999999999996</v>
      </c>
      <c r="F51" s="9">
        <f t="shared" si="12"/>
        <v>30.728476898135341</v>
      </c>
      <c r="G51" s="9">
        <f t="shared" si="12"/>
        <v>43.375</v>
      </c>
      <c r="H51" s="9">
        <f t="shared" si="12"/>
        <v>32.800000000000004</v>
      </c>
      <c r="I51" s="9">
        <f t="shared" si="12"/>
        <v>24.925000000000001</v>
      </c>
      <c r="J51" s="9">
        <f t="shared" si="12"/>
        <v>18.591666666666669</v>
      </c>
      <c r="K51" s="9">
        <f t="shared" si="12"/>
        <v>8.6416666666666657</v>
      </c>
      <c r="L51" s="9">
        <f t="shared" si="12"/>
        <v>5.2749999999999995</v>
      </c>
      <c r="M51" s="9">
        <f t="shared" si="12"/>
        <v>2.6499999999999995</v>
      </c>
    </row>
    <row r="57" spans="2:13" ht="15.75" x14ac:dyDescent="0.25">
      <c r="B57" s="4" t="s">
        <v>3</v>
      </c>
      <c r="C57" s="4" t="s">
        <v>29</v>
      </c>
      <c r="D57" s="4" t="s">
        <v>38</v>
      </c>
      <c r="E57" s="4" t="s">
        <v>16</v>
      </c>
    </row>
    <row r="58" spans="2:13" x14ac:dyDescent="0.25">
      <c r="B58" s="3">
        <v>0</v>
      </c>
      <c r="C58" s="3">
        <f>+L49</f>
        <v>0</v>
      </c>
      <c r="D58" s="3">
        <v>0</v>
      </c>
      <c r="E58" s="3"/>
    </row>
    <row r="59" spans="2:13" x14ac:dyDescent="0.25">
      <c r="B59" s="3">
        <v>1</v>
      </c>
      <c r="C59" s="3">
        <f>+M51</f>
        <v>2.6499999999999995</v>
      </c>
      <c r="D59" s="3">
        <f>+SUM(F40:F43)</f>
        <v>5.0815540802690524</v>
      </c>
      <c r="E59" s="3">
        <f>+C59/D59</f>
        <v>0.52149400717579109</v>
      </c>
    </row>
    <row r="60" spans="2:13" x14ac:dyDescent="0.25">
      <c r="B60" s="3">
        <v>1.5</v>
      </c>
      <c r="C60" s="3">
        <f>+L51</f>
        <v>5.2749999999999995</v>
      </c>
      <c r="D60" s="3">
        <f>+SUM(F39:F44)</f>
        <v>6.9066948502054943</v>
      </c>
      <c r="E60" s="3">
        <f t="shared" ref="E60:E66" si="13">+C60/D60</f>
        <v>0.76375170966805528</v>
      </c>
    </row>
    <row r="61" spans="2:13" x14ac:dyDescent="0.25">
      <c r="B61" s="3">
        <v>2</v>
      </c>
      <c r="C61" s="3">
        <f>+K51</f>
        <v>8.6416666666666657</v>
      </c>
      <c r="D61" s="3">
        <f>+SUM(F38:F45)</f>
        <v>8.9062185625078882</v>
      </c>
      <c r="E61" s="3">
        <f t="shared" si="13"/>
        <v>0.97029582263398573</v>
      </c>
    </row>
    <row r="62" spans="2:13" x14ac:dyDescent="0.25">
      <c r="B62" s="3">
        <v>3</v>
      </c>
      <c r="C62" s="3">
        <f>+J51</f>
        <v>18.591666666666669</v>
      </c>
      <c r="D62" s="3">
        <f>+SUM(F36:F46)</f>
        <v>13.24453945795331</v>
      </c>
      <c r="E62" s="3">
        <f t="shared" si="13"/>
        <v>1.4037231513929631</v>
      </c>
    </row>
    <row r="63" spans="2:13" x14ac:dyDescent="0.25">
      <c r="B63" s="3">
        <v>3.5</v>
      </c>
      <c r="C63" s="3">
        <f>+I51</f>
        <v>24.925000000000001</v>
      </c>
      <c r="D63" s="3">
        <f>+SUM(F35:F47)</f>
        <v>16.139425604095475</v>
      </c>
      <c r="E63" s="3">
        <f t="shared" si="13"/>
        <v>1.5443548371185609</v>
      </c>
    </row>
    <row r="64" spans="2:13" x14ac:dyDescent="0.25">
      <c r="B64" s="3">
        <v>4</v>
      </c>
      <c r="C64" s="3">
        <f>+H51</f>
        <v>32.800000000000004</v>
      </c>
      <c r="D64" s="3">
        <f>+SUM(F34:F48)</f>
        <v>19.782117246988491</v>
      </c>
      <c r="E64" s="3">
        <f t="shared" si="13"/>
        <v>1.6580631683897877</v>
      </c>
    </row>
    <row r="65" spans="2:6" x14ac:dyDescent="0.25">
      <c r="B65" s="3">
        <v>4.5</v>
      </c>
      <c r="C65" s="3">
        <f>+G51</f>
        <v>43.375</v>
      </c>
      <c r="D65" s="3">
        <f>+SUM(F31:F49)</f>
        <v>26.427236976412093</v>
      </c>
      <c r="E65" s="3">
        <f t="shared" si="13"/>
        <v>1.6412990899773143</v>
      </c>
    </row>
    <row r="66" spans="2:6" x14ac:dyDescent="0.25">
      <c r="B66" s="3">
        <v>5.2</v>
      </c>
      <c r="C66" s="3">
        <f>+E51</f>
        <v>61.574999999999996</v>
      </c>
      <c r="D66" s="3">
        <f>+F51</f>
        <v>30.728476898135341</v>
      </c>
      <c r="E66" s="3">
        <f t="shared" si="13"/>
        <v>2.0038415898100199</v>
      </c>
    </row>
    <row r="72" spans="2:6" x14ac:dyDescent="0.25">
      <c r="B72" s="6" t="s">
        <v>20</v>
      </c>
    </row>
    <row r="74" spans="2:6" x14ac:dyDescent="0.25">
      <c r="B74" s="4" t="s">
        <v>3</v>
      </c>
      <c r="C74" s="4" t="s">
        <v>22</v>
      </c>
      <c r="D74" s="4" t="s">
        <v>23</v>
      </c>
      <c r="E74" s="4" t="s">
        <v>21</v>
      </c>
      <c r="F74" s="4" t="s">
        <v>24</v>
      </c>
    </row>
    <row r="75" spans="2:6" x14ac:dyDescent="0.25">
      <c r="B75" s="3">
        <v>0</v>
      </c>
      <c r="C75" s="3">
        <v>0</v>
      </c>
      <c r="D75" s="3">
        <v>0</v>
      </c>
      <c r="E75" s="3">
        <f>+C58*SQRT(D75)</f>
        <v>0</v>
      </c>
      <c r="F75" s="3">
        <f>+C58*(E58^(0.666666666666667))</f>
        <v>0</v>
      </c>
    </row>
    <row r="76" spans="2:6" x14ac:dyDescent="0.25">
      <c r="B76" s="3">
        <v>1</v>
      </c>
      <c r="C76" s="3">
        <f>+B43-B39</f>
        <v>4.5</v>
      </c>
      <c r="D76" s="3">
        <f t="shared" ref="D76:D83" si="14">+C59/C76</f>
        <v>0.5888888888888888</v>
      </c>
      <c r="E76" s="3">
        <f t="shared" ref="E76:E83" si="15">+C59*SQRT(D76)</f>
        <v>2.0335860498691023</v>
      </c>
      <c r="F76" s="3">
        <f t="shared" ref="F76:F83" si="16">+C59*(E59^(0.666666666666667))</f>
        <v>1.7169016656513085</v>
      </c>
    </row>
    <row r="77" spans="2:6" x14ac:dyDescent="0.25">
      <c r="B77" s="3">
        <v>1.5</v>
      </c>
      <c r="C77" s="3">
        <f>+B44-B38</f>
        <v>6</v>
      </c>
      <c r="D77" s="3">
        <f t="shared" si="14"/>
        <v>0.87916666666666654</v>
      </c>
      <c r="E77" s="3">
        <f t="shared" si="15"/>
        <v>4.9460450846273787</v>
      </c>
      <c r="F77" s="3">
        <f t="shared" si="16"/>
        <v>4.4074824761892897</v>
      </c>
    </row>
    <row r="78" spans="2:6" x14ac:dyDescent="0.25">
      <c r="B78" s="3">
        <v>2</v>
      </c>
      <c r="C78" s="3">
        <f>+B45-B36</f>
        <v>8.6666666666666679</v>
      </c>
      <c r="D78" s="3">
        <f t="shared" si="14"/>
        <v>0.9971153846153844</v>
      </c>
      <c r="E78" s="3">
        <f t="shared" si="15"/>
        <v>8.6291937229515518</v>
      </c>
      <c r="F78" s="3">
        <f t="shared" si="16"/>
        <v>8.4696790099306671</v>
      </c>
    </row>
    <row r="79" spans="2:6" x14ac:dyDescent="0.25">
      <c r="B79" s="3">
        <v>3</v>
      </c>
      <c r="C79" s="3">
        <f>+B46-B35</f>
        <v>11.333333333333334</v>
      </c>
      <c r="D79" s="3">
        <f t="shared" si="14"/>
        <v>1.6404411764705884</v>
      </c>
      <c r="E79" s="3">
        <f t="shared" si="15"/>
        <v>23.812152497550176</v>
      </c>
      <c r="F79" s="3">
        <f t="shared" si="16"/>
        <v>23.308051341317224</v>
      </c>
    </row>
    <row r="80" spans="2:6" x14ac:dyDescent="0.25">
      <c r="B80" s="3">
        <v>3.5</v>
      </c>
      <c r="C80" s="3">
        <f>+B47-B34</f>
        <v>14</v>
      </c>
      <c r="D80" s="3">
        <f t="shared" si="14"/>
        <v>1.780357142857143</v>
      </c>
      <c r="E80" s="3">
        <f t="shared" si="15"/>
        <v>33.25743359775268</v>
      </c>
      <c r="F80" s="3">
        <f t="shared" si="16"/>
        <v>33.301712114176155</v>
      </c>
    </row>
    <row r="81" spans="2:6" x14ac:dyDescent="0.25">
      <c r="B81" s="3">
        <v>4</v>
      </c>
      <c r="C81" s="3">
        <f>+B48-B33</f>
        <v>17.5</v>
      </c>
      <c r="D81" s="3">
        <f t="shared" si="14"/>
        <v>1.8742857142857146</v>
      </c>
      <c r="E81" s="3">
        <f t="shared" si="15"/>
        <v>44.904693995807875</v>
      </c>
      <c r="F81" s="3">
        <f t="shared" si="16"/>
        <v>45.948840696719017</v>
      </c>
    </row>
    <row r="82" spans="2:6" x14ac:dyDescent="0.25">
      <c r="B82" s="3">
        <v>4.5</v>
      </c>
      <c r="C82" s="3">
        <f>+B49-B30</f>
        <v>24</v>
      </c>
      <c r="D82" s="3">
        <f t="shared" si="14"/>
        <v>1.8072916666666667</v>
      </c>
      <c r="E82" s="3">
        <f t="shared" si="15"/>
        <v>58.311419107300857</v>
      </c>
      <c r="F82" s="3">
        <f t="shared" si="16"/>
        <v>60.352876445642622</v>
      </c>
    </row>
    <row r="83" spans="2:6" x14ac:dyDescent="0.25">
      <c r="B83" s="3">
        <v>5.2</v>
      </c>
      <c r="C83" s="3">
        <f>+B50</f>
        <v>28</v>
      </c>
      <c r="D83" s="3">
        <f t="shared" si="14"/>
        <v>2.1991071428571427</v>
      </c>
      <c r="E83" s="3">
        <f t="shared" si="15"/>
        <v>91.31194951616115</v>
      </c>
      <c r="F83" s="3">
        <f t="shared" si="16"/>
        <v>97.869344139478585</v>
      </c>
    </row>
  </sheetData>
  <sortState xmlns:xlrd2="http://schemas.microsoft.com/office/spreadsheetml/2017/richdata2" ref="M22:N67">
    <sortCondition ref="N22:N67"/>
  </sortState>
  <hyperlinks>
    <hyperlink ref="A5" r:id="rId1" xr:uid="{7A4F0F92-118D-488C-B935-A0BE9F0EB733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C.Compuesto</vt:lpstr>
      <vt:lpstr>C.Irregular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Juan Rodriguez</cp:lastModifiedBy>
  <dcterms:created xsi:type="dcterms:W3CDTF">2023-06-16T16:16:30Z</dcterms:created>
  <dcterms:modified xsi:type="dcterms:W3CDTF">2023-06-21T16:31:29Z</dcterms:modified>
</cp:coreProperties>
</file>