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Cremona\miasaccion\Seguimiento actualizado\"/>
    </mc:Choice>
  </mc:AlternateContent>
  <xr:revisionPtr revIDLastSave="0" documentId="13_ncr:1_{E50718C7-C416-48C1-B4E5-E9612952A3F0}" xr6:coauthVersionLast="47" xr6:coauthVersionMax="47" xr10:uidLastSave="{00000000-0000-0000-0000-000000000000}"/>
  <bookViews>
    <workbookView xWindow="-108" yWindow="-108" windowWidth="23256" windowHeight="12576" tabRatio="747" xr2:uid="{3A827F2F-8922-486F-B015-AE1E4F07B7A5}"/>
  </bookViews>
  <sheets>
    <sheet name="Tablero" sheetId="1" r:id="rId1"/>
    <sheet name="Tablero(2)" sheetId="11" r:id="rId2"/>
    <sheet name="Extraer" sheetId="17" r:id="rId3"/>
    <sheet name="AL29" sheetId="3" r:id="rId4"/>
    <sheet name="AL30" sheetId="2" r:id="rId5"/>
    <sheet name="AL35" sheetId="4" r:id="rId6"/>
    <sheet name="AE38" sheetId="13" r:id="rId7"/>
    <sheet name="AL41" sheetId="5" r:id="rId8"/>
    <sheet name="GD29" sheetId="6" r:id="rId9"/>
    <sheet name="GD30" sheetId="7" r:id="rId10"/>
    <sheet name="GD35" sheetId="8" r:id="rId11"/>
    <sheet name="GD38" sheetId="12" r:id="rId12"/>
    <sheet name="GD41" sheetId="9" r:id="rId13"/>
    <sheet name="GD46" sheetId="10" r:id="rId14"/>
  </sheets>
  <definedNames>
    <definedName name="bonos" localSheetId="2">Extraer!$A$1:$N$98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J2" i="10"/>
  <c r="J2" i="9"/>
  <c r="I4" i="12"/>
  <c r="J2" i="7"/>
  <c r="J2" i="6"/>
  <c r="J2" i="5"/>
  <c r="J3" i="13"/>
  <c r="K3" i="4"/>
  <c r="L5" i="2"/>
  <c r="J13" i="3"/>
  <c r="K7" i="13"/>
  <c r="J7" i="5"/>
  <c r="J6" i="10"/>
  <c r="J6" i="9"/>
  <c r="L3" i="12"/>
  <c r="C25" i="2"/>
  <c r="J10" i="10" l="1"/>
  <c r="J10" i="9"/>
  <c r="L7" i="12"/>
  <c r="J11" i="8"/>
  <c r="J10" i="7"/>
  <c r="J10" i="6"/>
  <c r="J11" i="5"/>
  <c r="K11" i="13"/>
  <c r="J13" i="4"/>
  <c r="C27" i="2"/>
  <c r="I27" i="3"/>
  <c r="H9" i="11" l="1"/>
  <c r="H8" i="11"/>
  <c r="H7" i="11"/>
  <c r="H6" i="11"/>
  <c r="H5" i="11"/>
  <c r="H4" i="11"/>
  <c r="C8" i="11"/>
  <c r="C7" i="11"/>
  <c r="C6" i="11"/>
  <c r="C5" i="11"/>
  <c r="C4" i="11"/>
  <c r="C9" i="1"/>
  <c r="D9" i="1" s="1"/>
  <c r="G3" i="13"/>
  <c r="K13" i="13" s="1"/>
  <c r="G9" i="1"/>
  <c r="K9" i="13"/>
  <c r="E9" i="1" s="1"/>
  <c r="F9" i="1"/>
  <c r="C14" i="1"/>
  <c r="D14" i="1" s="1"/>
  <c r="G3" i="12"/>
  <c r="L9" i="12" s="1"/>
  <c r="G14" i="1"/>
  <c r="L5" i="12"/>
  <c r="E14" i="1" s="1"/>
  <c r="F14" i="1"/>
  <c r="O28" i="12" l="1"/>
  <c r="O12" i="12"/>
  <c r="O26" i="12"/>
  <c r="O10" i="12"/>
  <c r="O24" i="12"/>
  <c r="O8" i="12"/>
  <c r="O37" i="12"/>
  <c r="O22" i="12"/>
  <c r="O36" i="12"/>
  <c r="O20" i="12"/>
  <c r="O30" i="12"/>
  <c r="O34" i="12"/>
  <c r="O18" i="12"/>
  <c r="O32" i="12"/>
  <c r="O16" i="12"/>
  <c r="O14" i="12"/>
  <c r="J7" i="11"/>
  <c r="L7" i="11" s="1"/>
  <c r="O6" i="12"/>
  <c r="O4" i="12"/>
  <c r="K15" i="13"/>
  <c r="K17" i="13" s="1"/>
  <c r="I9" i="1" s="1"/>
  <c r="L9" i="1" s="1"/>
  <c r="N28" i="13"/>
  <c r="N12" i="13"/>
  <c r="N10" i="13"/>
  <c r="N24" i="13"/>
  <c r="N8" i="13"/>
  <c r="N37" i="13"/>
  <c r="N22" i="13"/>
  <c r="N6" i="13"/>
  <c r="N36" i="13"/>
  <c r="N20" i="13"/>
  <c r="N4" i="13"/>
  <c r="N16" i="13"/>
  <c r="N34" i="13"/>
  <c r="N18" i="13"/>
  <c r="N30" i="13"/>
  <c r="N14" i="13"/>
  <c r="N26" i="13"/>
  <c r="N32" i="13"/>
  <c r="E7" i="11"/>
  <c r="H14" i="1"/>
  <c r="L11" i="12"/>
  <c r="H9" i="1"/>
  <c r="I33" i="3"/>
  <c r="J11" i="4"/>
  <c r="Q16" i="12" l="1"/>
  <c r="U16" i="12"/>
  <c r="U14" i="12"/>
  <c r="Q14" i="12"/>
  <c r="U22" i="12"/>
  <c r="Q22" i="12"/>
  <c r="U18" i="12"/>
  <c r="Q18" i="12"/>
  <c r="U24" i="12"/>
  <c r="Q24" i="12"/>
  <c r="U37" i="12"/>
  <c r="Q37" i="12"/>
  <c r="Q32" i="12"/>
  <c r="U32" i="12"/>
  <c r="U8" i="12"/>
  <c r="Q8" i="12"/>
  <c r="U4" i="12"/>
  <c r="Q4" i="12"/>
  <c r="O39" i="12"/>
  <c r="U34" i="12"/>
  <c r="Q34" i="12"/>
  <c r="U10" i="12"/>
  <c r="Q10" i="12"/>
  <c r="U6" i="12"/>
  <c r="Q6" i="12"/>
  <c r="U30" i="12"/>
  <c r="Q30" i="12"/>
  <c r="Q26" i="12"/>
  <c r="U26" i="12"/>
  <c r="Q20" i="12"/>
  <c r="U20" i="12"/>
  <c r="Q12" i="12"/>
  <c r="U12" i="12"/>
  <c r="Q36" i="12"/>
  <c r="U36" i="12"/>
  <c r="U28" i="12"/>
  <c r="Q28" i="12"/>
  <c r="P6" i="13"/>
  <c r="T6" i="13"/>
  <c r="T30" i="13"/>
  <c r="P30" i="13"/>
  <c r="P37" i="13"/>
  <c r="T37" i="13"/>
  <c r="P22" i="13"/>
  <c r="T22" i="13"/>
  <c r="P18" i="13"/>
  <c r="T18" i="13"/>
  <c r="P34" i="13"/>
  <c r="T34" i="13"/>
  <c r="T8" i="13"/>
  <c r="P8" i="13"/>
  <c r="T24" i="13"/>
  <c r="P24" i="13"/>
  <c r="D7" i="11"/>
  <c r="T16" i="13"/>
  <c r="P16" i="13"/>
  <c r="T4" i="13"/>
  <c r="P4" i="13"/>
  <c r="N39" i="13"/>
  <c r="T10" i="13"/>
  <c r="P10" i="13"/>
  <c r="T32" i="13"/>
  <c r="P32" i="13"/>
  <c r="P20" i="13"/>
  <c r="T20" i="13"/>
  <c r="P12" i="13"/>
  <c r="T12" i="13"/>
  <c r="T26" i="13"/>
  <c r="P26" i="13"/>
  <c r="P36" i="13"/>
  <c r="T36" i="13"/>
  <c r="P28" i="13"/>
  <c r="T28" i="13"/>
  <c r="T14" i="13"/>
  <c r="P14" i="13"/>
  <c r="G7" i="11"/>
  <c r="M7" i="11"/>
  <c r="L13" i="12"/>
  <c r="I7" i="11"/>
  <c r="C16" i="1"/>
  <c r="C15" i="1"/>
  <c r="C13" i="1"/>
  <c r="C12" i="1"/>
  <c r="C11" i="1"/>
  <c r="C8" i="1"/>
  <c r="C7" i="1"/>
  <c r="C6" i="1"/>
  <c r="G3" i="3"/>
  <c r="L27" i="3" s="1"/>
  <c r="H3" i="2"/>
  <c r="G3" i="4"/>
  <c r="J15" i="4" s="1"/>
  <c r="G3" i="5"/>
  <c r="J13" i="5" s="1"/>
  <c r="G3" i="6"/>
  <c r="J12" i="6" s="1"/>
  <c r="G3" i="7"/>
  <c r="J12" i="7" s="1"/>
  <c r="G3" i="8"/>
  <c r="J13" i="8" s="1"/>
  <c r="G3" i="9"/>
  <c r="J12" i="9" s="1"/>
  <c r="G3" i="10"/>
  <c r="J12" i="10" s="1"/>
  <c r="G16" i="1"/>
  <c r="G15" i="1"/>
  <c r="G13" i="1"/>
  <c r="G12" i="1"/>
  <c r="G11" i="1"/>
  <c r="G10" i="1"/>
  <c r="G8" i="1"/>
  <c r="G7" i="1"/>
  <c r="J8" i="10"/>
  <c r="E16" i="1" s="1"/>
  <c r="J8" i="9"/>
  <c r="E15" i="1" s="1"/>
  <c r="J9" i="8"/>
  <c r="E13" i="1" s="1"/>
  <c r="J8" i="7"/>
  <c r="E12" i="1" s="1"/>
  <c r="J8" i="6"/>
  <c r="E11" i="1" s="1"/>
  <c r="J9" i="5"/>
  <c r="E10" i="1" s="1"/>
  <c r="E8" i="1"/>
  <c r="F25" i="2"/>
  <c r="I30" i="3"/>
  <c r="U39" i="12" l="1"/>
  <c r="J14" i="1" s="1"/>
  <c r="M14" i="1" s="1"/>
  <c r="M50" i="10"/>
  <c r="M34" i="10"/>
  <c r="M18" i="10"/>
  <c r="M4" i="10"/>
  <c r="M48" i="10"/>
  <c r="M32" i="10"/>
  <c r="M16" i="10"/>
  <c r="M46" i="10"/>
  <c r="M30" i="10"/>
  <c r="M14" i="10"/>
  <c r="M52" i="10"/>
  <c r="M44" i="10"/>
  <c r="M28" i="10"/>
  <c r="M12" i="10"/>
  <c r="M42" i="10"/>
  <c r="M26" i="10"/>
  <c r="M10" i="10"/>
  <c r="M20" i="10"/>
  <c r="M40" i="10"/>
  <c r="M24" i="10"/>
  <c r="M8" i="10"/>
  <c r="M54" i="10"/>
  <c r="M38" i="10"/>
  <c r="M22" i="10"/>
  <c r="M6" i="10"/>
  <c r="M36" i="10"/>
  <c r="M36" i="9"/>
  <c r="M20" i="9"/>
  <c r="M38" i="9"/>
  <c r="M34" i="9"/>
  <c r="M18" i="9"/>
  <c r="M4" i="9"/>
  <c r="M32" i="9"/>
  <c r="M16" i="9"/>
  <c r="M30" i="9"/>
  <c r="M14" i="9"/>
  <c r="M44" i="9"/>
  <c r="M28" i="9"/>
  <c r="M12" i="9"/>
  <c r="M42" i="9"/>
  <c r="M26" i="9"/>
  <c r="M10" i="9"/>
  <c r="M6" i="9"/>
  <c r="M40" i="9"/>
  <c r="M24" i="9"/>
  <c r="M8" i="9"/>
  <c r="M22" i="9"/>
  <c r="M32" i="8"/>
  <c r="M16" i="8"/>
  <c r="M30" i="8"/>
  <c r="M14" i="8"/>
  <c r="M18" i="8"/>
  <c r="M28" i="8"/>
  <c r="M12" i="8"/>
  <c r="M26" i="8"/>
  <c r="M10" i="8"/>
  <c r="M24" i="8"/>
  <c r="M8" i="8"/>
  <c r="M22" i="8"/>
  <c r="M6" i="8"/>
  <c r="M20" i="8"/>
  <c r="M4" i="8"/>
  <c r="J5" i="11"/>
  <c r="L5" i="11" s="1"/>
  <c r="M20" i="7"/>
  <c r="M4" i="7"/>
  <c r="M18" i="7"/>
  <c r="M16" i="7"/>
  <c r="M22" i="7"/>
  <c r="M14" i="7"/>
  <c r="M6" i="7"/>
  <c r="M12" i="7"/>
  <c r="M10" i="7"/>
  <c r="M8" i="7"/>
  <c r="J4" i="11"/>
  <c r="L4" i="11" s="1"/>
  <c r="M8" i="6"/>
  <c r="M20" i="6"/>
  <c r="M4" i="6"/>
  <c r="M18" i="6"/>
  <c r="M16" i="6"/>
  <c r="M14" i="6"/>
  <c r="M6" i="6"/>
  <c r="M12" i="6"/>
  <c r="M10" i="6"/>
  <c r="I14" i="1"/>
  <c r="M42" i="5"/>
  <c r="M26" i="5"/>
  <c r="M10" i="5"/>
  <c r="M40" i="5"/>
  <c r="M24" i="5"/>
  <c r="M8" i="5"/>
  <c r="M38" i="5"/>
  <c r="M22" i="5"/>
  <c r="M6" i="5"/>
  <c r="M36" i="5"/>
  <c r="M20" i="5"/>
  <c r="M4" i="5"/>
  <c r="M34" i="5"/>
  <c r="M18" i="5"/>
  <c r="M14" i="5"/>
  <c r="M32" i="5"/>
  <c r="M16" i="5"/>
  <c r="M44" i="5"/>
  <c r="M28" i="5"/>
  <c r="M12" i="5"/>
  <c r="M30" i="5"/>
  <c r="T39" i="13"/>
  <c r="J9" i="1" s="1"/>
  <c r="E6" i="11"/>
  <c r="G6" i="11" s="1"/>
  <c r="N26" i="4"/>
  <c r="N10" i="4"/>
  <c r="N4" i="4"/>
  <c r="N30" i="4"/>
  <c r="N24" i="4"/>
  <c r="N8" i="4"/>
  <c r="N22" i="4"/>
  <c r="N6" i="4"/>
  <c r="N14" i="4"/>
  <c r="N20" i="4"/>
  <c r="N18" i="4"/>
  <c r="N12" i="4"/>
  <c r="N16" i="4"/>
  <c r="N32" i="4"/>
  <c r="N28" i="4"/>
  <c r="H13" i="1"/>
  <c r="J6" i="11"/>
  <c r="L6" i="11" s="1"/>
  <c r="H15" i="1"/>
  <c r="J8" i="11"/>
  <c r="H16" i="1"/>
  <c r="J9" i="11"/>
  <c r="L9" i="11" s="1"/>
  <c r="H10" i="1"/>
  <c r="E8" i="11"/>
  <c r="J15" i="8"/>
  <c r="H12" i="1"/>
  <c r="J14" i="7"/>
  <c r="H11" i="1"/>
  <c r="J14" i="6"/>
  <c r="H8" i="1"/>
  <c r="J17" i="4"/>
  <c r="J14" i="9"/>
  <c r="J15" i="5"/>
  <c r="J14" i="10"/>
  <c r="J7" i="8"/>
  <c r="J6" i="7"/>
  <c r="J6" i="6"/>
  <c r="L14" i="1" l="1"/>
  <c r="N14" i="1" s="1"/>
  <c r="M9" i="1"/>
  <c r="N9" i="1" s="1"/>
  <c r="M21" i="6"/>
  <c r="O20" i="6"/>
  <c r="S20" i="6"/>
  <c r="O14" i="7"/>
  <c r="S14" i="7"/>
  <c r="O4" i="8"/>
  <c r="S4" i="8"/>
  <c r="O12" i="8"/>
  <c r="S12" i="8"/>
  <c r="S22" i="9"/>
  <c r="O22" i="9"/>
  <c r="O12" i="9"/>
  <c r="S12" i="9"/>
  <c r="S18" i="9"/>
  <c r="O18" i="9"/>
  <c r="S22" i="10"/>
  <c r="O22" i="10"/>
  <c r="O26" i="10"/>
  <c r="S26" i="10"/>
  <c r="O46" i="10"/>
  <c r="S46" i="10"/>
  <c r="S10" i="6"/>
  <c r="O10" i="6"/>
  <c r="O8" i="6"/>
  <c r="S8" i="6"/>
  <c r="S22" i="7"/>
  <c r="O22" i="7"/>
  <c r="O20" i="8"/>
  <c r="S20" i="8"/>
  <c r="O28" i="8"/>
  <c r="S28" i="8"/>
  <c r="O8" i="9"/>
  <c r="S8" i="9"/>
  <c r="O28" i="9"/>
  <c r="S28" i="9"/>
  <c r="S34" i="9"/>
  <c r="O34" i="9"/>
  <c r="S38" i="10"/>
  <c r="O38" i="10"/>
  <c r="O42" i="10"/>
  <c r="S42" i="10"/>
  <c r="O16" i="10"/>
  <c r="S16" i="10"/>
  <c r="S12" i="6"/>
  <c r="O12" i="6"/>
  <c r="O16" i="7"/>
  <c r="S16" i="7"/>
  <c r="S6" i="8"/>
  <c r="O6" i="8"/>
  <c r="S18" i="8"/>
  <c r="O18" i="8"/>
  <c r="O24" i="9"/>
  <c r="S24" i="9"/>
  <c r="O44" i="9"/>
  <c r="S44" i="9"/>
  <c r="S38" i="9"/>
  <c r="O38" i="9"/>
  <c r="S54" i="10"/>
  <c r="O54" i="10"/>
  <c r="O12" i="10"/>
  <c r="S12" i="10"/>
  <c r="O32" i="10"/>
  <c r="S32" i="10"/>
  <c r="S6" i="6"/>
  <c r="O6" i="6"/>
  <c r="S18" i="7"/>
  <c r="O18" i="7"/>
  <c r="S22" i="8"/>
  <c r="O22" i="8"/>
  <c r="O14" i="8"/>
  <c r="S14" i="8"/>
  <c r="O40" i="9"/>
  <c r="S40" i="9"/>
  <c r="S14" i="9"/>
  <c r="O14" i="9"/>
  <c r="S20" i="9"/>
  <c r="O20" i="9"/>
  <c r="S8" i="10"/>
  <c r="O8" i="10"/>
  <c r="O28" i="10"/>
  <c r="S28" i="10"/>
  <c r="O48" i="10"/>
  <c r="S48" i="10"/>
  <c r="S14" i="6"/>
  <c r="O14" i="6"/>
  <c r="S8" i="7"/>
  <c r="O8" i="7"/>
  <c r="M23" i="7"/>
  <c r="S4" i="7"/>
  <c r="O4" i="7"/>
  <c r="S8" i="8"/>
  <c r="O8" i="8"/>
  <c r="O30" i="8"/>
  <c r="S30" i="8"/>
  <c r="S6" i="9"/>
  <c r="O6" i="9"/>
  <c r="S30" i="9"/>
  <c r="O30" i="9"/>
  <c r="S36" i="9"/>
  <c r="O36" i="9"/>
  <c r="S24" i="10"/>
  <c r="O24" i="10"/>
  <c r="O44" i="10"/>
  <c r="S44" i="10"/>
  <c r="M56" i="10"/>
  <c r="S4" i="10"/>
  <c r="O4" i="10"/>
  <c r="O16" i="6"/>
  <c r="S16" i="6"/>
  <c r="O10" i="7"/>
  <c r="S10" i="7"/>
  <c r="S20" i="7"/>
  <c r="O20" i="7"/>
  <c r="S24" i="8"/>
  <c r="O24" i="8"/>
  <c r="S16" i="8"/>
  <c r="O16" i="8"/>
  <c r="O10" i="9"/>
  <c r="S10" i="9"/>
  <c r="O16" i="9"/>
  <c r="S16" i="9"/>
  <c r="S40" i="10"/>
  <c r="O40" i="10"/>
  <c r="S52" i="10"/>
  <c r="O52" i="10"/>
  <c r="S18" i="10"/>
  <c r="O18" i="10"/>
  <c r="O18" i="6"/>
  <c r="S18" i="6"/>
  <c r="O12" i="7"/>
  <c r="S12" i="7"/>
  <c r="S10" i="8"/>
  <c r="O10" i="8"/>
  <c r="S32" i="8"/>
  <c r="O32" i="8"/>
  <c r="O26" i="9"/>
  <c r="S26" i="9"/>
  <c r="S32" i="9"/>
  <c r="O32" i="9"/>
  <c r="S36" i="10"/>
  <c r="O36" i="10"/>
  <c r="S20" i="10"/>
  <c r="O20" i="10"/>
  <c r="O14" i="10"/>
  <c r="S14" i="10"/>
  <c r="S34" i="10"/>
  <c r="O34" i="10"/>
  <c r="S4" i="6"/>
  <c r="O4" i="6"/>
  <c r="S6" i="7"/>
  <c r="O6" i="7"/>
  <c r="S26" i="8"/>
  <c r="O26" i="8"/>
  <c r="O42" i="9"/>
  <c r="S42" i="9"/>
  <c r="M46" i="9"/>
  <c r="O4" i="9"/>
  <c r="S4" i="9"/>
  <c r="S6" i="10"/>
  <c r="O6" i="10"/>
  <c r="O10" i="10"/>
  <c r="S10" i="10"/>
  <c r="O30" i="10"/>
  <c r="S30" i="10"/>
  <c r="S50" i="10"/>
  <c r="O50" i="10"/>
  <c r="O32" i="5"/>
  <c r="S32" i="5"/>
  <c r="S22" i="5"/>
  <c r="O22" i="5"/>
  <c r="S14" i="5"/>
  <c r="O14" i="5"/>
  <c r="S38" i="5"/>
  <c r="O38" i="5"/>
  <c r="S18" i="5"/>
  <c r="O18" i="5"/>
  <c r="O8" i="5"/>
  <c r="S8" i="5"/>
  <c r="S30" i="5"/>
  <c r="O30" i="5"/>
  <c r="S34" i="5"/>
  <c r="O34" i="5"/>
  <c r="O24" i="5"/>
  <c r="S24" i="5"/>
  <c r="O12" i="5"/>
  <c r="S12" i="5"/>
  <c r="S4" i="5"/>
  <c r="O4" i="5"/>
  <c r="M46" i="5"/>
  <c r="O40" i="5"/>
  <c r="S40" i="5"/>
  <c r="O28" i="5"/>
  <c r="S28" i="5"/>
  <c r="O20" i="5"/>
  <c r="S20" i="5"/>
  <c r="O10" i="5"/>
  <c r="S10" i="5"/>
  <c r="O44" i="5"/>
  <c r="S44" i="5"/>
  <c r="S36" i="5"/>
  <c r="O36" i="5"/>
  <c r="O26" i="5"/>
  <c r="S26" i="5"/>
  <c r="O16" i="5"/>
  <c r="S16" i="5"/>
  <c r="S6" i="5"/>
  <c r="O6" i="5"/>
  <c r="S42" i="5"/>
  <c r="O42" i="5"/>
  <c r="T18" i="4"/>
  <c r="P18" i="4"/>
  <c r="P14" i="4"/>
  <c r="T14" i="4"/>
  <c r="T26" i="4"/>
  <c r="P26" i="4"/>
  <c r="T6" i="4"/>
  <c r="P6" i="4"/>
  <c r="P28" i="4"/>
  <c r="T28" i="4"/>
  <c r="T22" i="4"/>
  <c r="P22" i="4"/>
  <c r="P30" i="4"/>
  <c r="T30" i="4"/>
  <c r="N34" i="4"/>
  <c r="P4" i="4"/>
  <c r="T4" i="4"/>
  <c r="T10" i="4"/>
  <c r="P10" i="4"/>
  <c r="P32" i="4"/>
  <c r="T32" i="4"/>
  <c r="T8" i="4"/>
  <c r="P8" i="4"/>
  <c r="P12" i="4"/>
  <c r="T12" i="4"/>
  <c r="T16" i="4"/>
  <c r="P16" i="4"/>
  <c r="T24" i="4"/>
  <c r="P24" i="4"/>
  <c r="P20" i="4"/>
  <c r="T20" i="4"/>
  <c r="J17" i="8"/>
  <c r="I13" i="1" s="1"/>
  <c r="L13" i="1" s="1"/>
  <c r="I6" i="11"/>
  <c r="M6" i="11"/>
  <c r="J16" i="7"/>
  <c r="I12" i="1" s="1"/>
  <c r="L12" i="1" s="1"/>
  <c r="I5" i="11"/>
  <c r="J16" i="6"/>
  <c r="I11" i="1" s="1"/>
  <c r="L11" i="1" s="1"/>
  <c r="I4" i="11"/>
  <c r="J19" i="4"/>
  <c r="I8" i="1" s="1"/>
  <c r="L8" i="1" s="1"/>
  <c r="D6" i="11"/>
  <c r="G8" i="11"/>
  <c r="M8" i="11"/>
  <c r="L8" i="11"/>
  <c r="J10" i="11"/>
  <c r="J16" i="10"/>
  <c r="I16" i="1" s="1"/>
  <c r="L16" i="1" s="1"/>
  <c r="I9" i="11"/>
  <c r="J16" i="9"/>
  <c r="I15" i="1" s="1"/>
  <c r="L15" i="1" s="1"/>
  <c r="I8" i="11"/>
  <c r="J17" i="5"/>
  <c r="I10" i="1" s="1"/>
  <c r="L10" i="1" s="1"/>
  <c r="D8" i="11"/>
  <c r="F10" i="1"/>
  <c r="F12" i="1"/>
  <c r="F16" i="1"/>
  <c r="F15" i="1"/>
  <c r="F11" i="1"/>
  <c r="F13" i="1"/>
  <c r="J9" i="4"/>
  <c r="F7" i="1"/>
  <c r="E4" i="11"/>
  <c r="M4" i="11" s="1"/>
  <c r="G6" i="1"/>
  <c r="F6" i="1"/>
  <c r="S46" i="9" l="1"/>
  <c r="J15" i="1" s="1"/>
  <c r="S23" i="7"/>
  <c r="J12" i="1" s="1"/>
  <c r="S33" i="8"/>
  <c r="J13" i="1" s="1"/>
  <c r="S21" i="6"/>
  <c r="J11" i="1" s="1"/>
  <c r="S56" i="10"/>
  <c r="J16" i="1" s="1"/>
  <c r="S46" i="5"/>
  <c r="J10" i="1" s="1"/>
  <c r="T34" i="4"/>
  <c r="J8" i="1" s="1"/>
  <c r="G4" i="11"/>
  <c r="H6" i="1"/>
  <c r="L6" i="3"/>
  <c r="L20" i="3"/>
  <c r="L8" i="3"/>
  <c r="L12" i="3"/>
  <c r="L10" i="3"/>
  <c r="L4" i="3"/>
  <c r="L16" i="3"/>
  <c r="L14" i="3"/>
  <c r="L18" i="3"/>
  <c r="L29" i="3"/>
  <c r="F8" i="1"/>
  <c r="E6" i="1"/>
  <c r="E7" i="1"/>
  <c r="M13" i="1" l="1"/>
  <c r="N13" i="1" s="1"/>
  <c r="M12" i="1"/>
  <c r="N12" i="1" s="1"/>
  <c r="M8" i="1"/>
  <c r="N8" i="1" s="1"/>
  <c r="M11" i="1"/>
  <c r="N11" i="1" s="1"/>
  <c r="M16" i="1"/>
  <c r="N16" i="1" s="1"/>
  <c r="M10" i="1"/>
  <c r="N10" i="1" s="1"/>
  <c r="M15" i="1"/>
  <c r="N15" i="1" s="1"/>
  <c r="L31" i="3"/>
  <c r="R27" i="3" s="1"/>
  <c r="D4" i="11"/>
  <c r="N18" i="3"/>
  <c r="R18" i="3"/>
  <c r="R14" i="3"/>
  <c r="N14" i="3"/>
  <c r="N16" i="3"/>
  <c r="R16" i="3"/>
  <c r="R20" i="3"/>
  <c r="N20" i="3"/>
  <c r="N6" i="3"/>
  <c r="R6" i="3"/>
  <c r="N4" i="3"/>
  <c r="R4" i="3"/>
  <c r="L23" i="3"/>
  <c r="R10" i="3"/>
  <c r="N10" i="3"/>
  <c r="N12" i="3"/>
  <c r="R12" i="3"/>
  <c r="R8" i="3"/>
  <c r="N8" i="3"/>
  <c r="D16" i="1"/>
  <c r="D15" i="1"/>
  <c r="D13" i="1"/>
  <c r="D12" i="1"/>
  <c r="D11" i="1"/>
  <c r="C10" i="1"/>
  <c r="D10" i="1" s="1"/>
  <c r="D8" i="1"/>
  <c r="D6" i="1"/>
  <c r="R23" i="3" l="1"/>
  <c r="R30" i="3" s="1"/>
  <c r="R31" i="3" s="1"/>
  <c r="I6" i="1"/>
  <c r="L6" i="1" s="1"/>
  <c r="I3" i="2"/>
  <c r="H30" i="2" s="1"/>
  <c r="E5" i="11" l="1"/>
  <c r="E10" i="11" s="1"/>
  <c r="J6" i="1"/>
  <c r="M6" i="1" s="1"/>
  <c r="P20" i="2"/>
  <c r="P22" i="2"/>
  <c r="P16" i="2"/>
  <c r="P18" i="2"/>
  <c r="P12" i="2"/>
  <c r="P14" i="2"/>
  <c r="P8" i="2"/>
  <c r="P10" i="2"/>
  <c r="P4" i="2"/>
  <c r="R4" i="2" s="1"/>
  <c r="P6" i="2"/>
  <c r="C29" i="2"/>
  <c r="D7" i="1"/>
  <c r="G5" i="11" l="1"/>
  <c r="M5" i="11"/>
  <c r="M10" i="11" s="1"/>
  <c r="N6" i="1"/>
  <c r="C30" i="2"/>
  <c r="I7" i="1" s="1"/>
  <c r="L7" i="1" s="1"/>
  <c r="D5" i="11"/>
  <c r="P24" i="2"/>
  <c r="R22" i="2"/>
  <c r="V22" i="2"/>
  <c r="R20" i="2"/>
  <c r="V20" i="2"/>
  <c r="R18" i="2"/>
  <c r="V18" i="2"/>
  <c r="R16" i="2"/>
  <c r="V16" i="2"/>
  <c r="R14" i="2"/>
  <c r="V14" i="2"/>
  <c r="R12" i="2"/>
  <c r="V12" i="2"/>
  <c r="R10" i="2"/>
  <c r="V10" i="2"/>
  <c r="R8" i="2"/>
  <c r="V8" i="2"/>
  <c r="R6" i="2"/>
  <c r="V6" i="2"/>
  <c r="V4" i="2"/>
  <c r="H7" i="1"/>
  <c r="V24" i="2" l="1"/>
  <c r="J7" i="1" s="1"/>
  <c r="M7" i="1" s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L5" authorId="0" shapeId="0" xr:uid="{33F6BDFC-3089-4D63-8621-6D4B0DB0CB19}">
      <text>
        <r>
          <rPr>
            <b/>
            <sz val="9"/>
            <color indexed="81"/>
            <rFont val="Tahoma"/>
            <family val="2"/>
          </rPr>
          <t>=+(variacion Tir)*-DM</t>
        </r>
      </text>
    </comment>
    <comment ref="M5" authorId="0" shapeId="0" xr:uid="{9A854B4D-C0B2-4134-8808-0FB6251631C7}">
      <text>
        <r>
          <rPr>
            <b/>
            <sz val="9"/>
            <color indexed="81"/>
            <rFont val="Tahoma"/>
            <family val="2"/>
          </rPr>
          <t>=(1/2)*convexity*(variacion Tir)^2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5CF30DEE-CF5C-47D4-9E70-8E9D361EAD1D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22E1A4A9-0D16-49F4-922D-E2A35CC292CF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Q2" authorId="0" shapeId="0" xr:uid="{7F146711-9F53-4077-8167-FEF6985BB1C7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S2" authorId="0" shapeId="0" xr:uid="{F5F80735-E2D7-4AA4-9BA8-D8C62563C574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14492E42-F9B4-4FBE-B779-9E694C6F6845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CD43B123-0401-4F97-8AD0-50C71CAB4602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0E1235E2-6C4D-43B8-97AD-D3E4D819D3B6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78AF337B-A655-4FFF-9449-BD3157BED0C6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M3" authorId="0" shapeId="0" xr:uid="{C4B88A4C-C40C-4594-BE7C-DBF7D94BB2A6}">
      <text>
        <r>
          <rPr>
            <b/>
            <sz val="9"/>
            <color indexed="81"/>
            <rFont val="Tahoma"/>
            <family val="2"/>
          </rPr>
          <t xml:space="preserve">en verde: bonos ny valen mas que ley local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N1" authorId="0" shapeId="0" xr:uid="{F506E9F2-348B-40B1-AA6D-54EAAC87448B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P1" authorId="0" shapeId="0" xr:uid="{3FD7B710-ABA3-4317-A88D-EE436EF7D088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  <comment ref="L23" authorId="0" shapeId="0" xr:uid="{9208E985-F8ED-49D1-8FEE-CE4FF28E365F}">
      <text>
        <r>
          <rPr>
            <b/>
            <sz val="9"/>
            <color indexed="81"/>
            <rFont val="Tahoma"/>
            <family val="2"/>
          </rPr>
          <t>Valor teorico del bono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R3" authorId="0" shapeId="0" xr:uid="{349F892E-095B-4D3F-BC93-9ECEF339F111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T3" authorId="0" shapeId="0" xr:uid="{A5A7F970-9FC6-4FEA-AF75-F18F4C13D781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  <comment ref="P24" authorId="0" shapeId="0" xr:uid="{B3DA2F73-D670-4572-8F8E-1CF77E8821A3}">
      <text>
        <r>
          <rPr>
            <b/>
            <sz val="9"/>
            <color indexed="81"/>
            <rFont val="Tahoma"/>
            <charset val="1"/>
          </rPr>
          <t>Valor teorico del bono</t>
        </r>
      </text>
    </comment>
    <comment ref="B25" authorId="0" shapeId="0" xr:uid="{974573A2-A5CC-4BE0-8275-AA7EB27569C0}">
      <text>
        <r>
          <rPr>
            <b/>
            <sz val="9"/>
            <color indexed="81"/>
            <rFont val="Tahoma"/>
            <family val="2"/>
          </rPr>
          <t>int corridos=renta anual x dias corridos en el periodo corriente/dias en el año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P2" authorId="0" shapeId="0" xr:uid="{74A0600E-DAAA-4E03-9D2A-D8B782607633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R2" authorId="0" shapeId="0" xr:uid="{C8E9C668-191C-4924-8544-D0F3D1CDEE55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P2" authorId="0" shapeId="0" xr:uid="{FEFFBB69-C5FC-424B-BB57-3D0D80BCAB72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R2" authorId="0" shapeId="0" xr:uid="{CEF40D97-352B-455A-8EE4-3EA841DA78A4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54D9BC43-EA7A-4C09-BDCF-A9BE024FAFF9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67F10693-FB75-4572-92DB-9DF416F3D3F2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391E03DD-F52D-44A0-9727-4D0116863576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A320FCE6-F998-4B0C-ADD8-6ECBA439368F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O2" authorId="0" shapeId="0" xr:uid="{7590A6F0-1B88-40E9-80AF-9B8B69ADC37F}">
      <text>
        <r>
          <rPr>
            <b/>
            <sz val="9"/>
            <color indexed="81"/>
            <rFont val="Tahoma"/>
            <charset val="1"/>
          </rPr>
          <t xml:space="preserve">t= periodo
</t>
        </r>
      </text>
    </comment>
    <comment ref="Q2" authorId="0" shapeId="0" xr:uid="{727D706B-BFA3-4938-9A56-45415ECB763D}">
      <text>
        <r>
          <rPr>
            <b/>
            <sz val="9"/>
            <color indexed="81"/>
            <rFont val="Tahoma"/>
            <charset val="1"/>
          </rPr>
          <t xml:space="preserve">t equivale al periodo
y periodo es c/año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32862B-E202-49DF-A962-085D63D9E37E}" name="Conexión" type="4" refreshedVersion="8" background="1" saveData="1">
    <webPr sourceData="1" parsePre="1" consecutive="1" url="https://iol.invertironline.com/mercado/cotizaciones/argentina/bonos" htmlTables="1"/>
  </connection>
</connections>
</file>

<file path=xl/sharedStrings.xml><?xml version="1.0" encoding="utf-8"?>
<sst xmlns="http://schemas.openxmlformats.org/spreadsheetml/2006/main" count="808" uniqueCount="212">
  <si>
    <t>Bono</t>
  </si>
  <si>
    <t>Precio</t>
  </si>
  <si>
    <t>int. Corridos</t>
  </si>
  <si>
    <t>Valor tecnico</t>
  </si>
  <si>
    <t>Paridad</t>
  </si>
  <si>
    <t>AL30</t>
  </si>
  <si>
    <t>int. corridos</t>
  </si>
  <si>
    <t>valor tec.</t>
  </si>
  <si>
    <t>&lt;-Desembolso(en este caso igual al precio actual del bono)</t>
  </si>
  <si>
    <t>tir(%):</t>
  </si>
  <si>
    <t>flujos para tir</t>
  </si>
  <si>
    <t>d</t>
  </si>
  <si>
    <t>dm</t>
  </si>
  <si>
    <t>Amortización (A)</t>
  </si>
  <si>
    <t>Símbolo</t>
  </si>
  <si>
    <t>Fecha Pago</t>
  </si>
  <si>
    <t>VR (%)</t>
  </si>
  <si>
    <t>VR Cartera(%)</t>
  </si>
  <si>
    <t>Renta (R)</t>
  </si>
  <si>
    <t>valor residual</t>
  </si>
  <si>
    <t>FECHA </t>
  </si>
  <si>
    <t>VALOR RESIDUAL (%) </t>
  </si>
  <si>
    <t>AMORTIZACIÓN (%) </t>
  </si>
  <si>
    <t>TOTALES</t>
  </si>
  <si>
    <t>al29</t>
  </si>
  <si>
    <t>AL29</t>
  </si>
  <si>
    <t>PRECIO BONO:</t>
  </si>
  <si>
    <t>Precio bono:</t>
  </si>
  <si>
    <t>AL35</t>
  </si>
  <si>
    <t>AL41</t>
  </si>
  <si>
    <t>GD29</t>
  </si>
  <si>
    <t>GD30</t>
  </si>
  <si>
    <t>GD35</t>
  </si>
  <si>
    <t>GD41</t>
  </si>
  <si>
    <t>GD46</t>
  </si>
  <si>
    <t>Ley NY. Especie (D)</t>
  </si>
  <si>
    <t>DM (Mod. Duration)</t>
  </si>
  <si>
    <t>Valor residual</t>
  </si>
  <si>
    <t>valor tecnico</t>
  </si>
  <si>
    <t>Valor. Residual (%)</t>
  </si>
  <si>
    <t>tir</t>
  </si>
  <si>
    <t>int corridos</t>
  </si>
  <si>
    <t>Int. Corridos</t>
  </si>
  <si>
    <t>int. Corridos:</t>
  </si>
  <si>
    <t>X SEMESTRE</t>
  </si>
  <si>
    <t>Valor. Residual</t>
  </si>
  <si>
    <t>Valor. Tec</t>
  </si>
  <si>
    <t>Tir (%)</t>
  </si>
  <si>
    <t>D</t>
  </si>
  <si>
    <t>DM</t>
  </si>
  <si>
    <t>AMORTIZACIÓN (A) </t>
  </si>
  <si>
    <t>A + R</t>
  </si>
  <si>
    <t>&lt;- precio bono</t>
  </si>
  <si>
    <t>RENTA (R)</t>
  </si>
  <si>
    <t xml:space="preserve">(A) + (R) </t>
  </si>
  <si>
    <t>(A) + (R)</t>
  </si>
  <si>
    <t>AMORTIZACIÓN (A)</t>
  </si>
  <si>
    <t>Precio bono</t>
  </si>
  <si>
    <t>flujo de caja:</t>
  </si>
  <si>
    <t>tot</t>
  </si>
  <si>
    <t>valor actualizado flujo de caja</t>
  </si>
  <si>
    <t>FC x T</t>
  </si>
  <si>
    <t>(t^2+t)</t>
  </si>
  <si>
    <t>VA FC * (t^2+t)</t>
  </si>
  <si>
    <t>convex</t>
  </si>
  <si>
    <t>ante variacion, medida por duration modificada</t>
  </si>
  <si>
    <t>si la tir baja 2%</t>
  </si>
  <si>
    <t>&lt;=&gt; el precio sube 10,6%</t>
  </si>
  <si>
    <t>Ante variacion, medida por convexity</t>
  </si>
  <si>
    <t>(el resultado siempre es positivo)</t>
  </si>
  <si>
    <t>Entonces(sumo duration + convex)</t>
  </si>
  <si>
    <t>&lt;=&gt; el precio sube 11,33% según convex</t>
  </si>
  <si>
    <t>Formula a tener presente: (1/2)*convex*(variacion tir esperada)^2</t>
  </si>
  <si>
    <t>Simulacion DM; Convexity</t>
  </si>
  <si>
    <t>Convexity</t>
  </si>
  <si>
    <t>Convex + DM</t>
  </si>
  <si>
    <t>Var(%) Tir tomada</t>
  </si>
  <si>
    <t>Total</t>
  </si>
  <si>
    <t>Ley local Especie (D)</t>
  </si>
  <si>
    <t>Rendimiento (R)</t>
  </si>
  <si>
    <t>precio</t>
  </si>
  <si>
    <t>Valor. Tec.</t>
  </si>
  <si>
    <t>Tir(%)</t>
  </si>
  <si>
    <t>&lt;- bond price</t>
  </si>
  <si>
    <t>GD38</t>
  </si>
  <si>
    <t>AE38</t>
  </si>
  <si>
    <t>precio:</t>
  </si>
  <si>
    <t>&lt;-bond price</t>
  </si>
  <si>
    <t>Duration</t>
  </si>
  <si>
    <t>Tir</t>
  </si>
  <si>
    <t>inicio</t>
  </si>
  <si>
    <t>YTD</t>
  </si>
  <si>
    <t>Price</t>
  </si>
  <si>
    <t>Inicio</t>
  </si>
  <si>
    <t>Ley Extranjera (Especie D)</t>
  </si>
  <si>
    <t>Ley local (Especie D)</t>
  </si>
  <si>
    <t>Avg</t>
  </si>
  <si>
    <t>Spread NY/local</t>
  </si>
  <si>
    <t>Último</t>
  </si>
  <si>
    <t>Mínimo</t>
  </si>
  <si>
    <t>Máximo</t>
  </si>
  <si>
    <t>-</t>
  </si>
  <si>
    <t>Valor teorico</t>
  </si>
  <si>
    <t>Convex</t>
  </si>
  <si>
    <t>Variación</t>
  </si>
  <si>
    <t>Operado</t>
  </si>
  <si>
    <t>Diaria</t>
  </si>
  <si>
    <t>Cantidad</t>
  </si>
  <si>
    <t>Compra</t>
  </si>
  <si>
    <t>Venta</t>
  </si>
  <si>
    <t>Cierre</t>
  </si>
  <si>
    <t>Monto</t>
  </si>
  <si>
    <t>T. I. R.</t>
  </si>
  <si>
    <t>Duración (MD)</t>
  </si>
  <si>
    <t xml:space="preserve">AE38 </t>
  </si>
  <si>
    <t xml:space="preserve">AE38C </t>
  </si>
  <si>
    <t xml:space="preserve">AE38D </t>
  </si>
  <si>
    <t xml:space="preserve">AL29 </t>
  </si>
  <si>
    <t xml:space="preserve">AL29C </t>
  </si>
  <si>
    <t xml:space="preserve">AL29D </t>
  </si>
  <si>
    <t xml:space="preserve">AL30 </t>
  </si>
  <si>
    <t xml:space="preserve">AL30C </t>
  </si>
  <si>
    <t xml:space="preserve">AL30D </t>
  </si>
  <si>
    <t xml:space="preserve">AL35 </t>
  </si>
  <si>
    <t xml:space="preserve">AL35C </t>
  </si>
  <si>
    <t xml:space="preserve">AL35D </t>
  </si>
  <si>
    <t xml:space="preserve">AL41 </t>
  </si>
  <si>
    <t xml:space="preserve">AL41C </t>
  </si>
  <si>
    <t xml:space="preserve">AL41D </t>
  </si>
  <si>
    <t xml:space="preserve">AY24C </t>
  </si>
  <si>
    <t xml:space="preserve">BA37D </t>
  </si>
  <si>
    <t xml:space="preserve">BA37E </t>
  </si>
  <si>
    <t xml:space="preserve">BA7DD </t>
  </si>
  <si>
    <t xml:space="preserve">BAY23 </t>
  </si>
  <si>
    <t xml:space="preserve">BB37D </t>
  </si>
  <si>
    <t xml:space="preserve">BB37E </t>
  </si>
  <si>
    <t xml:space="preserve">BC37D </t>
  </si>
  <si>
    <t xml:space="preserve">BDC24 </t>
  </si>
  <si>
    <t xml:space="preserve">BDC28 </t>
  </si>
  <si>
    <t xml:space="preserve">CH24D </t>
  </si>
  <si>
    <t xml:space="preserve">CO23 </t>
  </si>
  <si>
    <t xml:space="preserve">CO26 </t>
  </si>
  <si>
    <t xml:space="preserve">CO26D </t>
  </si>
  <si>
    <t xml:space="preserve">CUAP </t>
  </si>
  <si>
    <t xml:space="preserve">DICP </t>
  </si>
  <si>
    <t xml:space="preserve">DIP0 </t>
  </si>
  <si>
    <t xml:space="preserve">GD29 </t>
  </si>
  <si>
    <t xml:space="preserve">GD29C </t>
  </si>
  <si>
    <t xml:space="preserve">GD29D </t>
  </si>
  <si>
    <t xml:space="preserve">GD30 </t>
  </si>
  <si>
    <t xml:space="preserve">GD30C </t>
  </si>
  <si>
    <t xml:space="preserve">GD30D </t>
  </si>
  <si>
    <t xml:space="preserve">GD35 </t>
  </si>
  <si>
    <t xml:space="preserve">GD35C </t>
  </si>
  <si>
    <t xml:space="preserve">GD35D </t>
  </si>
  <si>
    <t xml:space="preserve">GD38 </t>
  </si>
  <si>
    <t xml:space="preserve">GD38C </t>
  </si>
  <si>
    <t xml:space="preserve">GD38D </t>
  </si>
  <si>
    <t xml:space="preserve">GD41 </t>
  </si>
  <si>
    <t xml:space="preserve">GD41C </t>
  </si>
  <si>
    <t xml:space="preserve">GD41D </t>
  </si>
  <si>
    <t xml:space="preserve">GD46 </t>
  </si>
  <si>
    <t xml:space="preserve">GD46C </t>
  </si>
  <si>
    <t xml:space="preserve">GD46D </t>
  </si>
  <si>
    <t xml:space="preserve">PAP0 </t>
  </si>
  <si>
    <t xml:space="preserve">PARP </t>
  </si>
  <si>
    <t xml:space="preserve">PBA25 </t>
  </si>
  <si>
    <t xml:space="preserve">PBY24 </t>
  </si>
  <si>
    <t xml:space="preserve">PM29D </t>
  </si>
  <si>
    <t xml:space="preserve">PMM29 </t>
  </si>
  <si>
    <t xml:space="preserve">PMY24 </t>
  </si>
  <si>
    <t xml:space="preserve">PR13 </t>
  </si>
  <si>
    <t xml:space="preserve">PUL26 </t>
  </si>
  <si>
    <t xml:space="preserve">SA24D </t>
  </si>
  <si>
    <t xml:space="preserve">SARH </t>
  </si>
  <si>
    <t xml:space="preserve">SFA23 </t>
  </si>
  <si>
    <t xml:space="preserve">T2V1C </t>
  </si>
  <si>
    <t xml:space="preserve">T2V1D </t>
  </si>
  <si>
    <t xml:space="preserve">T2V3 </t>
  </si>
  <si>
    <t xml:space="preserve">T2V3D </t>
  </si>
  <si>
    <t xml:space="preserve">T2X3 </t>
  </si>
  <si>
    <t xml:space="preserve">T2X4 </t>
  </si>
  <si>
    <t xml:space="preserve">TB23P </t>
  </si>
  <si>
    <t xml:space="preserve">TB24 </t>
  </si>
  <si>
    <t xml:space="preserve">TC23 </t>
  </si>
  <si>
    <t xml:space="preserve">TC25P </t>
  </si>
  <si>
    <t xml:space="preserve">TDF24 </t>
  </si>
  <si>
    <t xml:space="preserve">TDF4C </t>
  </si>
  <si>
    <t xml:space="preserve">TDF4D </t>
  </si>
  <si>
    <t xml:space="preserve">TDJ23 </t>
  </si>
  <si>
    <t xml:space="preserve">TDJ3D </t>
  </si>
  <si>
    <t xml:space="preserve">TDL23 </t>
  </si>
  <si>
    <t xml:space="preserve">TDS23 </t>
  </si>
  <si>
    <t xml:space="preserve">TDS3D </t>
  </si>
  <si>
    <t xml:space="preserve">TFU27 </t>
  </si>
  <si>
    <t xml:space="preserve">TO23 </t>
  </si>
  <si>
    <t xml:space="preserve">TO26 </t>
  </si>
  <si>
    <t xml:space="preserve">TV23 </t>
  </si>
  <si>
    <t xml:space="preserve">TV24 </t>
  </si>
  <si>
    <t xml:space="preserve">TVPA </t>
  </si>
  <si>
    <t xml:space="preserve">TVPE </t>
  </si>
  <si>
    <t xml:space="preserve">TVPP </t>
  </si>
  <si>
    <t xml:space="preserve">TVPY </t>
  </si>
  <si>
    <t xml:space="preserve">TX22 </t>
  </si>
  <si>
    <t xml:space="preserve">TX23 </t>
  </si>
  <si>
    <t xml:space="preserve">TX24 </t>
  </si>
  <si>
    <t xml:space="preserve">TX25 </t>
  </si>
  <si>
    <t xml:space="preserve">TX26 </t>
  </si>
  <si>
    <t xml:space="preserve">TX28 </t>
  </si>
  <si>
    <t xml:space="preserve">TY27P </t>
  </si>
  <si>
    <r>
      <rPr>
        <b/>
        <u/>
        <sz val="14"/>
        <color theme="1"/>
        <rFont val="Bahnschrift SemiBold"/>
        <family val="2"/>
      </rPr>
      <t>Autor:</t>
    </r>
    <r>
      <rPr>
        <b/>
        <sz val="14"/>
        <color theme="1"/>
        <rFont val="Bahnschrift SemiBold"/>
        <family val="2"/>
      </rPr>
      <t xml:space="preserve"> Cremona, Juan.</t>
    </r>
  </si>
  <si>
    <t>https://github.com/juanupla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</si>
</sst>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4"/>
      <color theme="1"/>
      <name val="Bahnschrift SemiBold"/>
      <family val="2"/>
    </font>
    <font>
      <b/>
      <sz val="14"/>
      <color theme="1"/>
      <name val="Bahnschrift SemiBold"/>
      <family val="2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49">
    <xf numFmtId="0" fontId="0" fillId="0" borderId="0" xfId="0"/>
    <xf numFmtId="14" fontId="0" fillId="0" borderId="0" xfId="0" applyNumberFormat="1"/>
    <xf numFmtId="10" fontId="0" fillId="0" borderId="0" xfId="2" applyNumberFormat="1" applyFont="1" applyBorder="1"/>
    <xf numFmtId="10" fontId="0" fillId="0" borderId="0" xfId="2" applyNumberFormat="1" applyFont="1"/>
    <xf numFmtId="9" fontId="0" fillId="0" borderId="0" xfId="0" applyNumberFormat="1"/>
    <xf numFmtId="164" fontId="0" fillId="0" borderId="0" xfId="2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0" xfId="1" applyNumberFormat="1" applyFont="1" applyFill="1" applyBorder="1"/>
    <xf numFmtId="10" fontId="0" fillId="0" borderId="0" xfId="0" applyNumberFormat="1"/>
    <xf numFmtId="0" fontId="0" fillId="0" borderId="1" xfId="0" applyBorder="1"/>
    <xf numFmtId="10" fontId="0" fillId="0" borderId="1" xfId="2" applyNumberFormat="1" applyFont="1" applyBorder="1"/>
    <xf numFmtId="0" fontId="0" fillId="0" borderId="2" xfId="0" applyBorder="1"/>
    <xf numFmtId="10" fontId="0" fillId="0" borderId="3" xfId="2" applyNumberFormat="1" applyFont="1" applyBorder="1"/>
    <xf numFmtId="0" fontId="0" fillId="8" borderId="0" xfId="0" applyFill="1"/>
    <xf numFmtId="14" fontId="0" fillId="8" borderId="0" xfId="0" applyNumberFormat="1" applyFill="1"/>
    <xf numFmtId="10" fontId="0" fillId="8" borderId="0" xfId="0" applyNumberFormat="1" applyFill="1"/>
    <xf numFmtId="165" fontId="0" fillId="5" borderId="2" xfId="0" applyNumberFormat="1" applyFill="1" applyBorder="1" applyAlignment="1">
      <alignment horizontal="right"/>
    </xf>
    <xf numFmtId="2" fontId="0" fillId="2" borderId="0" xfId="2" applyNumberFormat="1" applyFont="1" applyFill="1"/>
    <xf numFmtId="2" fontId="0" fillId="6" borderId="4" xfId="0" applyNumberForma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165" fontId="0" fillId="5" borderId="0" xfId="0" applyNumberFormat="1" applyFill="1"/>
    <xf numFmtId="2" fontId="0" fillId="8" borderId="0" xfId="0" applyNumberFormat="1" applyFill="1"/>
    <xf numFmtId="0" fontId="0" fillId="9" borderId="0" xfId="0" applyFill="1"/>
    <xf numFmtId="0" fontId="0" fillId="12" borderId="0" xfId="0" applyFill="1"/>
    <xf numFmtId="165" fontId="0" fillId="12" borderId="0" xfId="0" applyNumberFormat="1" applyFill="1"/>
    <xf numFmtId="2" fontId="0" fillId="12" borderId="0" xfId="2" applyNumberFormat="1" applyFont="1" applyFill="1"/>
    <xf numFmtId="10" fontId="0" fillId="12" borderId="0" xfId="0" applyNumberFormat="1" applyFill="1"/>
    <xf numFmtId="10" fontId="0" fillId="0" borderId="8" xfId="0" applyNumberFormat="1" applyBorder="1"/>
    <xf numFmtId="10" fontId="0" fillId="0" borderId="6" xfId="0" applyNumberFormat="1" applyBorder="1"/>
    <xf numFmtId="10" fontId="0" fillId="0" borderId="13" xfId="0" applyNumberFormat="1" applyBorder="1"/>
    <xf numFmtId="165" fontId="0" fillId="12" borderId="0" xfId="1" applyNumberFormat="1" applyFont="1" applyFill="1" applyAlignment="1">
      <alignment horizontal="right" wrapText="1"/>
    </xf>
    <xf numFmtId="10" fontId="0" fillId="12" borderId="0" xfId="2" applyNumberFormat="1" applyFont="1" applyFill="1"/>
    <xf numFmtId="2" fontId="0" fillId="6" borderId="5" xfId="0" applyNumberFormat="1" applyFill="1" applyBorder="1"/>
    <xf numFmtId="2" fontId="0" fillId="6" borderId="14" xfId="0" applyNumberFormat="1" applyFill="1" applyBorder="1"/>
    <xf numFmtId="165" fontId="0" fillId="5" borderId="12" xfId="0" applyNumberFormat="1" applyFill="1" applyBorder="1"/>
    <xf numFmtId="0" fontId="0" fillId="13" borderId="0" xfId="0" applyFill="1"/>
    <xf numFmtId="10" fontId="0" fillId="13" borderId="0" xfId="0" applyNumberFormat="1" applyFill="1"/>
    <xf numFmtId="0" fontId="2" fillId="13" borderId="0" xfId="0" applyFont="1" applyFill="1"/>
    <xf numFmtId="0" fontId="0" fillId="0" borderId="12" xfId="0" applyBorder="1"/>
    <xf numFmtId="165" fontId="0" fillId="2" borderId="1" xfId="2" applyNumberFormat="1" applyFont="1" applyFill="1" applyBorder="1"/>
    <xf numFmtId="165" fontId="0" fillId="2" borderId="1" xfId="0" applyNumberFormat="1" applyFill="1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0" fontId="0" fillId="0" borderId="4" xfId="0" applyNumberFormat="1" applyBorder="1"/>
    <xf numFmtId="0" fontId="0" fillId="10" borderId="14" xfId="0" applyFill="1" applyBorder="1"/>
    <xf numFmtId="0" fontId="0" fillId="10" borderId="12" xfId="0" applyFill="1" applyBorder="1"/>
    <xf numFmtId="0" fontId="0" fillId="10" borderId="15" xfId="0" applyFill="1" applyBorder="1"/>
    <xf numFmtId="0" fontId="0" fillId="9" borderId="14" xfId="0" applyFill="1" applyBorder="1"/>
    <xf numFmtId="0" fontId="0" fillId="9" borderId="12" xfId="0" applyFill="1" applyBorder="1"/>
    <xf numFmtId="0" fontId="0" fillId="9" borderId="15" xfId="0" applyFill="1" applyBorder="1"/>
    <xf numFmtId="0" fontId="0" fillId="10" borderId="0" xfId="0" applyFill="1"/>
    <xf numFmtId="14" fontId="0" fillId="14" borderId="0" xfId="0" applyNumberFormat="1" applyFill="1"/>
    <xf numFmtId="10" fontId="0" fillId="14" borderId="0" xfId="0" applyNumberFormat="1" applyFill="1"/>
    <xf numFmtId="0" fontId="0" fillId="14" borderId="0" xfId="0" applyFill="1"/>
    <xf numFmtId="0" fontId="0" fillId="0" borderId="7" xfId="0" applyBorder="1"/>
    <xf numFmtId="0" fontId="0" fillId="0" borderId="10" xfId="0" applyBorder="1"/>
    <xf numFmtId="0" fontId="0" fillId="0" borderId="13" xfId="0" applyBorder="1"/>
    <xf numFmtId="0" fontId="0" fillId="0" borderId="9" xfId="0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0" borderId="11" xfId="0" applyBorder="1"/>
    <xf numFmtId="0" fontId="6" fillId="0" borderId="6" xfId="0" applyFont="1" applyBorder="1"/>
    <xf numFmtId="0" fontId="6" fillId="0" borderId="8" xfId="0" applyFont="1" applyBorder="1"/>
    <xf numFmtId="0" fontId="6" fillId="0" borderId="13" xfId="0" applyFont="1" applyBorder="1"/>
    <xf numFmtId="0" fontId="0" fillId="10" borderId="7" xfId="0" applyFill="1" applyBorder="1"/>
    <xf numFmtId="0" fontId="0" fillId="10" borderId="13" xfId="0" applyFill="1" applyBorder="1"/>
    <xf numFmtId="0" fontId="6" fillId="0" borderId="0" xfId="0" applyFont="1"/>
    <xf numFmtId="10" fontId="0" fillId="10" borderId="8" xfId="0" applyNumberFormat="1" applyFill="1" applyBorder="1"/>
    <xf numFmtId="10" fontId="0" fillId="10" borderId="13" xfId="0" applyNumberFormat="1" applyFill="1" applyBorder="1"/>
    <xf numFmtId="0" fontId="6" fillId="0" borderId="2" xfId="0" applyFont="1" applyBorder="1"/>
    <xf numFmtId="0" fontId="0" fillId="13" borderId="1" xfId="0" applyFill="1" applyBorder="1"/>
    <xf numFmtId="10" fontId="0" fillId="13" borderId="1" xfId="0" applyNumberFormat="1" applyFill="1" applyBorder="1"/>
    <xf numFmtId="166" fontId="0" fillId="0" borderId="0" xfId="0" applyNumberFormat="1"/>
    <xf numFmtId="0" fontId="0" fillId="15" borderId="13" xfId="0" applyFill="1" applyBorder="1"/>
    <xf numFmtId="10" fontId="0" fillId="15" borderId="8" xfId="0" applyNumberFormat="1" applyFill="1" applyBorder="1"/>
    <xf numFmtId="10" fontId="0" fillId="0" borderId="7" xfId="0" applyNumberFormat="1" applyBorder="1"/>
    <xf numFmtId="0" fontId="0" fillId="16" borderId="14" xfId="0" applyFill="1" applyBorder="1"/>
    <xf numFmtId="0" fontId="0" fillId="16" borderId="12" xfId="0" applyFill="1" applyBorder="1"/>
    <xf numFmtId="0" fontId="0" fillId="16" borderId="15" xfId="0" applyFill="1" applyBorder="1"/>
    <xf numFmtId="0" fontId="6" fillId="5" borderId="2" xfId="0" applyFont="1" applyFill="1" applyBorder="1"/>
    <xf numFmtId="10" fontId="0" fillId="5" borderId="3" xfId="2" applyNumberFormat="1" applyFont="1" applyFill="1" applyBorder="1"/>
    <xf numFmtId="0" fontId="6" fillId="5" borderId="0" xfId="0" applyFont="1" applyFill="1"/>
    <xf numFmtId="10" fontId="0" fillId="5" borderId="1" xfId="2" applyNumberFormat="1" applyFont="1" applyFill="1" applyBorder="1"/>
    <xf numFmtId="2" fontId="0" fillId="17" borderId="4" xfId="2" applyNumberFormat="1" applyFont="1" applyFill="1" applyBorder="1"/>
    <xf numFmtId="2" fontId="0" fillId="17" borderId="4" xfId="0" applyNumberFormat="1" applyFill="1" applyBorder="1"/>
    <xf numFmtId="165" fontId="0" fillId="7" borderId="0" xfId="0" applyNumberFormat="1" applyFill="1"/>
    <xf numFmtId="165" fontId="0" fillId="8" borderId="3" xfId="0" applyNumberFormat="1" applyFill="1" applyBorder="1"/>
    <xf numFmtId="165" fontId="0" fillId="8" borderId="1" xfId="0" applyNumberFormat="1" applyFill="1" applyBorder="1"/>
    <xf numFmtId="165" fontId="0" fillId="8" borderId="15" xfId="0" applyNumberFormat="1" applyFill="1" applyBorder="1"/>
    <xf numFmtId="0" fontId="0" fillId="7" borderId="16" xfId="0" applyFill="1" applyBorder="1"/>
    <xf numFmtId="10" fontId="0" fillId="7" borderId="16" xfId="2" applyNumberFormat="1" applyFont="1" applyFill="1" applyBorder="1"/>
    <xf numFmtId="0" fontId="0" fillId="7" borderId="16" xfId="0" applyFill="1" applyBorder="1" applyAlignment="1">
      <alignment horizontal="center"/>
    </xf>
    <xf numFmtId="0" fontId="0" fillId="7" borderId="16" xfId="0" applyFill="1" applyBorder="1" applyAlignment="1">
      <alignment horizontal="center" wrapText="1"/>
    </xf>
    <xf numFmtId="10" fontId="0" fillId="7" borderId="16" xfId="2" applyNumberFormat="1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5" borderId="19" xfId="0" applyNumberFormat="1" applyFill="1" applyBorder="1"/>
    <xf numFmtId="165" fontId="2" fillId="0" borderId="19" xfId="0" applyNumberFormat="1" applyFont="1" applyBorder="1"/>
    <xf numFmtId="165" fontId="0" fillId="0" borderId="19" xfId="0" applyNumberFormat="1" applyBorder="1"/>
    <xf numFmtId="0" fontId="6" fillId="5" borderId="20" xfId="0" applyFont="1" applyFill="1" applyBorder="1"/>
    <xf numFmtId="10" fontId="0" fillId="5" borderId="21" xfId="2" applyNumberFormat="1" applyFont="1" applyFill="1" applyBorder="1"/>
    <xf numFmtId="2" fontId="0" fillId="6" borderId="22" xfId="0" applyNumberFormat="1" applyFill="1" applyBorder="1"/>
    <xf numFmtId="165" fontId="0" fillId="5" borderId="20" xfId="0" applyNumberFormat="1" applyFill="1" applyBorder="1"/>
    <xf numFmtId="165" fontId="0" fillId="8" borderId="21" xfId="0" applyNumberFormat="1" applyFill="1" applyBorder="1"/>
    <xf numFmtId="165" fontId="0" fillId="5" borderId="23" xfId="0" applyNumberFormat="1" applyFill="1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10" fontId="0" fillId="0" borderId="27" xfId="0" applyNumberFormat="1" applyBorder="1"/>
    <xf numFmtId="10" fontId="0" fillId="0" borderId="28" xfId="0" applyNumberFormat="1" applyBorder="1"/>
    <xf numFmtId="10" fontId="0" fillId="0" borderId="29" xfId="0" applyNumberFormat="1" applyBorder="1"/>
    <xf numFmtId="10" fontId="0" fillId="0" borderId="30" xfId="0" applyNumberFormat="1" applyBorder="1"/>
    <xf numFmtId="10" fontId="0" fillId="0" borderId="31" xfId="0" applyNumberFormat="1" applyBorder="1"/>
    <xf numFmtId="10" fontId="0" fillId="0" borderId="32" xfId="0" applyNumberFormat="1" applyBorder="1"/>
    <xf numFmtId="10" fontId="6" fillId="19" borderId="2" xfId="2" applyNumberFormat="1" applyFont="1" applyFill="1" applyBorder="1"/>
    <xf numFmtId="10" fontId="6" fillId="18" borderId="0" xfId="2" applyNumberFormat="1" applyFont="1" applyFill="1" applyBorder="1"/>
    <xf numFmtId="10" fontId="6" fillId="19" borderId="0" xfId="2" applyNumberFormat="1" applyFont="1" applyFill="1" applyBorder="1"/>
    <xf numFmtId="10" fontId="6" fillId="19" borderId="12" xfId="2" applyNumberFormat="1" applyFont="1" applyFill="1" applyBorder="1"/>
    <xf numFmtId="10" fontId="6" fillId="19" borderId="20" xfId="2" applyNumberFormat="1" applyFont="1" applyFill="1" applyBorder="1"/>
    <xf numFmtId="165" fontId="0" fillId="7" borderId="0" xfId="1" applyNumberFormat="1" applyFont="1" applyFill="1" applyBorder="1" applyAlignment="1">
      <alignment horizontal="right"/>
    </xf>
    <xf numFmtId="3" fontId="0" fillId="13" borderId="0" xfId="0" applyNumberFormat="1" applyFill="1"/>
    <xf numFmtId="4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3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ysClr val="windowText" lastClr="000000"/>
                </a:solidFill>
              </a:rPr>
              <a:t>Curva ley</a:t>
            </a:r>
            <a:r>
              <a:rPr lang="es-AR" baseline="0">
                <a:solidFill>
                  <a:sysClr val="windowText" lastClr="000000"/>
                </a:solidFill>
              </a:rPr>
              <a:t> local</a:t>
            </a:r>
            <a:endParaRPr lang="es-AR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753678915135608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Tablero!$B$6:$B$10</c:f>
              <c:strCache>
                <c:ptCount val="5"/>
                <c:pt idx="0">
                  <c:v>AL29</c:v>
                </c:pt>
                <c:pt idx="1">
                  <c:v>AL30</c:v>
                </c:pt>
                <c:pt idx="2">
                  <c:v>AL35</c:v>
                </c:pt>
                <c:pt idx="3">
                  <c:v>AE38</c:v>
                </c:pt>
                <c:pt idx="4">
                  <c:v>AL41</c:v>
                </c:pt>
              </c:strCache>
            </c:strRef>
          </c:cat>
          <c:val>
            <c:numRef>
              <c:f>Tablero!$H$6:$H$10</c:f>
              <c:numCache>
                <c:formatCode>0.00%</c:formatCode>
                <c:ptCount val="5"/>
                <c:pt idx="0">
                  <c:v>0.25253409743309019</c:v>
                </c:pt>
                <c:pt idx="1">
                  <c:v>0.46539074778556822</c:v>
                </c:pt>
                <c:pt idx="2">
                  <c:v>0.17265684008598325</c:v>
                </c:pt>
                <c:pt idx="3">
                  <c:v>0.17882530093193058</c:v>
                </c:pt>
                <c:pt idx="4">
                  <c:v>0.15714785456657412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D-4C6A-9BCE-54DFC8FB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003864"/>
        <c:axId val="604999928"/>
      </c:lineChart>
      <c:catAx>
        <c:axId val="60500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4999928"/>
        <c:crosses val="autoZero"/>
        <c:auto val="1"/>
        <c:lblAlgn val="ctr"/>
        <c:lblOffset val="100"/>
        <c:noMultiLvlLbl val="0"/>
      </c:catAx>
      <c:valAx>
        <c:axId val="604999928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5003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ysClr val="windowText" lastClr="000000"/>
                </a:solidFill>
              </a:rPr>
              <a:t>Curva ley 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Tablero!$B$11:$B$16</c:f>
              <c:strCache>
                <c:ptCount val="6"/>
                <c:pt idx="0">
                  <c:v>GD29</c:v>
                </c:pt>
                <c:pt idx="1">
                  <c:v>GD30</c:v>
                </c:pt>
                <c:pt idx="2">
                  <c:v>GD35</c:v>
                </c:pt>
                <c:pt idx="3">
                  <c:v>GD38</c:v>
                </c:pt>
                <c:pt idx="4">
                  <c:v>GD41</c:v>
                </c:pt>
                <c:pt idx="5">
                  <c:v>GD46</c:v>
                </c:pt>
              </c:strCache>
            </c:strRef>
          </c:cat>
          <c:val>
            <c:numRef>
              <c:f>Tablero!$H$11:$H$16</c:f>
              <c:numCache>
                <c:formatCode>0.00%</c:formatCode>
                <c:ptCount val="6"/>
                <c:pt idx="0">
                  <c:v>0.20692084431648256</c:v>
                </c:pt>
                <c:pt idx="1">
                  <c:v>0.21304861903190617</c:v>
                </c:pt>
                <c:pt idx="2">
                  <c:v>0.17717530131340031</c:v>
                </c:pt>
                <c:pt idx="3">
                  <c:v>0.18411384224891666</c:v>
                </c:pt>
                <c:pt idx="4">
                  <c:v>0.17649326920509342</c:v>
                </c:pt>
                <c:pt idx="5">
                  <c:v>0.17290151715278629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C-4BA6-9584-35632F97F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837992"/>
        <c:axId val="623833728"/>
      </c:lineChart>
      <c:catAx>
        <c:axId val="62383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833728"/>
        <c:crosses val="autoZero"/>
        <c:auto val="1"/>
        <c:lblAlgn val="ctr"/>
        <c:lblOffset val="100"/>
        <c:noMultiLvlLbl val="0"/>
      </c:catAx>
      <c:valAx>
        <c:axId val="623833728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383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ysClr val="windowText" lastClr="000000"/>
                </a:solidFill>
              </a:rPr>
              <a:t>Curvas de rendimientos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563354717505743E-3"/>
                  <c:y val="-6.514086513772293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AL29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0001"/>
                        <a:gd name="adj2" fmla="val 58421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8-AD3C-42A9-A04A-1016DEF63B5E}"/>
                </c:ext>
              </c:extLst>
            </c:dLbl>
            <c:dLbl>
              <c:idx val="1"/>
              <c:layout>
                <c:manualLayout>
                  <c:x val="-3.9415779052035353E-2"/>
                  <c:y val="-6.755005767272725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AL30</a:t>
                    </a:r>
                  </a:p>
                </c:rich>
              </c:tx>
              <c:spPr>
                <a:xfrm>
                  <a:off x="1237884" y="1019128"/>
                  <a:ext cx="368484" cy="19846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9193"/>
                        <a:gd name="adj2" fmla="val 2072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9636318556033463E-2"/>
                      <c:h val="6.113916341329445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9-AD3C-42A9-A04A-1016DEF63B5E}"/>
                </c:ext>
              </c:extLst>
            </c:dLbl>
            <c:dLbl>
              <c:idx val="2"/>
              <c:layout>
                <c:manualLayout>
                  <c:x val="2.0913212434184963E-2"/>
                  <c:y val="-4.816828957903268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AL35</a:t>
                    </a: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5626"/>
                        <a:gd name="adj2" fmla="val 10623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7-AD3C-42A9-A04A-1016DEF63B5E}"/>
                </c:ext>
              </c:extLst>
            </c:dLbl>
            <c:dLbl>
              <c:idx val="3"/>
              <c:layout>
                <c:manualLayout>
                  <c:x val="8.2215693519314837E-3"/>
                  <c:y val="-7.042255690564641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AE38;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453"/>
                        <a:gd name="adj2" fmla="val 47800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6-AD3C-42A9-A04A-1016DEF63B5E}"/>
                </c:ext>
              </c:extLst>
            </c:dLbl>
            <c:dLbl>
              <c:idx val="4"/>
              <c:layout>
                <c:manualLayout>
                  <c:x val="1.5684261957973216E-2"/>
                  <c:y val="-5.073011802709642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AL41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6920"/>
                        <a:gd name="adj2" fmla="val 40718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0-C544-4058-9284-74981C8CCCD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Tablero!$B$11:$B$16</c:f>
              <c:strCache>
                <c:ptCount val="6"/>
                <c:pt idx="0">
                  <c:v>GD29</c:v>
                </c:pt>
                <c:pt idx="1">
                  <c:v>GD30</c:v>
                </c:pt>
                <c:pt idx="2">
                  <c:v>GD35</c:v>
                </c:pt>
                <c:pt idx="3">
                  <c:v>GD38</c:v>
                </c:pt>
                <c:pt idx="4">
                  <c:v>GD41</c:v>
                </c:pt>
                <c:pt idx="5">
                  <c:v>GD46</c:v>
                </c:pt>
              </c:strCache>
            </c:strRef>
          </c:cat>
          <c:val>
            <c:numRef>
              <c:f>Tablero!$H$6:$H$10</c:f>
              <c:numCache>
                <c:formatCode>0.00%</c:formatCode>
                <c:ptCount val="5"/>
                <c:pt idx="0">
                  <c:v>0.25253409743309019</c:v>
                </c:pt>
                <c:pt idx="1">
                  <c:v>0.46539074778556822</c:v>
                </c:pt>
                <c:pt idx="2">
                  <c:v>0.17265684008598325</c:v>
                </c:pt>
                <c:pt idx="3">
                  <c:v>0.17882530093193058</c:v>
                </c:pt>
                <c:pt idx="4">
                  <c:v>0.15714785456657412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C-42A9-A04A-1016DEF63B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Tablero!$B$11:$B$16</c:f>
              <c:strCache>
                <c:ptCount val="6"/>
                <c:pt idx="0">
                  <c:v>GD29</c:v>
                </c:pt>
                <c:pt idx="1">
                  <c:v>GD30</c:v>
                </c:pt>
                <c:pt idx="2">
                  <c:v>GD35</c:v>
                </c:pt>
                <c:pt idx="3">
                  <c:v>GD38</c:v>
                </c:pt>
                <c:pt idx="4">
                  <c:v>GD41</c:v>
                </c:pt>
                <c:pt idx="5">
                  <c:v>GD46</c:v>
                </c:pt>
              </c:strCache>
            </c:strRef>
          </c:cat>
          <c:val>
            <c:numRef>
              <c:f>Tablero!$H$11:$H$16</c:f>
              <c:numCache>
                <c:formatCode>0.00%</c:formatCode>
                <c:ptCount val="6"/>
                <c:pt idx="0">
                  <c:v>0.20692084431648256</c:v>
                </c:pt>
                <c:pt idx="1">
                  <c:v>0.21304861903190617</c:v>
                </c:pt>
                <c:pt idx="2">
                  <c:v>0.17717530131340031</c:v>
                </c:pt>
                <c:pt idx="3">
                  <c:v>0.18411384224891666</c:v>
                </c:pt>
                <c:pt idx="4">
                  <c:v>0.17649326920509342</c:v>
                </c:pt>
                <c:pt idx="5">
                  <c:v>0.17290151715278629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3C-42A9-A04A-1016DEF6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660160"/>
        <c:axId val="598656224"/>
      </c:lineChart>
      <c:catAx>
        <c:axId val="5986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656224"/>
        <c:crosses val="autoZero"/>
        <c:auto val="1"/>
        <c:lblAlgn val="ctr"/>
        <c:lblOffset val="100"/>
        <c:noMultiLvlLbl val="0"/>
      </c:catAx>
      <c:valAx>
        <c:axId val="598656224"/>
        <c:scaling>
          <c:orientation val="minMax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6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386715</xdr:colOff>
      <xdr:row>20</xdr:row>
      <xdr:rowOff>141922</xdr:rowOff>
    </xdr:from>
    <xdr:to>
      <xdr:col>11</xdr:col>
      <xdr:colOff>1226820</xdr:colOff>
      <xdr:row>36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342ACC-7BFE-4336-97A0-87BBB0D7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402907</xdr:colOff>
      <xdr:row>37</xdr:row>
      <xdr:rowOff>42862</xdr:rowOff>
    </xdr:from>
    <xdr:to>
      <xdr:col>11</xdr:col>
      <xdr:colOff>1234440</xdr:colOff>
      <xdr:row>53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821F36-A270-4298-9500-51C2D1D88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413385</xdr:colOff>
      <xdr:row>20</xdr:row>
      <xdr:rowOff>169546</xdr:rowOff>
    </xdr:from>
    <xdr:to>
      <xdr:col>7</xdr:col>
      <xdr:colOff>44769</xdr:colOff>
      <xdr:row>38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0AA5B2-3962-445B-B103-9119C3FF8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nos" connectionId="1" xr16:uid="{A7BE76F8-C72D-40ED-80A7-D9FD9CA8B3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uanupl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D55A-E560-4093-98F9-B5263D76F29B}">
  <dimension ref="A1:O25"/>
  <sheetViews>
    <sheetView showGridLines="0" tabSelected="1" workbookViewId="0">
      <selection activeCell="I3" sqref="I3"/>
    </sheetView>
  </sheetViews>
  <sheetFormatPr baseColWidth="10" defaultRowHeight="14.4" x14ac:dyDescent="0.3"/>
  <cols>
    <col min="3" max="3" width="12.33203125" customWidth="1"/>
    <col min="4" max="4" width="15" style="3" customWidth="1"/>
    <col min="5" max="5" width="16.88671875" customWidth="1"/>
    <col min="6" max="6" width="15.6640625" bestFit="1" customWidth="1"/>
    <col min="7" max="7" width="12.33203125" bestFit="1" customWidth="1"/>
    <col min="8" max="8" width="11.5546875" style="3"/>
    <col min="9" max="9" width="17.88671875" customWidth="1"/>
    <col min="10" max="10" width="12.44140625" customWidth="1"/>
    <col min="11" max="11" width="22.44140625" customWidth="1"/>
    <col min="12" max="12" width="23.33203125" customWidth="1"/>
    <col min="13" max="13" width="18.109375" customWidth="1"/>
    <col min="14" max="14" width="14.44140625" customWidth="1"/>
    <col min="15" max="15" width="15.6640625" customWidth="1"/>
  </cols>
  <sheetData>
    <row r="1" spans="1:15" ht="14.4" customHeight="1" x14ac:dyDescent="0.3">
      <c r="B1" s="137" t="s">
        <v>210</v>
      </c>
      <c r="C1" s="137"/>
      <c r="D1" s="137"/>
      <c r="E1" s="137"/>
      <c r="F1" s="137"/>
      <c r="G1" s="137"/>
      <c r="H1"/>
    </row>
    <row r="2" spans="1:15" x14ac:dyDescent="0.3">
      <c r="D2" s="139" t="s">
        <v>211</v>
      </c>
      <c r="E2" s="138"/>
      <c r="H2"/>
    </row>
    <row r="3" spans="1:15" x14ac:dyDescent="0.3">
      <c r="D3" s="2"/>
      <c r="F3" s="138"/>
      <c r="G3" s="138"/>
      <c r="H3" s="138"/>
    </row>
    <row r="4" spans="1:15" ht="15" thickBot="1" x14ac:dyDescent="0.35">
      <c r="D4" s="2"/>
      <c r="H4" s="2"/>
      <c r="L4" s="128" t="s">
        <v>73</v>
      </c>
      <c r="M4" s="129"/>
      <c r="N4" s="130"/>
    </row>
    <row r="5" spans="1:15" ht="21" customHeight="1" thickTop="1" x14ac:dyDescent="0.3">
      <c r="A5" s="95"/>
      <c r="B5" s="95" t="s">
        <v>0</v>
      </c>
      <c r="C5" s="95" t="s">
        <v>1</v>
      </c>
      <c r="D5" s="96" t="s">
        <v>4</v>
      </c>
      <c r="E5" s="97" t="s">
        <v>39</v>
      </c>
      <c r="F5" s="98" t="s">
        <v>42</v>
      </c>
      <c r="G5" s="97" t="s">
        <v>3</v>
      </c>
      <c r="H5" s="99" t="s">
        <v>47</v>
      </c>
      <c r="I5" s="100" t="s">
        <v>36</v>
      </c>
      <c r="J5" s="101" t="s">
        <v>74</v>
      </c>
      <c r="L5" s="111" t="s">
        <v>49</v>
      </c>
      <c r="M5" s="112" t="s">
        <v>74</v>
      </c>
      <c r="N5" s="113" t="s">
        <v>75</v>
      </c>
      <c r="O5" t="s">
        <v>76</v>
      </c>
    </row>
    <row r="6" spans="1:15" collapsed="1" x14ac:dyDescent="0.3">
      <c r="A6" s="131" t="s">
        <v>78</v>
      </c>
      <c r="B6" s="85" t="s">
        <v>25</v>
      </c>
      <c r="C6" s="85">
        <f>'AL29'!J13</f>
        <v>27</v>
      </c>
      <c r="D6" s="86">
        <f>C6%</f>
        <v>0.27</v>
      </c>
      <c r="E6" s="36">
        <f ca="1">'AL29'!I30</f>
        <v>100</v>
      </c>
      <c r="F6" s="19">
        <f ca="1">'AL29'!$I$33</f>
        <v>1.9666570749010655E-3</v>
      </c>
      <c r="G6" s="19">
        <f ca="1">'AL29'!I27</f>
        <v>102.3519666570749</v>
      </c>
      <c r="H6" s="120">
        <f>'AL29'!L27</f>
        <v>0.25253409743309019</v>
      </c>
      <c r="I6" s="92">
        <f>'AL29'!L31</f>
        <v>4.4899999601879204</v>
      </c>
      <c r="J6" s="102">
        <f>'AL29'!R23</f>
        <v>27.569414384736621</v>
      </c>
      <c r="K6">
        <v>29</v>
      </c>
      <c r="L6" s="114">
        <f>+(O6)*-I6</f>
        <v>4.4899999601879202E-2</v>
      </c>
      <c r="M6" s="31">
        <f>(1/2)*J6*(O6)^2</f>
        <v>1.378470719236831E-3</v>
      </c>
      <c r="N6" s="115">
        <f>L6+M6</f>
        <v>4.6278470321116032E-2</v>
      </c>
      <c r="O6" s="11">
        <v>-0.01</v>
      </c>
    </row>
    <row r="7" spans="1:15" ht="14.4" customHeight="1" x14ac:dyDescent="0.3">
      <c r="A7" s="132"/>
      <c r="B7" s="72" t="s">
        <v>5</v>
      </c>
      <c r="C7" s="72">
        <f>'AL30'!L5</f>
        <v>24</v>
      </c>
      <c r="D7" s="13">
        <f>C7%</f>
        <v>0.24</v>
      </c>
      <c r="E7" s="89">
        <f ca="1">'AL30'!F25</f>
        <v>100</v>
      </c>
      <c r="F7" s="91">
        <f ca="1">'AL30'!C25</f>
        <v>9.8332853745053276E-4</v>
      </c>
      <c r="G7" s="125">
        <f ca="1">'AL30'!C27</f>
        <v>100.85688879147378</v>
      </c>
      <c r="H7" s="121">
        <f ca="1">'AL30'!$H$30</f>
        <v>0.46539074778556822</v>
      </c>
      <c r="I7" s="43">
        <f ca="1">'AL30'!C30</f>
        <v>1.4240724154059052</v>
      </c>
      <c r="J7" s="103">
        <f ca="1">'AL30'!V24</f>
        <v>7.2811287786536294</v>
      </c>
      <c r="K7">
        <v>30</v>
      </c>
      <c r="L7" s="114">
        <f t="shared" ref="L7:L16" ca="1" si="0">+(O7)*-I7</f>
        <v>1.4240724154059053E-2</v>
      </c>
      <c r="M7" s="31">
        <f t="shared" ref="M7:M16" ca="1" si="1">(1/2)*J7*(O7)^2</f>
        <v>3.6405643893268151E-4</v>
      </c>
      <c r="N7" s="116">
        <f t="shared" ref="N7:N16" ca="1" si="2">L7+M7</f>
        <v>1.4604780592991735E-2</v>
      </c>
      <c r="O7" s="11">
        <v>-0.01</v>
      </c>
    </row>
    <row r="8" spans="1:15" collapsed="1" x14ac:dyDescent="0.3">
      <c r="A8" s="132"/>
      <c r="B8" s="87" t="s">
        <v>28</v>
      </c>
      <c r="C8" s="87">
        <f>'AL35'!K3</f>
        <v>28.8</v>
      </c>
      <c r="D8" s="88">
        <f t="shared" ref="D8:D16" si="3">C8%</f>
        <v>0.28800000000000003</v>
      </c>
      <c r="E8" s="21">
        <f ca="1">'AL35'!J11</f>
        <v>100</v>
      </c>
      <c r="F8" s="24">
        <f ca="1">'AL35'!J9</f>
        <v>2.9499856123515983E-3</v>
      </c>
      <c r="G8" s="24">
        <f ca="1">'AL35'!J13</f>
        <v>101.98294998561235</v>
      </c>
      <c r="H8" s="122">
        <f>'AL35'!J15</f>
        <v>0.17265684008598325</v>
      </c>
      <c r="I8" s="93">
        <f>'AL35'!J19</f>
        <v>7.6966370831027229</v>
      </c>
      <c r="J8" s="102">
        <f>'AL35'!T34</f>
        <v>79.593464800325123</v>
      </c>
      <c r="K8">
        <v>35</v>
      </c>
      <c r="L8" s="114">
        <f t="shared" si="0"/>
        <v>7.6966370831027225E-2</v>
      </c>
      <c r="M8" s="31">
        <f t="shared" si="1"/>
        <v>3.9796732400162564E-3</v>
      </c>
      <c r="N8" s="116">
        <f t="shared" si="2"/>
        <v>8.0946044071043485E-2</v>
      </c>
      <c r="O8" s="11">
        <v>-0.01</v>
      </c>
    </row>
    <row r="9" spans="1:15" x14ac:dyDescent="0.3">
      <c r="A9" s="132"/>
      <c r="B9" s="72" t="s">
        <v>85</v>
      </c>
      <c r="C9" s="72">
        <f>'AE38'!J3</f>
        <v>33.049999999999997</v>
      </c>
      <c r="D9" s="13">
        <f>C9%</f>
        <v>0.33049999999999996</v>
      </c>
      <c r="E9" s="90">
        <f ca="1">'AE38'!K9</f>
        <v>100</v>
      </c>
      <c r="F9" s="91">
        <f ca="1">'AE38'!K7</f>
        <v>7.6306294506161337E-3</v>
      </c>
      <c r="G9" s="91">
        <f ca="1">'AE38'!K11</f>
        <v>104.05763062945061</v>
      </c>
      <c r="H9" s="121">
        <f>'AE38'!K13</f>
        <v>0.17882530093193058</v>
      </c>
      <c r="I9" s="44">
        <f>'AE38'!K17</f>
        <v>6.6299706129771385</v>
      </c>
      <c r="J9" s="104">
        <f>'AE38'!T39</f>
        <v>62.79291925804754</v>
      </c>
      <c r="K9">
        <v>38</v>
      </c>
      <c r="L9" s="114">
        <f t="shared" si="0"/>
        <v>6.6299706129771388E-2</v>
      </c>
      <c r="M9" s="31">
        <f t="shared" si="1"/>
        <v>3.1396459629023771E-3</v>
      </c>
      <c r="N9" s="116">
        <f>L9+M9</f>
        <v>6.9439352092673767E-2</v>
      </c>
      <c r="O9" s="11">
        <v>-0.01</v>
      </c>
    </row>
    <row r="10" spans="1:15" x14ac:dyDescent="0.3">
      <c r="A10" s="132"/>
      <c r="B10" s="87" t="s">
        <v>29</v>
      </c>
      <c r="C10" s="87">
        <f>'AL41'!J2</f>
        <v>32.5</v>
      </c>
      <c r="D10" s="88">
        <f t="shared" si="3"/>
        <v>0.32500000000000001</v>
      </c>
      <c r="E10" s="37">
        <f ca="1">'AL41'!J9</f>
        <v>100</v>
      </c>
      <c r="F10" s="38">
        <f ca="1">'AL41'!J7</f>
        <v>6.8832997621537297E-3</v>
      </c>
      <c r="G10" s="38">
        <f ca="1">'AL41'!J11</f>
        <v>104.36688329976215</v>
      </c>
      <c r="H10" s="123">
        <f>'AL41'!J13</f>
        <v>0.15714785456657412</v>
      </c>
      <c r="I10" s="94">
        <f>'AL41'!J17</f>
        <v>7.5619677166620001</v>
      </c>
      <c r="J10" s="102">
        <f>'AL41'!S46</f>
        <v>82.979996783127262</v>
      </c>
      <c r="K10">
        <v>41</v>
      </c>
      <c r="L10" s="114">
        <f t="shared" si="0"/>
        <v>7.5619677166620006E-2</v>
      </c>
      <c r="M10" s="31">
        <f t="shared" si="1"/>
        <v>4.1489998391563629E-3</v>
      </c>
      <c r="N10" s="116">
        <f t="shared" si="2"/>
        <v>7.9768677005776362E-2</v>
      </c>
      <c r="O10" s="11">
        <v>-0.01</v>
      </c>
    </row>
    <row r="11" spans="1:15" x14ac:dyDescent="0.3">
      <c r="A11" s="133" t="s">
        <v>35</v>
      </c>
      <c r="B11" s="75" t="s">
        <v>30</v>
      </c>
      <c r="C11" s="75">
        <f>'GD29'!J2</f>
        <v>33.5</v>
      </c>
      <c r="D11" s="15">
        <f t="shared" si="3"/>
        <v>0.33500000000000002</v>
      </c>
      <c r="E11" s="90">
        <f ca="1">'GD29'!J8</f>
        <v>100</v>
      </c>
      <c r="F11" s="91">
        <f ca="1">'GD29'!J6</f>
        <v>1.9666570749010655E-3</v>
      </c>
      <c r="G11" s="91">
        <f ca="1">'GD29'!J10</f>
        <v>102.3519666570749</v>
      </c>
      <c r="H11" s="121">
        <f>'GD29'!J12</f>
        <v>0.20692084431648256</v>
      </c>
      <c r="I11" s="44">
        <f>'GD29'!J16</f>
        <v>4.8216573063737949</v>
      </c>
      <c r="J11" s="104">
        <f>'GD29'!S21</f>
        <v>31.083962371651477</v>
      </c>
      <c r="K11">
        <v>29</v>
      </c>
      <c r="L11" s="114">
        <f t="shared" si="0"/>
        <v>4.8216573063737951E-2</v>
      </c>
      <c r="M11" s="31">
        <f t="shared" si="1"/>
        <v>1.554198118582574E-3</v>
      </c>
      <c r="N11" s="116">
        <f t="shared" si="2"/>
        <v>4.9770771182320525E-2</v>
      </c>
      <c r="O11" s="11">
        <v>-0.01</v>
      </c>
    </row>
    <row r="12" spans="1:15" x14ac:dyDescent="0.3">
      <c r="A12" s="133"/>
      <c r="B12" s="87" t="s">
        <v>31</v>
      </c>
      <c r="C12" s="87">
        <f>'GD30'!J2</f>
        <v>29.7</v>
      </c>
      <c r="D12" s="88">
        <f t="shared" si="3"/>
        <v>0.29699999999999999</v>
      </c>
      <c r="E12" s="21">
        <f ca="1">'GD30'!J8</f>
        <v>100</v>
      </c>
      <c r="F12" s="24">
        <f ca="1">'GD30'!J6</f>
        <v>9.8332853745053276E-4</v>
      </c>
      <c r="G12" s="24">
        <f ca="1">'GD30'!J10</f>
        <v>100.86098332853744</v>
      </c>
      <c r="H12" s="122">
        <f>'GD30'!J12</f>
        <v>0.21304861903190617</v>
      </c>
      <c r="I12" s="93">
        <f>'GD30'!J16</f>
        <v>5.0344468630334465</v>
      </c>
      <c r="J12" s="102">
        <f>'GD30'!S23</f>
        <v>33.725134099839309</v>
      </c>
      <c r="K12">
        <v>30</v>
      </c>
      <c r="L12" s="114">
        <f t="shared" si="0"/>
        <v>5.0344468630334469E-2</v>
      </c>
      <c r="M12" s="31">
        <f t="shared" si="1"/>
        <v>1.6862567049919655E-3</v>
      </c>
      <c r="N12" s="116">
        <f t="shared" si="2"/>
        <v>5.2030725335326433E-2</v>
      </c>
      <c r="O12" s="11">
        <v>-0.01</v>
      </c>
    </row>
    <row r="13" spans="1:15" x14ac:dyDescent="0.3">
      <c r="A13" s="133"/>
      <c r="B13" s="72" t="s">
        <v>32</v>
      </c>
      <c r="C13" s="72">
        <f>'GD35'!J2</f>
        <v>27.8</v>
      </c>
      <c r="D13" s="13">
        <f t="shared" si="3"/>
        <v>0.27800000000000002</v>
      </c>
      <c r="E13" s="90">
        <f ca="1">'GD35'!J9</f>
        <v>100</v>
      </c>
      <c r="F13" s="91">
        <f ca="1">'GD35'!J7</f>
        <v>2.9499856123515983E-3</v>
      </c>
      <c r="G13" s="91">
        <f ca="1">'GD35'!J11</f>
        <v>101.98294998561235</v>
      </c>
      <c r="H13" s="121">
        <f>'GD35'!J13</f>
        <v>0.17717530131340031</v>
      </c>
      <c r="I13" s="44">
        <f>'GD35'!J17</f>
        <v>7.610716507626452</v>
      </c>
      <c r="J13" s="104">
        <f>'GD35'!S33</f>
        <v>78.161741091670237</v>
      </c>
      <c r="K13">
        <v>35</v>
      </c>
      <c r="L13" s="114">
        <f t="shared" si="0"/>
        <v>7.6107165076264527E-2</v>
      </c>
      <c r="M13" s="31">
        <f t="shared" si="1"/>
        <v>3.9080870545835124E-3</v>
      </c>
      <c r="N13" s="116">
        <f t="shared" si="2"/>
        <v>8.0015252130848036E-2</v>
      </c>
      <c r="O13" s="11">
        <v>-0.01</v>
      </c>
    </row>
    <row r="14" spans="1:15" x14ac:dyDescent="0.3">
      <c r="A14" s="133"/>
      <c r="B14" s="87" t="s">
        <v>84</v>
      </c>
      <c r="C14" s="87">
        <f>'GD38'!I4</f>
        <v>31.9</v>
      </c>
      <c r="D14" s="88">
        <f>C14%</f>
        <v>0.31900000000000001</v>
      </c>
      <c r="E14" s="21">
        <f ca="1">'GD38'!L5</f>
        <v>100</v>
      </c>
      <c r="F14" s="24">
        <f ca="1">'GD38'!L3</f>
        <v>7.6306294506161337E-3</v>
      </c>
      <c r="G14" s="24">
        <f ca="1">'GD38'!L7</f>
        <v>104.05763062945061</v>
      </c>
      <c r="H14" s="122">
        <f>'GD38'!L9</f>
        <v>0.18411384224891666</v>
      </c>
      <c r="I14" s="93">
        <f>'GD38'!L13</f>
        <v>6.5350635842592579</v>
      </c>
      <c r="J14" s="102">
        <f>'GD38'!U39</f>
        <v>61.266844686647133</v>
      </c>
      <c r="K14">
        <v>38</v>
      </c>
      <c r="L14" s="114">
        <f t="shared" si="0"/>
        <v>6.5350635842592583E-2</v>
      </c>
      <c r="M14" s="31">
        <f t="shared" si="1"/>
        <v>3.0633422343323566E-3</v>
      </c>
      <c r="N14" s="116">
        <f>L14+M14</f>
        <v>6.8413978076924939E-2</v>
      </c>
      <c r="O14" s="11">
        <v>-0.01</v>
      </c>
    </row>
    <row r="15" spans="1:15" x14ac:dyDescent="0.3">
      <c r="A15" s="133"/>
      <c r="B15" s="72" t="s">
        <v>33</v>
      </c>
      <c r="C15" s="72">
        <f>'GD41'!J2</f>
        <v>28.14</v>
      </c>
      <c r="D15" s="13">
        <f t="shared" si="3"/>
        <v>0.28139999999999998</v>
      </c>
      <c r="E15" s="90">
        <f ca="1">'GD41'!J8</f>
        <v>100</v>
      </c>
      <c r="F15" s="91">
        <f ca="1">'GD41'!J6</f>
        <v>6.8832997621537297E-3</v>
      </c>
      <c r="G15" s="91">
        <f ca="1">'GD41'!J10</f>
        <v>104.36688329976215</v>
      </c>
      <c r="H15" s="121">
        <f>'GD41'!J12</f>
        <v>0.17649326920509342</v>
      </c>
      <c r="I15" s="44">
        <f>'GD41'!J16</f>
        <v>7.0957269846265758</v>
      </c>
      <c r="J15" s="104">
        <f>'GD41'!S46</f>
        <v>74.518667538253467</v>
      </c>
      <c r="K15">
        <v>41</v>
      </c>
      <c r="L15" s="114">
        <f t="shared" si="0"/>
        <v>7.0957269846265755E-2</v>
      </c>
      <c r="M15" s="31">
        <f t="shared" si="1"/>
        <v>3.7259333769126737E-3</v>
      </c>
      <c r="N15" s="116">
        <f t="shared" si="2"/>
        <v>7.4683203223178424E-2</v>
      </c>
      <c r="O15" s="11">
        <v>-0.01</v>
      </c>
    </row>
    <row r="16" spans="1:15" ht="15" thickBot="1" x14ac:dyDescent="0.35">
      <c r="A16" s="134"/>
      <c r="B16" s="105" t="s">
        <v>34</v>
      </c>
      <c r="C16" s="105">
        <f>'GD46'!J2</f>
        <v>29.15</v>
      </c>
      <c r="D16" s="106">
        <f t="shared" si="3"/>
        <v>0.29149999999999998</v>
      </c>
      <c r="E16" s="107">
        <f ca="1">'GD46'!J8</f>
        <v>100</v>
      </c>
      <c r="F16" s="108">
        <f ca="1">'GD46'!J6</f>
        <v>2.9499856123515983E-3</v>
      </c>
      <c r="G16" s="108">
        <f ca="1">'GD46'!J10</f>
        <v>101.98294998561235</v>
      </c>
      <c r="H16" s="124">
        <f>'GD46'!J12</f>
        <v>0.17290151715278629</v>
      </c>
      <c r="I16" s="109">
        <f>'GD46'!J16</f>
        <v>6.9826229671904887</v>
      </c>
      <c r="J16" s="110">
        <f>'GD46'!S56</f>
        <v>42.888885036348839</v>
      </c>
      <c r="K16">
        <v>46</v>
      </c>
      <c r="L16" s="117">
        <f t="shared" si="0"/>
        <v>6.9826229671904883E-2</v>
      </c>
      <c r="M16" s="118">
        <f t="shared" si="1"/>
        <v>2.144444251817442E-3</v>
      </c>
      <c r="N16" s="119">
        <f t="shared" si="2"/>
        <v>7.197067392372232E-2</v>
      </c>
      <c r="O16" s="11">
        <v>-0.01</v>
      </c>
    </row>
    <row r="17" spans="4:8" ht="15" thickTop="1" x14ac:dyDescent="0.3">
      <c r="D17" s="2"/>
      <c r="F17" s="22"/>
      <c r="G17" s="12"/>
      <c r="H17" s="2"/>
    </row>
    <row r="18" spans="4:8" x14ac:dyDescent="0.3">
      <c r="D18" s="2"/>
      <c r="F18" s="22"/>
      <c r="G18" s="12"/>
      <c r="H18" s="2"/>
    </row>
    <row r="19" spans="4:8" x14ac:dyDescent="0.3">
      <c r="D19" s="2"/>
      <c r="F19" s="23"/>
      <c r="G19" s="12"/>
      <c r="H19" s="2"/>
    </row>
    <row r="20" spans="4:8" x14ac:dyDescent="0.3">
      <c r="D20" s="2"/>
      <c r="F20" s="135" t="s">
        <v>44</v>
      </c>
      <c r="G20" s="136"/>
      <c r="H20" s="2"/>
    </row>
    <row r="21" spans="4:8" x14ac:dyDescent="0.3">
      <c r="D21" s="2"/>
      <c r="H21" s="2"/>
    </row>
    <row r="22" spans="4:8" x14ac:dyDescent="0.3">
      <c r="D22" s="2"/>
      <c r="H22" s="2"/>
    </row>
    <row r="23" spans="4:8" x14ac:dyDescent="0.3">
      <c r="D23" s="2"/>
      <c r="H23" s="2"/>
    </row>
    <row r="24" spans="4:8" x14ac:dyDescent="0.3">
      <c r="D24" s="2"/>
      <c r="H24" s="2"/>
    </row>
    <row r="25" spans="4:8" x14ac:dyDescent="0.3">
      <c r="D25" s="2"/>
      <c r="H25" s="2"/>
    </row>
  </sheetData>
  <sheetProtection algorithmName="SHA-512" hashValue="4jnpToBZaXKqNR2ZQAbDi/3RUsDxLqmr9aYOhc/+/go4DNV8LhhcYkspGiTMa7SS0Z01QVZUvC7c+OLZqfVqoA==" saltValue="X4r+wXJmCHpAzORUiBPS6w==" spinCount="100000" sheet="1" objects="1" scenarios="1"/>
  <dataConsolidate/>
  <mergeCells count="7">
    <mergeCell ref="L4:N4"/>
    <mergeCell ref="A6:A10"/>
    <mergeCell ref="A11:A16"/>
    <mergeCell ref="F20:G20"/>
    <mergeCell ref="B1:G1"/>
    <mergeCell ref="F3:H3"/>
    <mergeCell ref="D2:E2"/>
  </mergeCells>
  <hyperlinks>
    <hyperlink ref="D2" r:id="rId1" xr:uid="{20FDBD3A-0DB1-49E4-AB01-1879C681ECB8}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7FEA-086A-4992-829C-34EF68BD2BB9}">
  <dimension ref="B1:S23"/>
  <sheetViews>
    <sheetView workbookViewId="0">
      <selection activeCell="J3" sqref="J3"/>
    </sheetView>
  </sheetViews>
  <sheetFormatPr baseColWidth="10" defaultRowHeight="14.4" x14ac:dyDescent="0.3"/>
  <cols>
    <col min="2" max="2" width="12.109375" customWidth="1"/>
    <col min="3" max="3" width="18.6640625" customWidth="1"/>
    <col min="4" max="4" width="17.44140625" customWidth="1"/>
    <col min="5" max="5" width="23.33203125" customWidth="1"/>
    <col min="6" max="6" width="19" customWidth="1"/>
    <col min="7" max="7" width="15.109375" customWidth="1"/>
    <col min="8" max="8" width="13.6640625" customWidth="1"/>
    <col min="10" max="10" width="12.33203125" bestFit="1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41">
        <f>LOOKUP("GD30D",Extraer!A3:A98,Extraer!B3:B98)</f>
        <v>29.7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-J2</f>
        <v>-29.7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25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G4/(1+J12)^1</f>
        <v>9.0680619287780373E-2</v>
      </c>
      <c r="O4">
        <f>M4*1</f>
        <v>9.0680619287780373E-2</v>
      </c>
      <c r="Q4">
        <v>2</v>
      </c>
      <c r="S4" s="12">
        <f>M4*Q4</f>
        <v>0.18136123857556075</v>
      </c>
    </row>
    <row r="5" spans="2:19" x14ac:dyDescent="0.3">
      <c r="B5" s="17">
        <v>44570</v>
      </c>
      <c r="C5" s="25">
        <v>100</v>
      </c>
      <c r="D5" s="18">
        <v>0</v>
      </c>
      <c r="E5" s="16">
        <v>0</v>
      </c>
      <c r="F5" s="16">
        <v>0.25</v>
      </c>
      <c r="G5">
        <v>0.25</v>
      </c>
      <c r="L5" s="22"/>
      <c r="S5" s="12"/>
    </row>
    <row r="6" spans="2:19" x14ac:dyDescent="0.3">
      <c r="B6" s="17">
        <v>44751</v>
      </c>
      <c r="C6" s="25">
        <v>100</v>
      </c>
      <c r="D6" s="18">
        <v>0</v>
      </c>
      <c r="E6" s="16">
        <v>0</v>
      </c>
      <c r="F6" s="16">
        <v>0.25</v>
      </c>
      <c r="G6">
        <v>0.25</v>
      </c>
      <c r="I6" s="27" t="s">
        <v>42</v>
      </c>
      <c r="J6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"fin")))))))))))))))))))</f>
        <v>9.8332853745053276E-4</v>
      </c>
      <c r="L6" s="22"/>
      <c r="M6">
        <f>(G5+G6)/(1+J12)^2</f>
        <v>0.33979234357088278</v>
      </c>
      <c r="O6">
        <f>M6*2</f>
        <v>0.67958468714176556</v>
      </c>
      <c r="Q6">
        <v>6</v>
      </c>
      <c r="S6" s="12">
        <f t="shared" ref="S6:S22" si="0">M6*Q6</f>
        <v>2.0387540614252968</v>
      </c>
    </row>
    <row r="7" spans="2:19" x14ac:dyDescent="0.3">
      <c r="B7" s="17">
        <v>44935</v>
      </c>
      <c r="C7" s="25">
        <v>100</v>
      </c>
      <c r="D7" s="18">
        <v>0</v>
      </c>
      <c r="E7" s="16">
        <v>0</v>
      </c>
      <c r="F7" s="16">
        <v>0.25</v>
      </c>
      <c r="G7">
        <v>0.25</v>
      </c>
      <c r="L7" s="22"/>
      <c r="S7" s="12"/>
    </row>
    <row r="8" spans="2:19" x14ac:dyDescent="0.3">
      <c r="B8" s="17">
        <v>45116</v>
      </c>
      <c r="C8" s="25">
        <v>100</v>
      </c>
      <c r="D8" s="18">
        <v>0</v>
      </c>
      <c r="E8" s="16">
        <v>0</v>
      </c>
      <c r="F8" s="16">
        <v>0.25</v>
      </c>
      <c r="G8">
        <v>0.25</v>
      </c>
      <c r="I8" s="27" t="s">
        <v>45</v>
      </c>
      <c r="J8" s="27">
        <f ca="1">IF(B10&gt;NOW(),C10,IF(B11&gt;NOW(),C11,IF(B12&gt;NOW(),C12,IF(B13&gt;NOW(),C13,IF(B14&gt;NOW(),C14,IF(B15&gt;NOW(),C15,IF(B16&gt;NOW(),C16,IF(B17&gt;NOW(),C17,IF(B18&gt;NOW(),C18,IF(B19&gt;NOW(),C19,IF(B20&gt;NOW(),C20,IF(B21&gt;NOW(),C21,IF(B22&gt;NOW(),C22,"fin")))))))))))))</f>
        <v>100</v>
      </c>
      <c r="L8" s="22"/>
      <c r="M8">
        <f>(G7+G8)/(1+J12)^3</f>
        <v>0.2801143649477626</v>
      </c>
      <c r="O8">
        <f>M8*3</f>
        <v>0.84034309484328773</v>
      </c>
      <c r="Q8">
        <v>12</v>
      </c>
      <c r="S8" s="12">
        <f t="shared" si="0"/>
        <v>3.3613723793731509</v>
      </c>
    </row>
    <row r="9" spans="2:19" x14ac:dyDescent="0.3">
      <c r="B9" s="17">
        <v>45300</v>
      </c>
      <c r="C9" s="25">
        <v>100</v>
      </c>
      <c r="D9" s="18">
        <v>0</v>
      </c>
      <c r="E9" s="16">
        <v>0</v>
      </c>
      <c r="F9" s="16">
        <v>0.38</v>
      </c>
      <c r="G9">
        <v>0.38</v>
      </c>
      <c r="L9" s="22"/>
      <c r="S9" s="12"/>
    </row>
    <row r="10" spans="2:19" x14ac:dyDescent="0.3">
      <c r="B10" s="17">
        <v>45482</v>
      </c>
      <c r="C10" s="25">
        <v>100</v>
      </c>
      <c r="D10" s="18">
        <v>0.04</v>
      </c>
      <c r="E10" s="16">
        <v>4</v>
      </c>
      <c r="F10" s="16">
        <v>0.38</v>
      </c>
      <c r="G10">
        <v>4.38</v>
      </c>
      <c r="I10" s="27" t="s">
        <v>46</v>
      </c>
      <c r="J10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NOW()&lt;B22,C22+((NOW()-B21)/(B22-B21))*F22+SUM(F4:F21),"Fin")))))))))))))))))))</f>
        <v>100.86098332853744</v>
      </c>
      <c r="L10" s="22"/>
      <c r="M10">
        <f>(G9+G10)/(1+J12)^4</f>
        <v>2.1983362517084402</v>
      </c>
      <c r="O10">
        <f>M10*4</f>
        <v>8.7933450068337606</v>
      </c>
      <c r="Q10">
        <v>20</v>
      </c>
      <c r="S10" s="12">
        <f t="shared" si="0"/>
        <v>43.966725034168803</v>
      </c>
    </row>
    <row r="11" spans="2:19" x14ac:dyDescent="0.3">
      <c r="B11" s="17">
        <v>45666</v>
      </c>
      <c r="C11" s="25">
        <v>96</v>
      </c>
      <c r="D11" s="18">
        <v>0.08</v>
      </c>
      <c r="E11" s="16">
        <v>8</v>
      </c>
      <c r="F11" s="16">
        <v>0.36</v>
      </c>
      <c r="G11">
        <v>8.36</v>
      </c>
      <c r="L11" s="22"/>
      <c r="S11" s="12"/>
    </row>
    <row r="12" spans="2:19" x14ac:dyDescent="0.3">
      <c r="B12" s="17">
        <v>45847</v>
      </c>
      <c r="C12" s="25">
        <v>88</v>
      </c>
      <c r="D12" s="18">
        <v>0.08</v>
      </c>
      <c r="E12" s="16">
        <v>8</v>
      </c>
      <c r="F12" s="16">
        <v>0.33</v>
      </c>
      <c r="G12">
        <v>8.33</v>
      </c>
      <c r="I12" s="27" t="s">
        <v>47</v>
      </c>
      <c r="J12" s="30">
        <f>XIRR(G3:G22,B3:B22)</f>
        <v>0.21304861903190617</v>
      </c>
      <c r="L12" s="22"/>
      <c r="M12">
        <f>(G11+G12)/(1+J12)^5</f>
        <v>6.3542646357744443</v>
      </c>
      <c r="O12">
        <f>M12*5</f>
        <v>31.771323178872223</v>
      </c>
      <c r="Q12">
        <v>30</v>
      </c>
      <c r="S12" s="12">
        <f t="shared" si="0"/>
        <v>190.62793907323334</v>
      </c>
    </row>
    <row r="13" spans="2:19" x14ac:dyDescent="0.3">
      <c r="B13" s="17">
        <v>46031</v>
      </c>
      <c r="C13" s="25">
        <v>80</v>
      </c>
      <c r="D13" s="18">
        <v>0.08</v>
      </c>
      <c r="E13" s="16">
        <v>8</v>
      </c>
      <c r="F13" s="16">
        <v>0.3</v>
      </c>
      <c r="G13">
        <v>8.3000000000000007</v>
      </c>
      <c r="L13" s="22"/>
      <c r="S13" s="12"/>
    </row>
    <row r="14" spans="2:19" x14ac:dyDescent="0.3">
      <c r="B14" s="17">
        <v>46212</v>
      </c>
      <c r="C14" s="25">
        <v>72</v>
      </c>
      <c r="D14" s="18">
        <v>0.08</v>
      </c>
      <c r="E14" s="16">
        <v>8</v>
      </c>
      <c r="F14" s="16">
        <v>0.27</v>
      </c>
      <c r="G14">
        <v>8.27</v>
      </c>
      <c r="I14" s="27" t="s">
        <v>48</v>
      </c>
      <c r="J14" s="27">
        <f>(((G4/((1+J12)^1))*1)+(((G5+G6)/((1+J12)^2))*2)+(((G7+G8)/((1+J12)^3))*3)+(((G9+G10)/((1+J12)^4))*4)+(((G11+G12)/((1+J12)^5))*5)+(((G13+G14)/((1+J12)^6))*6)+(((G15+G16)/((1+J12)^7))*7)+(((G17+G18)/((1+J12)^8))*8)+(((G19+G20)/((1+J12)^9))*9)+(((G21+G22)/((1+J12)^10))*10))/J2</f>
        <v>6.1070288147922343</v>
      </c>
      <c r="L14" s="22"/>
      <c r="M14">
        <f>(G13+G14)/(1+J12)^6</f>
        <v>5.2005977277918554</v>
      </c>
      <c r="O14">
        <f>M14*6</f>
        <v>31.203586366751132</v>
      </c>
      <c r="Q14">
        <v>42</v>
      </c>
      <c r="S14" s="12">
        <f t="shared" si="0"/>
        <v>218.42510456725793</v>
      </c>
    </row>
    <row r="15" spans="2:19" x14ac:dyDescent="0.3">
      <c r="B15" s="17">
        <v>46396</v>
      </c>
      <c r="C15" s="25">
        <v>64</v>
      </c>
      <c r="D15" s="18">
        <v>0.08</v>
      </c>
      <c r="E15" s="16">
        <v>8</v>
      </c>
      <c r="F15" s="16">
        <v>0.24</v>
      </c>
      <c r="G15">
        <v>8.24</v>
      </c>
      <c r="L15" s="22"/>
      <c r="S15" s="12"/>
    </row>
    <row r="16" spans="2:19" x14ac:dyDescent="0.3">
      <c r="B16" s="17">
        <v>46577</v>
      </c>
      <c r="C16" s="25">
        <v>56</v>
      </c>
      <c r="D16" s="18">
        <v>0.08</v>
      </c>
      <c r="E16" s="16">
        <v>8</v>
      </c>
      <c r="F16" s="16">
        <v>0.21</v>
      </c>
      <c r="G16">
        <v>8.2100000000000009</v>
      </c>
      <c r="I16" s="27" t="s">
        <v>49</v>
      </c>
      <c r="J16" s="27">
        <f>J14/(1+J12)</f>
        <v>5.0344468630334465</v>
      </c>
      <c r="L16" s="22"/>
      <c r="M16">
        <f>(G15+G16)/(1+J12)^7</f>
        <v>4.2561649213501278</v>
      </c>
      <c r="O16">
        <f>M16*7</f>
        <v>29.793154449450896</v>
      </c>
      <c r="Q16">
        <v>56</v>
      </c>
      <c r="S16" s="12">
        <f t="shared" si="0"/>
        <v>238.34523559560716</v>
      </c>
    </row>
    <row r="17" spans="2:19" x14ac:dyDescent="0.3">
      <c r="B17" s="17">
        <v>46761</v>
      </c>
      <c r="C17" s="25">
        <v>48</v>
      </c>
      <c r="D17" s="18">
        <v>0.08</v>
      </c>
      <c r="E17" s="16">
        <v>8</v>
      </c>
      <c r="F17" s="16">
        <v>0.42</v>
      </c>
      <c r="G17">
        <v>8.42</v>
      </c>
      <c r="L17" s="22"/>
      <c r="S17" s="12"/>
    </row>
    <row r="18" spans="2:19" x14ac:dyDescent="0.3">
      <c r="B18" s="17">
        <v>46943</v>
      </c>
      <c r="C18" s="25">
        <v>40</v>
      </c>
      <c r="D18" s="18">
        <v>0.08</v>
      </c>
      <c r="E18" s="16">
        <v>8</v>
      </c>
      <c r="F18" s="16">
        <v>0.35</v>
      </c>
      <c r="G18">
        <v>8.35</v>
      </c>
      <c r="L18" s="22"/>
      <c r="M18">
        <f>(G17+G18)/(1+J12)^8</f>
        <v>3.5769049573388787</v>
      </c>
      <c r="O18">
        <f>M18*8</f>
        <v>28.61523965871103</v>
      </c>
      <c r="Q18">
        <v>72</v>
      </c>
      <c r="S18" s="12">
        <f t="shared" si="0"/>
        <v>257.53715692839927</v>
      </c>
    </row>
    <row r="19" spans="2:19" x14ac:dyDescent="0.3">
      <c r="B19" s="17">
        <v>47127</v>
      </c>
      <c r="C19" s="25">
        <v>32</v>
      </c>
      <c r="D19" s="18">
        <v>0.08</v>
      </c>
      <c r="E19" s="16">
        <v>8</v>
      </c>
      <c r="F19" s="16">
        <v>0.28000000000000003</v>
      </c>
      <c r="G19">
        <v>8.2799999999999994</v>
      </c>
      <c r="L19" s="22"/>
      <c r="S19" s="12"/>
    </row>
    <row r="20" spans="2:19" x14ac:dyDescent="0.3">
      <c r="B20" s="17">
        <v>47308</v>
      </c>
      <c r="C20" s="25">
        <v>24</v>
      </c>
      <c r="D20" s="18">
        <v>0.08</v>
      </c>
      <c r="E20" s="16">
        <v>8</v>
      </c>
      <c r="F20" s="16">
        <v>0.21</v>
      </c>
      <c r="G20">
        <v>8.2100000000000009</v>
      </c>
      <c r="L20" s="22"/>
      <c r="M20">
        <f>(G19+G20)/(1+J12)^9</f>
        <v>2.8994577575791185</v>
      </c>
      <c r="O20">
        <f>M20*9</f>
        <v>26.095119818212066</v>
      </c>
      <c r="Q20">
        <v>90</v>
      </c>
      <c r="S20" s="12">
        <f t="shared" si="0"/>
        <v>260.95119818212066</v>
      </c>
    </row>
    <row r="21" spans="2:19" x14ac:dyDescent="0.3">
      <c r="B21" s="17">
        <v>47492</v>
      </c>
      <c r="C21" s="25">
        <v>16</v>
      </c>
      <c r="D21" s="18">
        <v>0.08</v>
      </c>
      <c r="E21" s="16">
        <v>8</v>
      </c>
      <c r="F21" s="16">
        <v>0.14000000000000001</v>
      </c>
      <c r="G21">
        <v>8.14</v>
      </c>
      <c r="L21" s="22"/>
      <c r="S21" s="12"/>
    </row>
    <row r="22" spans="2:19" x14ac:dyDescent="0.3">
      <c r="B22" s="17">
        <v>47673</v>
      </c>
      <c r="C22" s="25">
        <v>8</v>
      </c>
      <c r="D22" s="18">
        <v>0.08</v>
      </c>
      <c r="E22" s="16">
        <v>8</v>
      </c>
      <c r="F22" s="16">
        <v>7.0000000000000007E-2</v>
      </c>
      <c r="G22">
        <v>8.07</v>
      </c>
      <c r="L22" s="22"/>
      <c r="M22">
        <f>(G21+G22)/(1+J12)^10</f>
        <v>2.3496378919225429</v>
      </c>
      <c r="O22">
        <f>M22*10</f>
        <v>23.496378919225428</v>
      </c>
      <c r="Q22">
        <v>110</v>
      </c>
      <c r="S22" s="12">
        <f t="shared" si="0"/>
        <v>258.46016811147973</v>
      </c>
    </row>
    <row r="23" spans="2:19" x14ac:dyDescent="0.3">
      <c r="B23" t="s">
        <v>23</v>
      </c>
      <c r="D23" s="11">
        <v>1</v>
      </c>
      <c r="E23">
        <v>100</v>
      </c>
      <c r="F23">
        <v>5.04</v>
      </c>
      <c r="G23">
        <v>105.04</v>
      </c>
      <c r="L23" s="52" t="s">
        <v>102</v>
      </c>
      <c r="M23" s="53">
        <f>SUM(M4,M6,M8,M10,M12,M14,M16,M18,M20,M22)</f>
        <v>27.545951471271835</v>
      </c>
      <c r="N23" s="42"/>
      <c r="O23" s="42"/>
      <c r="P23" s="42"/>
      <c r="Q23" s="42"/>
      <c r="R23" s="53" t="s">
        <v>103</v>
      </c>
      <c r="S23" s="54">
        <f>1/(J2*((1+J12)^2))*SUM(S4,S6,S8,S10,S12,S14,S16,S18,S20,S22)</f>
        <v>33.725134099839309</v>
      </c>
    </row>
  </sheetData>
  <sheetProtection algorithmName="SHA-512" hashValue="sKJoOYU6hsyMlPN+3F8ij+9/Q3/UkoWneDfkpOfBwOZvLrfjKfBSaovPYKJszTDPRuENRsPNW33+6kPxs1+O7A==" saltValue="mCP4n3Gh13AdJI35LHWRfg==" spinCount="100000" sheet="1" objects="1" scenarios="1" selectLockedCells="1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2E82-20F0-4A65-9593-D09BCC7B3A20}">
  <dimension ref="B1:S33"/>
  <sheetViews>
    <sheetView workbookViewId="0">
      <selection activeCell="J2" sqref="J2"/>
    </sheetView>
  </sheetViews>
  <sheetFormatPr baseColWidth="10" defaultRowHeight="14.4" x14ac:dyDescent="0.3"/>
  <cols>
    <col min="3" max="3" width="19.33203125" customWidth="1"/>
    <col min="4" max="4" width="18.33203125" customWidth="1"/>
    <col min="5" max="5" width="22.6640625" customWidth="1"/>
    <col min="6" max="6" width="16.33203125" customWidth="1"/>
    <col min="7" max="7" width="14.6640625" customWidth="1"/>
    <col min="8" max="8" width="12.6640625" customWidth="1"/>
    <col min="10" max="10" width="12.6640625" bestFit="1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126">
        <f>LOOKUP("GD35D",Extraer!A3:A98,Extraer!B3:B98)</f>
        <v>27.8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-J2</f>
        <v>-27.8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25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G4/(1+J13)^1</f>
        <v>9.3444026456612359E-2</v>
      </c>
      <c r="O4">
        <f>M4*1</f>
        <v>9.3444026456612359E-2</v>
      </c>
      <c r="Q4">
        <v>2</v>
      </c>
      <c r="S4" s="12">
        <f>M4*Q4</f>
        <v>0.18688805291322472</v>
      </c>
    </row>
    <row r="5" spans="2:19" x14ac:dyDescent="0.3">
      <c r="B5" s="17">
        <v>44570</v>
      </c>
      <c r="C5" s="25">
        <v>100</v>
      </c>
      <c r="D5" s="18">
        <v>0</v>
      </c>
      <c r="E5" s="16">
        <v>0</v>
      </c>
      <c r="F5" s="16">
        <v>0.56000000000000005</v>
      </c>
      <c r="G5">
        <v>0.56000000000000005</v>
      </c>
      <c r="L5" s="22"/>
      <c r="S5" s="12"/>
    </row>
    <row r="6" spans="2:19" x14ac:dyDescent="0.3">
      <c r="B6" s="17">
        <v>44751</v>
      </c>
      <c r="C6" s="25">
        <v>100</v>
      </c>
      <c r="D6" s="18">
        <v>0</v>
      </c>
      <c r="E6" s="16">
        <v>0</v>
      </c>
      <c r="F6" s="16">
        <v>0.56000000000000005</v>
      </c>
      <c r="G6">
        <v>0.56000000000000005</v>
      </c>
      <c r="L6" s="22"/>
      <c r="M6">
        <f>(G5+G6)/(1+J13)^2</f>
        <v>0.80823143884917026</v>
      </c>
      <c r="O6">
        <f>M6*2</f>
        <v>1.6164628776983405</v>
      </c>
      <c r="Q6">
        <v>6</v>
      </c>
      <c r="S6" s="12">
        <f t="shared" ref="S6:S32" si="0">M6*Q6</f>
        <v>4.8493886330950211</v>
      </c>
    </row>
    <row r="7" spans="2:19" x14ac:dyDescent="0.3">
      <c r="B7" s="17">
        <v>44935</v>
      </c>
      <c r="C7" s="25">
        <v>100</v>
      </c>
      <c r="D7" s="18">
        <v>0</v>
      </c>
      <c r="E7" s="16">
        <v>0</v>
      </c>
      <c r="F7" s="16">
        <v>0.75</v>
      </c>
      <c r="G7">
        <v>0.75</v>
      </c>
      <c r="I7" s="27" t="s">
        <v>2</v>
      </c>
      <c r="J7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"fin")))))))))))))))))))))))))))))</f>
        <v>2.9499856123515983E-3</v>
      </c>
      <c r="L7" s="22"/>
      <c r="S7" s="12"/>
    </row>
    <row r="8" spans="2:19" x14ac:dyDescent="0.3">
      <c r="B8" s="17">
        <v>45116</v>
      </c>
      <c r="C8" s="25">
        <v>100</v>
      </c>
      <c r="D8" s="18">
        <v>0</v>
      </c>
      <c r="E8" s="16">
        <v>0</v>
      </c>
      <c r="F8" s="16">
        <v>0.75</v>
      </c>
      <c r="G8">
        <v>0.75</v>
      </c>
      <c r="L8" s="22"/>
      <c r="M8">
        <f>(G7+G8)/(1+J13)^3</f>
        <v>0.91953409035983424</v>
      </c>
      <c r="O8">
        <f>M8*3</f>
        <v>2.7586022710795026</v>
      </c>
      <c r="Q8">
        <v>12</v>
      </c>
      <c r="S8" s="12">
        <f t="shared" si="0"/>
        <v>11.03440908431801</v>
      </c>
    </row>
    <row r="9" spans="2:19" x14ac:dyDescent="0.3">
      <c r="B9" s="17">
        <v>45300</v>
      </c>
      <c r="C9" s="25">
        <v>100</v>
      </c>
      <c r="D9" s="18">
        <v>0</v>
      </c>
      <c r="E9" s="16">
        <v>0</v>
      </c>
      <c r="F9" s="16">
        <v>1.81</v>
      </c>
      <c r="G9">
        <v>1.81</v>
      </c>
      <c r="I9" s="27" t="s">
        <v>45</v>
      </c>
      <c r="J9" s="27">
        <f ca="1">IF(B23&gt;NOW(),C23,IF(B24&gt;NOW(),C24,IF(B25&gt;NOW(),C25,IF(B26&gt;NOW(),C26,IF(B27&gt;NOW(),C27,IF(B28&gt;NOW(),C28,IF(B29&gt;NOW(),C29,IF(B30&gt;NOW(),C30,IF(B31&gt;NOW(),C31,IF(B32&gt;NOW(),C32,"fin"))))))))))</f>
        <v>100</v>
      </c>
      <c r="L9" s="22"/>
      <c r="S9" s="12"/>
    </row>
    <row r="10" spans="2:19" x14ac:dyDescent="0.3">
      <c r="B10" s="17">
        <v>45482</v>
      </c>
      <c r="C10" s="25">
        <v>100</v>
      </c>
      <c r="D10" s="18">
        <v>0</v>
      </c>
      <c r="E10" s="16">
        <v>0</v>
      </c>
      <c r="F10" s="16">
        <v>1.81</v>
      </c>
      <c r="G10">
        <v>1.81</v>
      </c>
      <c r="L10" s="22"/>
      <c r="M10">
        <f>(G9+G10)/(1+J13)^4</f>
        <v>1.8851417192713675</v>
      </c>
      <c r="O10">
        <f>M10*4</f>
        <v>7.5405668770854701</v>
      </c>
      <c r="Q10">
        <v>20</v>
      </c>
      <c r="S10" s="12">
        <f t="shared" si="0"/>
        <v>37.702834385427352</v>
      </c>
    </row>
    <row r="11" spans="2:19" x14ac:dyDescent="0.3">
      <c r="B11" s="17">
        <v>45666</v>
      </c>
      <c r="C11" s="25">
        <v>100</v>
      </c>
      <c r="D11" s="18">
        <v>0</v>
      </c>
      <c r="E11" s="16">
        <v>0</v>
      </c>
      <c r="F11" s="16">
        <v>2.06</v>
      </c>
      <c r="G11">
        <v>2.06</v>
      </c>
      <c r="I11" s="27" t="s">
        <v>46</v>
      </c>
      <c r="J11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"Fin")))))))))))))))))))))))))))))</f>
        <v>101.98294998561235</v>
      </c>
      <c r="L11" s="22"/>
      <c r="S11" s="12"/>
    </row>
    <row r="12" spans="2:19" x14ac:dyDescent="0.3">
      <c r="B12" s="17">
        <v>45847</v>
      </c>
      <c r="C12" s="25">
        <v>100</v>
      </c>
      <c r="D12" s="18">
        <v>0</v>
      </c>
      <c r="E12" s="16">
        <v>0</v>
      </c>
      <c r="F12" s="16">
        <v>2.06</v>
      </c>
      <c r="G12">
        <v>2.06</v>
      </c>
      <c r="L12" s="22"/>
      <c r="M12">
        <f>(G11+G12)/(1+J13)^5</f>
        <v>1.8226005994049133</v>
      </c>
      <c r="O12">
        <f>M12*5</f>
        <v>9.1130029970245658</v>
      </c>
      <c r="Q12">
        <v>30</v>
      </c>
      <c r="S12" s="12">
        <f t="shared" si="0"/>
        <v>54.678017982147395</v>
      </c>
    </row>
    <row r="13" spans="2:19" x14ac:dyDescent="0.3">
      <c r="B13" s="17">
        <v>46031</v>
      </c>
      <c r="C13" s="25">
        <v>100</v>
      </c>
      <c r="D13" s="18">
        <v>0</v>
      </c>
      <c r="E13" s="16">
        <v>0</v>
      </c>
      <c r="F13" s="16">
        <v>2.06</v>
      </c>
      <c r="G13">
        <v>2.06</v>
      </c>
      <c r="I13" s="27" t="s">
        <v>47</v>
      </c>
      <c r="J13" s="30">
        <f>XIRR(G3:G32,B3:B32)</f>
        <v>0.17717530131340031</v>
      </c>
      <c r="L13" s="22"/>
      <c r="S13" s="12"/>
    </row>
    <row r="14" spans="2:19" x14ac:dyDescent="0.3">
      <c r="B14" s="17">
        <v>46212</v>
      </c>
      <c r="C14" s="25">
        <v>100</v>
      </c>
      <c r="D14" s="18">
        <v>0</v>
      </c>
      <c r="E14" s="16">
        <v>0</v>
      </c>
      <c r="F14" s="16">
        <v>2.06</v>
      </c>
      <c r="G14">
        <v>2.06</v>
      </c>
      <c r="L14" s="22"/>
      <c r="M14">
        <f>(G13+G14)/(1+J13)^6</f>
        <v>1.5482830784602748</v>
      </c>
      <c r="O14">
        <f>M14*6</f>
        <v>9.2896984707616497</v>
      </c>
      <c r="Q14">
        <v>42</v>
      </c>
      <c r="S14" s="12">
        <f t="shared" si="0"/>
        <v>65.027889295331548</v>
      </c>
    </row>
    <row r="15" spans="2:19" x14ac:dyDescent="0.3">
      <c r="B15" s="17">
        <v>46396</v>
      </c>
      <c r="C15" s="25">
        <v>100</v>
      </c>
      <c r="D15" s="18">
        <v>0</v>
      </c>
      <c r="E15" s="16">
        <v>0</v>
      </c>
      <c r="F15" s="16">
        <v>2.06</v>
      </c>
      <c r="G15">
        <v>2.06</v>
      </c>
      <c r="I15" s="27" t="s">
        <v>48</v>
      </c>
      <c r="J15" s="27">
        <f>(((G4/((1+J13)^1))*1)+(((G5+G6)/((1+J13)^2))*2)+(((G7+G8)/((1+J13)^3))*3)+(((G9+G10)/((1+J13)^4))*4)+(((G11+G12)/((1+J13)^5))*5)+(((G13+G14)/((1+J13)^6))*6)+(((G15+G16)/((1+J13)^7))*7)+(((G17+G18)/((1+J13)^8))*8)+(((G19+G20)/((1+J13)^9))*9)+(((G21+G22)/((1+J13)^10))*10)+(((G23+G24)/((1+J13)^11))*11)+(((G25+G26)/((1+J13)^12))*12)+(((G27+G28)/((1+J13)^13))*13)+(((G29+G30)/((1+J13)^14))*14)+(((G31+G32)/((1+J13)^15))*15))/J2</f>
        <v>8.9591474980760388</v>
      </c>
      <c r="L15" s="22"/>
      <c r="S15" s="12"/>
    </row>
    <row r="16" spans="2:19" x14ac:dyDescent="0.3">
      <c r="B16" s="17">
        <v>46577</v>
      </c>
      <c r="C16" s="25">
        <v>100</v>
      </c>
      <c r="D16" s="18">
        <v>0</v>
      </c>
      <c r="E16" s="16">
        <v>0</v>
      </c>
      <c r="F16" s="16">
        <v>2.06</v>
      </c>
      <c r="G16">
        <v>2.06</v>
      </c>
      <c r="L16" s="22"/>
      <c r="M16">
        <f>(G15+G16)/(1+J13)^7</f>
        <v>1.315252772236065</v>
      </c>
      <c r="O16">
        <f>M16*7</f>
        <v>9.2067694056524552</v>
      </c>
      <c r="Q16">
        <v>56</v>
      </c>
      <c r="S16" s="12">
        <f t="shared" si="0"/>
        <v>73.654155245219641</v>
      </c>
    </row>
    <row r="17" spans="2:19" x14ac:dyDescent="0.3">
      <c r="B17" s="17">
        <v>46761</v>
      </c>
      <c r="C17" s="25">
        <v>100</v>
      </c>
      <c r="D17" s="18">
        <v>0</v>
      </c>
      <c r="E17" s="16">
        <v>0</v>
      </c>
      <c r="F17" s="16">
        <v>2.38</v>
      </c>
      <c r="G17">
        <v>2.38</v>
      </c>
      <c r="I17" s="27" t="s">
        <v>49</v>
      </c>
      <c r="J17" s="27">
        <f>J15/(1+J13)</f>
        <v>7.610716507626452</v>
      </c>
      <c r="L17" s="22"/>
      <c r="S17" s="12"/>
    </row>
    <row r="18" spans="2:19" x14ac:dyDescent="0.3">
      <c r="B18" s="17">
        <v>46943</v>
      </c>
      <c r="C18" s="25">
        <v>100</v>
      </c>
      <c r="D18" s="18">
        <v>0</v>
      </c>
      <c r="E18" s="16">
        <v>0</v>
      </c>
      <c r="F18" s="16">
        <v>2.38</v>
      </c>
      <c r="G18">
        <v>2.38</v>
      </c>
      <c r="L18" s="22"/>
      <c r="M18">
        <f>(G17+G18)/(1+J13)^8</f>
        <v>1.2908560694324087</v>
      </c>
      <c r="O18">
        <f>M18*8</f>
        <v>10.32684855545927</v>
      </c>
      <c r="Q18">
        <v>72</v>
      </c>
      <c r="S18" s="12">
        <f t="shared" si="0"/>
        <v>92.941636999133422</v>
      </c>
    </row>
    <row r="19" spans="2:19" x14ac:dyDescent="0.3">
      <c r="B19" s="17">
        <v>47127</v>
      </c>
      <c r="C19" s="25">
        <v>100</v>
      </c>
      <c r="D19" s="18">
        <v>0</v>
      </c>
      <c r="E19" s="16">
        <v>0</v>
      </c>
      <c r="F19" s="16">
        <v>2.5</v>
      </c>
      <c r="G19">
        <v>2.5</v>
      </c>
      <c r="L19" s="22"/>
      <c r="S19" s="12"/>
    </row>
    <row r="20" spans="2:19" x14ac:dyDescent="0.3">
      <c r="B20" s="17">
        <v>47308</v>
      </c>
      <c r="C20" s="25">
        <v>100</v>
      </c>
      <c r="D20" s="18">
        <v>0</v>
      </c>
      <c r="E20" s="16">
        <v>0</v>
      </c>
      <c r="F20" s="16">
        <v>2.5</v>
      </c>
      <c r="G20">
        <v>2.5</v>
      </c>
      <c r="L20" s="22"/>
      <c r="M20">
        <f>(G19+G20)/(1+J13)^9</f>
        <v>1.1518600907536349</v>
      </c>
      <c r="O20">
        <f>M20*9</f>
        <v>10.366740816782714</v>
      </c>
      <c r="Q20">
        <v>90</v>
      </c>
      <c r="S20" s="12">
        <f t="shared" si="0"/>
        <v>103.66740816782715</v>
      </c>
    </row>
    <row r="21" spans="2:19" x14ac:dyDescent="0.3">
      <c r="B21" s="17">
        <v>47492</v>
      </c>
      <c r="C21" s="25">
        <v>100</v>
      </c>
      <c r="D21" s="18">
        <v>0</v>
      </c>
      <c r="E21" s="16">
        <v>0</v>
      </c>
      <c r="F21" s="16">
        <v>2.5</v>
      </c>
      <c r="G21">
        <v>2.5</v>
      </c>
      <c r="L21" s="22"/>
      <c r="S21" s="12"/>
    </row>
    <row r="22" spans="2:19" x14ac:dyDescent="0.3">
      <c r="B22" s="17">
        <v>47673</v>
      </c>
      <c r="C22" s="25">
        <v>100</v>
      </c>
      <c r="D22" s="18">
        <v>0</v>
      </c>
      <c r="E22" s="16">
        <v>0</v>
      </c>
      <c r="F22" s="16">
        <v>2.5</v>
      </c>
      <c r="G22">
        <v>2.5</v>
      </c>
      <c r="L22" s="22"/>
      <c r="M22">
        <f>(G21+G22)/(1+J13)^10</f>
        <v>0.97849495267907793</v>
      </c>
      <c r="O22">
        <f>M22*10</f>
        <v>9.7849495267907791</v>
      </c>
      <c r="Q22">
        <v>110</v>
      </c>
      <c r="S22" s="12">
        <f t="shared" si="0"/>
        <v>107.63444479469857</v>
      </c>
    </row>
    <row r="23" spans="2:19" x14ac:dyDescent="0.3">
      <c r="B23" s="17">
        <v>47857</v>
      </c>
      <c r="C23" s="25">
        <v>100</v>
      </c>
      <c r="D23" s="18">
        <v>0.1</v>
      </c>
      <c r="E23" s="16">
        <v>10</v>
      </c>
      <c r="F23" s="16">
        <v>2.5</v>
      </c>
      <c r="G23">
        <v>12.5</v>
      </c>
      <c r="L23" s="22"/>
      <c r="S23" s="12"/>
    </row>
    <row r="24" spans="2:19" x14ac:dyDescent="0.3">
      <c r="B24" s="17">
        <v>48038</v>
      </c>
      <c r="C24" s="25">
        <v>90</v>
      </c>
      <c r="D24" s="18">
        <v>0.1</v>
      </c>
      <c r="E24" s="16">
        <v>10</v>
      </c>
      <c r="F24" s="16">
        <v>2.25</v>
      </c>
      <c r="G24">
        <v>12.25</v>
      </c>
      <c r="L24" s="22"/>
      <c r="M24">
        <f>(G23+G24)/(1+J13)^11</f>
        <v>4.1145528710612433</v>
      </c>
      <c r="O24">
        <f>M24*11</f>
        <v>45.260081581673674</v>
      </c>
      <c r="Q24">
        <v>132</v>
      </c>
      <c r="S24" s="12">
        <f t="shared" si="0"/>
        <v>543.12097898008415</v>
      </c>
    </row>
    <row r="25" spans="2:19" x14ac:dyDescent="0.3">
      <c r="B25" s="17">
        <v>48222</v>
      </c>
      <c r="C25" s="25">
        <v>80</v>
      </c>
      <c r="D25" s="18">
        <v>0.1</v>
      </c>
      <c r="E25" s="16">
        <v>10</v>
      </c>
      <c r="F25" s="16">
        <v>2</v>
      </c>
      <c r="G25">
        <v>12</v>
      </c>
      <c r="L25" s="22"/>
      <c r="S25" s="12"/>
    </row>
    <row r="26" spans="2:19" x14ac:dyDescent="0.3">
      <c r="B26" s="17">
        <v>48404</v>
      </c>
      <c r="C26" s="25">
        <v>70</v>
      </c>
      <c r="D26" s="18">
        <v>0.1</v>
      </c>
      <c r="E26" s="16">
        <v>10</v>
      </c>
      <c r="F26" s="16">
        <v>1.75</v>
      </c>
      <c r="G26">
        <v>11.75</v>
      </c>
      <c r="L26" s="22"/>
      <c r="M26">
        <f>(G25+G26)/(1+J13)^12</f>
        <v>3.3540529657809763</v>
      </c>
      <c r="O26">
        <f>M26*12</f>
        <v>40.248635589371716</v>
      </c>
      <c r="Q26">
        <v>156</v>
      </c>
      <c r="S26" s="12">
        <f t="shared" si="0"/>
        <v>523.23226266183235</v>
      </c>
    </row>
    <row r="27" spans="2:19" x14ac:dyDescent="0.3">
      <c r="B27" s="17">
        <v>48588</v>
      </c>
      <c r="C27" s="25">
        <v>60</v>
      </c>
      <c r="D27" s="18">
        <v>0.1</v>
      </c>
      <c r="E27" s="16">
        <v>10</v>
      </c>
      <c r="F27" s="16">
        <v>1.5</v>
      </c>
      <c r="G27">
        <v>11.5</v>
      </c>
      <c r="L27" s="22"/>
      <c r="S27" s="12"/>
    </row>
    <row r="28" spans="2:19" x14ac:dyDescent="0.3">
      <c r="B28" s="17">
        <v>48769</v>
      </c>
      <c r="C28" s="25">
        <v>50</v>
      </c>
      <c r="D28" s="18">
        <v>0.1</v>
      </c>
      <c r="E28" s="16">
        <v>10</v>
      </c>
      <c r="F28" s="16">
        <v>1.25</v>
      </c>
      <c r="G28">
        <v>11.25</v>
      </c>
      <c r="L28" s="22"/>
      <c r="M28">
        <f>(G27+G28)/(1+J13)^13</f>
        <v>2.7292703809081167</v>
      </c>
      <c r="O28">
        <f>M28*13</f>
        <v>35.480514951805517</v>
      </c>
      <c r="Q28">
        <v>182</v>
      </c>
      <c r="S28" s="12">
        <f t="shared" si="0"/>
        <v>496.72720932527722</v>
      </c>
    </row>
    <row r="29" spans="2:19" x14ac:dyDescent="0.3">
      <c r="B29" s="17">
        <v>48953</v>
      </c>
      <c r="C29" s="25">
        <v>40</v>
      </c>
      <c r="D29" s="18">
        <v>0.1</v>
      </c>
      <c r="E29" s="16">
        <v>10</v>
      </c>
      <c r="F29" s="16">
        <v>1</v>
      </c>
      <c r="G29">
        <v>11</v>
      </c>
      <c r="L29" s="22"/>
      <c r="S29" s="12"/>
    </row>
    <row r="30" spans="2:19" x14ac:dyDescent="0.3">
      <c r="B30" s="17">
        <v>49134</v>
      </c>
      <c r="C30" s="25">
        <v>30</v>
      </c>
      <c r="D30" s="18">
        <v>0.1</v>
      </c>
      <c r="E30" s="16">
        <v>10</v>
      </c>
      <c r="F30" s="16">
        <v>0.75</v>
      </c>
      <c r="G30">
        <v>10.75</v>
      </c>
      <c r="L30" s="22"/>
      <c r="M30">
        <f>(G29+G30)/(1+J13)^14</f>
        <v>2.2165793396835074</v>
      </c>
      <c r="O30">
        <f>M30*14</f>
        <v>31.032110755569104</v>
      </c>
      <c r="Q30">
        <v>210</v>
      </c>
      <c r="S30" s="12">
        <f t="shared" si="0"/>
        <v>465.48166133353658</v>
      </c>
    </row>
    <row r="31" spans="2:19" x14ac:dyDescent="0.3">
      <c r="B31" s="17">
        <v>49318</v>
      </c>
      <c r="C31" s="25">
        <v>20</v>
      </c>
      <c r="D31" s="18">
        <v>0.1</v>
      </c>
      <c r="E31" s="16">
        <v>10</v>
      </c>
      <c r="F31" s="16">
        <v>0.5</v>
      </c>
      <c r="G31">
        <v>10.5</v>
      </c>
      <c r="L31" s="22"/>
      <c r="S31" s="12"/>
    </row>
    <row r="32" spans="2:19" x14ac:dyDescent="0.3">
      <c r="B32" s="17">
        <v>49499</v>
      </c>
      <c r="C32" s="25">
        <v>10</v>
      </c>
      <c r="D32" s="18">
        <v>0.1</v>
      </c>
      <c r="E32" s="16">
        <v>10</v>
      </c>
      <c r="F32" s="16">
        <v>0.25</v>
      </c>
      <c r="G32">
        <v>10.25</v>
      </c>
      <c r="L32" s="22"/>
      <c r="M32">
        <f>(G31+G32)/(1+J13)^15</f>
        <v>1.7963914495534983</v>
      </c>
      <c r="O32">
        <f>M32*15</f>
        <v>26.945871743302476</v>
      </c>
      <c r="Q32">
        <v>240</v>
      </c>
      <c r="S32" s="12">
        <f t="shared" si="0"/>
        <v>431.13394789283961</v>
      </c>
    </row>
    <row r="33" spans="2:19" x14ac:dyDescent="0.3">
      <c r="B33" t="s">
        <v>23</v>
      </c>
      <c r="D33" s="11">
        <v>1</v>
      </c>
      <c r="E33">
        <v>100</v>
      </c>
      <c r="F33">
        <v>47.23</v>
      </c>
      <c r="G33">
        <v>147.22999999999999</v>
      </c>
      <c r="L33" s="52" t="s">
        <v>102</v>
      </c>
      <c r="M33" s="53"/>
      <c r="N33" s="42"/>
      <c r="O33" s="42"/>
      <c r="P33" s="42"/>
      <c r="Q33" s="42"/>
      <c r="R33" s="53" t="s">
        <v>103</v>
      </c>
      <c r="S33" s="54">
        <f>1/(J2*((1+J13)^2))*SUM(S4,S6,S8,S10,S12,S14,S16,S18,S20,S22,S24,S26,S28,S30,S32)</f>
        <v>78.161741091670237</v>
      </c>
    </row>
  </sheetData>
  <sheetProtection algorithmName="SHA-512" hashValue="iKc3+zzBvce5UIECl5VeH+RYoV1BoEgE/Vp2pvUExMrRu5DAUnbyxoo0E5oV01HPrdxQTRSp7CmTrvPuGMirzA==" saltValue="He6Vm38H8cuvOpxNCObzYQ==" spinCount="100000" sheet="1" objects="1" scenarios="1" selectLockedCells="1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43BC-C302-4583-9B33-46BA4E3D5608}">
  <dimension ref="B2:U39"/>
  <sheetViews>
    <sheetView workbookViewId="0">
      <selection activeCell="I5" sqref="I5"/>
    </sheetView>
  </sheetViews>
  <sheetFormatPr baseColWidth="10" defaultRowHeight="14.4" x14ac:dyDescent="0.3"/>
  <cols>
    <col min="3" max="3" width="18.5546875" customWidth="1"/>
    <col min="4" max="4" width="19.109375" customWidth="1"/>
    <col min="5" max="5" width="21" customWidth="1"/>
    <col min="6" max="6" width="16.44140625" customWidth="1"/>
    <col min="7" max="7" width="15.5546875" customWidth="1"/>
    <col min="8" max="8" width="12.6640625" customWidth="1"/>
    <col min="9" max="9" width="12.6640625" bestFit="1" customWidth="1"/>
  </cols>
  <sheetData>
    <row r="2" spans="2:21" ht="43.2" x14ac:dyDescent="0.3">
      <c r="B2" t="s">
        <v>20</v>
      </c>
      <c r="C2" t="s">
        <v>21</v>
      </c>
      <c r="D2" t="s">
        <v>22</v>
      </c>
      <c r="E2" t="s">
        <v>50</v>
      </c>
      <c r="F2" t="s">
        <v>79</v>
      </c>
      <c r="G2" t="s">
        <v>51</v>
      </c>
      <c r="I2" s="39" t="s">
        <v>80</v>
      </c>
      <c r="N2" s="45"/>
      <c r="O2" s="46" t="s">
        <v>60</v>
      </c>
      <c r="P2" s="14"/>
      <c r="Q2" s="14" t="s">
        <v>61</v>
      </c>
      <c r="R2" s="14"/>
      <c r="S2" s="14" t="s">
        <v>62</v>
      </c>
      <c r="T2" s="14"/>
      <c r="U2" s="47" t="s">
        <v>63</v>
      </c>
    </row>
    <row r="3" spans="2:21" x14ac:dyDescent="0.3">
      <c r="B3" s="17">
        <v>44078</v>
      </c>
      <c r="C3" s="16">
        <v>100</v>
      </c>
      <c r="D3" s="18">
        <v>0</v>
      </c>
      <c r="E3" s="16">
        <v>0</v>
      </c>
      <c r="F3" s="16">
        <v>0</v>
      </c>
      <c r="G3" s="55">
        <f>-I4</f>
        <v>-31.9</v>
      </c>
      <c r="H3" s="55" t="s">
        <v>83</v>
      </c>
      <c r="I3" s="39"/>
      <c r="K3" s="27" t="s">
        <v>2</v>
      </c>
      <c r="L3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"fin"))))))))))))))))))))))))))))))))))</f>
        <v>7.6306294506161337E-3</v>
      </c>
      <c r="N3" s="22"/>
      <c r="U3" s="12"/>
    </row>
    <row r="4" spans="2:21" x14ac:dyDescent="0.3">
      <c r="B4" s="17">
        <v>44386</v>
      </c>
      <c r="C4" s="16">
        <v>100</v>
      </c>
      <c r="D4" s="18">
        <v>0</v>
      </c>
      <c r="E4" s="16">
        <v>0</v>
      </c>
      <c r="F4" s="16">
        <v>0.11</v>
      </c>
      <c r="G4">
        <v>0.11</v>
      </c>
      <c r="I4" s="39">
        <f>LOOKUP("GD38D",Extraer!A3:A98,Extraer!B3:B98)</f>
        <v>31.9</v>
      </c>
      <c r="N4" s="22"/>
      <c r="O4">
        <f>G4/(1+L9)^1</f>
        <v>9.2896473358578077E-2</v>
      </c>
      <c r="Q4">
        <f>O4*1</f>
        <v>9.2896473358578077E-2</v>
      </c>
      <c r="S4">
        <v>2</v>
      </c>
      <c r="U4" s="12">
        <f>O4*S4</f>
        <v>0.18579294671715615</v>
      </c>
    </row>
    <row r="5" spans="2:21" x14ac:dyDescent="0.3">
      <c r="B5" s="17">
        <v>44570</v>
      </c>
      <c r="C5" s="16">
        <v>100</v>
      </c>
      <c r="D5" s="18">
        <v>0</v>
      </c>
      <c r="E5" s="16">
        <v>0</v>
      </c>
      <c r="F5" s="16">
        <v>1</v>
      </c>
      <c r="G5">
        <v>1</v>
      </c>
      <c r="I5" s="40"/>
      <c r="K5" s="27" t="s">
        <v>45</v>
      </c>
      <c r="L5" s="27">
        <f ca="1">IF(B16&gt;NOW(),C16,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"fin"))))))))))))))))))))))</f>
        <v>100</v>
      </c>
      <c r="N5" s="22"/>
      <c r="U5" s="12"/>
    </row>
    <row r="6" spans="2:21" x14ac:dyDescent="0.3">
      <c r="B6" s="17">
        <v>44751</v>
      </c>
      <c r="C6" s="16">
        <v>100</v>
      </c>
      <c r="D6" s="18">
        <v>0</v>
      </c>
      <c r="E6" s="16">
        <v>0</v>
      </c>
      <c r="F6" s="16">
        <v>1</v>
      </c>
      <c r="G6">
        <v>1</v>
      </c>
      <c r="I6" s="39"/>
      <c r="N6" s="22"/>
      <c r="O6">
        <f>(G5+G6)/(1+L9)^2</f>
        <v>1.4264057458613233</v>
      </c>
      <c r="Q6">
        <f>O6*2</f>
        <v>2.8528114917226466</v>
      </c>
      <c r="S6">
        <v>6</v>
      </c>
      <c r="U6" s="12">
        <f t="shared" ref="U6:U37" si="0">O6*S6</f>
        <v>8.5584344751679389</v>
      </c>
    </row>
    <row r="7" spans="2:21" x14ac:dyDescent="0.3">
      <c r="B7" s="17">
        <v>44935</v>
      </c>
      <c r="C7" s="16">
        <v>100</v>
      </c>
      <c r="D7" s="18">
        <v>0</v>
      </c>
      <c r="E7" s="16">
        <v>0</v>
      </c>
      <c r="F7" s="16">
        <v>1.94</v>
      </c>
      <c r="G7">
        <v>1.94</v>
      </c>
      <c r="K7" s="27" t="s">
        <v>81</v>
      </c>
      <c r="L7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NOW()&lt;B35,C35+((NOW()-B34)/(B35-B34))*F35+SUM(F4:F34),IF(NOW()&lt;B36,C36+((NOW()-B35)/(B36-B35))*F36+SUM(F4:F35),IF(NOW()&lt;B37,C37+((NOW()-B36)/(B37-B36))*F37+SUM(F4:F36),"fin"))))))))))))))))))))))))))))))))))</f>
        <v>104.05763062945061</v>
      </c>
      <c r="N7" s="22"/>
      <c r="U7" s="12"/>
    </row>
    <row r="8" spans="2:21" x14ac:dyDescent="0.3">
      <c r="B8" s="17">
        <v>45116</v>
      </c>
      <c r="C8" s="16">
        <v>100</v>
      </c>
      <c r="D8" s="18">
        <v>0</v>
      </c>
      <c r="E8" s="16">
        <v>0</v>
      </c>
      <c r="F8" s="16">
        <v>1.94</v>
      </c>
      <c r="G8">
        <v>1.94</v>
      </c>
      <c r="N8" s="22"/>
      <c r="O8">
        <f>(G7+G8)/(1+L9)^3</f>
        <v>2.3369603903247493</v>
      </c>
      <c r="Q8">
        <f>O8*3</f>
        <v>7.0108811709742476</v>
      </c>
      <c r="S8">
        <v>12</v>
      </c>
      <c r="U8" s="12">
        <f t="shared" si="0"/>
        <v>28.04352468389699</v>
      </c>
    </row>
    <row r="9" spans="2:21" x14ac:dyDescent="0.3">
      <c r="B9" s="17">
        <v>45300</v>
      </c>
      <c r="C9" s="16">
        <v>100</v>
      </c>
      <c r="D9" s="18">
        <v>0</v>
      </c>
      <c r="E9" s="16">
        <v>0</v>
      </c>
      <c r="F9" s="16">
        <v>2.13</v>
      </c>
      <c r="G9">
        <v>2.13</v>
      </c>
      <c r="K9" s="27" t="s">
        <v>82</v>
      </c>
      <c r="L9" s="30">
        <f>XIRR(G3:G37,B3:B37)</f>
        <v>0.18411384224891666</v>
      </c>
      <c r="N9" s="22"/>
      <c r="U9" s="12"/>
    </row>
    <row r="10" spans="2:21" x14ac:dyDescent="0.3">
      <c r="B10" s="17">
        <v>45482</v>
      </c>
      <c r="C10" s="16">
        <v>100</v>
      </c>
      <c r="D10" s="18">
        <v>0</v>
      </c>
      <c r="E10" s="16">
        <v>0</v>
      </c>
      <c r="F10" s="16">
        <v>2.13</v>
      </c>
      <c r="G10">
        <v>2.13</v>
      </c>
      <c r="N10" s="22"/>
      <c r="O10">
        <f>(G9+G10)/(1+L9)^4</f>
        <v>2.1668845196949005</v>
      </c>
      <c r="Q10">
        <f>O10*4</f>
        <v>8.6675380787796019</v>
      </c>
      <c r="S10">
        <v>20</v>
      </c>
      <c r="U10" s="12">
        <f t="shared" si="0"/>
        <v>43.337690393898008</v>
      </c>
    </row>
    <row r="11" spans="2:21" x14ac:dyDescent="0.3">
      <c r="B11" s="17">
        <v>45666</v>
      </c>
      <c r="C11" s="16">
        <v>100</v>
      </c>
      <c r="D11" s="18">
        <v>0</v>
      </c>
      <c r="E11" s="16">
        <v>0</v>
      </c>
      <c r="F11" s="16">
        <v>2.5</v>
      </c>
      <c r="G11">
        <v>2.5</v>
      </c>
      <c r="K11" s="27" t="s">
        <v>48</v>
      </c>
      <c r="L11" s="27">
        <f>(((G4/((1+L9)^1))*1)+(((G5+G6)/((1+L9)^2))*2)+(((G7+G8)/((1+L9)^3))*3)+(((G9+G10)/((1+L9)^4))*4)+(((G11+G12)/((1+L9)^5))*5)+(((G13+G14)/((1+L9)^6))*6)+(((G15+G16)/((1+L9)^7))*7)+(((G17+G18)/((1+L9)^8))*8)+(((G19+G20)/((1+L9)^9))*9)+(((G21+G22)/((1+L9)^10))*10)+(((G23+G24)/((1+L9)^11))*11)+(((G25+G26)/((1+L9)^12))*12)+(((G27+G28)/((1+L9)^13))*13)+(((G29+G30)/((1+L9)^14))*14)+(((G31+G32)/((1+L9)^15))*15)+(((G33+G34)/((1+L9)^16))*16)+(((G35+G36)/((1+L9)^17))*17)+(((G37)/((1+L9)^18))*18))/I4</f>
        <v>7.7382592500982064</v>
      </c>
      <c r="N11" s="22"/>
      <c r="U11" s="12"/>
    </row>
    <row r="12" spans="2:21" x14ac:dyDescent="0.3">
      <c r="B12" s="17">
        <v>45847</v>
      </c>
      <c r="C12" s="16">
        <v>100</v>
      </c>
      <c r="D12" s="18">
        <v>0</v>
      </c>
      <c r="E12" s="16">
        <v>0</v>
      </c>
      <c r="F12" s="16">
        <v>2.5</v>
      </c>
      <c r="G12">
        <v>2.5</v>
      </c>
      <c r="N12" s="22"/>
      <c r="O12">
        <f>(G11+G12)/(1+L9)^5</f>
        <v>2.1478438972999636</v>
      </c>
      <c r="Q12">
        <f>O12*5</f>
        <v>10.739219486499819</v>
      </c>
      <c r="S12">
        <v>30</v>
      </c>
      <c r="U12" s="12">
        <f t="shared" si="0"/>
        <v>64.435316918998907</v>
      </c>
    </row>
    <row r="13" spans="2:21" x14ac:dyDescent="0.3">
      <c r="B13" s="17">
        <v>46031</v>
      </c>
      <c r="C13" s="16">
        <v>100</v>
      </c>
      <c r="D13" s="18">
        <v>0</v>
      </c>
      <c r="E13" s="16">
        <v>0</v>
      </c>
      <c r="F13" s="16">
        <v>2.5</v>
      </c>
      <c r="G13">
        <v>2.5</v>
      </c>
      <c r="K13" s="27" t="s">
        <v>49</v>
      </c>
      <c r="L13" s="27">
        <f>L11/(1+L9)</f>
        <v>6.5350635842592579</v>
      </c>
      <c r="N13" s="22"/>
      <c r="U13" s="12"/>
    </row>
    <row r="14" spans="2:21" x14ac:dyDescent="0.3">
      <c r="B14" s="17">
        <v>46212</v>
      </c>
      <c r="C14" s="16">
        <v>100</v>
      </c>
      <c r="D14" s="18">
        <v>0</v>
      </c>
      <c r="E14" s="16">
        <v>0</v>
      </c>
      <c r="F14" s="16">
        <v>2.5</v>
      </c>
      <c r="G14">
        <v>2.5</v>
      </c>
      <c r="N14" s="22"/>
      <c r="O14">
        <f>(G13+G14)/(1+L9)^6</f>
        <v>1.8138829398537322</v>
      </c>
      <c r="Q14">
        <f>O14*6</f>
        <v>10.883297639122393</v>
      </c>
      <c r="S14">
        <v>42</v>
      </c>
      <c r="U14" s="12">
        <f t="shared" si="0"/>
        <v>76.183083473856755</v>
      </c>
    </row>
    <row r="15" spans="2:21" x14ac:dyDescent="0.3">
      <c r="B15" s="17">
        <v>46396</v>
      </c>
      <c r="C15" s="16">
        <v>100</v>
      </c>
      <c r="D15" s="18">
        <v>0</v>
      </c>
      <c r="E15" s="16">
        <v>0</v>
      </c>
      <c r="F15" s="16">
        <v>2.5</v>
      </c>
      <c r="G15">
        <v>2.5</v>
      </c>
      <c r="N15" s="22"/>
      <c r="U15" s="12"/>
    </row>
    <row r="16" spans="2:21" x14ac:dyDescent="0.3">
      <c r="B16" s="17">
        <v>46577</v>
      </c>
      <c r="C16" s="16">
        <v>100</v>
      </c>
      <c r="D16" s="18">
        <v>4.5499999999999999E-2</v>
      </c>
      <c r="E16" s="16">
        <v>4.55</v>
      </c>
      <c r="F16" s="16">
        <v>2.5</v>
      </c>
      <c r="G16">
        <v>7.05</v>
      </c>
      <c r="N16" s="22"/>
      <c r="O16">
        <f>(G15+G16)/(1+L9)^7</f>
        <v>2.9258305168873631</v>
      </c>
      <c r="Q16">
        <f>O16*7</f>
        <v>20.480813618211542</v>
      </c>
      <c r="S16">
        <v>56</v>
      </c>
      <c r="U16" s="12">
        <f t="shared" si="0"/>
        <v>163.84650894569234</v>
      </c>
    </row>
    <row r="17" spans="2:21" x14ac:dyDescent="0.3">
      <c r="B17" s="17">
        <v>46761</v>
      </c>
      <c r="C17" s="16">
        <v>95.45</v>
      </c>
      <c r="D17" s="18">
        <v>4.5499999999999999E-2</v>
      </c>
      <c r="E17" s="16">
        <v>4.55</v>
      </c>
      <c r="F17" s="16">
        <v>2.39</v>
      </c>
      <c r="G17">
        <v>6.93</v>
      </c>
      <c r="N17" s="22"/>
      <c r="U17" s="12"/>
    </row>
    <row r="18" spans="2:21" x14ac:dyDescent="0.3">
      <c r="B18" s="17">
        <v>46943</v>
      </c>
      <c r="C18" s="16">
        <v>90.91</v>
      </c>
      <c r="D18" s="18">
        <v>4.5499999999999999E-2</v>
      </c>
      <c r="E18" s="16">
        <v>4.55</v>
      </c>
      <c r="F18" s="16">
        <v>2.27</v>
      </c>
      <c r="G18">
        <v>6.82</v>
      </c>
      <c r="N18" s="22"/>
      <c r="O18">
        <f>(G17+G18)/(1+L9)^8</f>
        <v>3.5575829406248896</v>
      </c>
      <c r="Q18">
        <f>O18*8</f>
        <v>28.460663524999116</v>
      </c>
      <c r="S18">
        <v>72</v>
      </c>
      <c r="U18" s="12">
        <f t="shared" si="0"/>
        <v>256.14597172499202</v>
      </c>
    </row>
    <row r="19" spans="2:21" x14ac:dyDescent="0.3">
      <c r="B19" s="17">
        <v>47127</v>
      </c>
      <c r="C19" s="16">
        <v>86.36</v>
      </c>
      <c r="D19" s="18">
        <v>4.5499999999999999E-2</v>
      </c>
      <c r="E19" s="16">
        <v>4.55</v>
      </c>
      <c r="F19" s="16">
        <v>2.16</v>
      </c>
      <c r="G19">
        <v>6.7</v>
      </c>
      <c r="N19" s="22"/>
      <c r="U19" s="12"/>
    </row>
    <row r="20" spans="2:21" x14ac:dyDescent="0.3">
      <c r="B20" s="17">
        <v>47308</v>
      </c>
      <c r="C20" s="16">
        <v>81.819999999999993</v>
      </c>
      <c r="D20" s="18">
        <v>4.5499999999999999E-2</v>
      </c>
      <c r="E20" s="16">
        <v>4.55</v>
      </c>
      <c r="F20" s="16">
        <v>2.0499999999999998</v>
      </c>
      <c r="G20">
        <v>6.59</v>
      </c>
      <c r="N20" s="22"/>
      <c r="O20">
        <f>(G19+G20)/(1+L9)^9</f>
        <v>2.9039147231813258</v>
      </c>
      <c r="Q20">
        <f>O20*9</f>
        <v>26.135232508631933</v>
      </c>
      <c r="S20">
        <v>90</v>
      </c>
      <c r="U20" s="12">
        <f t="shared" si="0"/>
        <v>261.3523250863193</v>
      </c>
    </row>
    <row r="21" spans="2:21" x14ac:dyDescent="0.3">
      <c r="B21" s="17">
        <v>47492</v>
      </c>
      <c r="C21" s="16">
        <v>77.27</v>
      </c>
      <c r="D21" s="18">
        <v>4.5499999999999999E-2</v>
      </c>
      <c r="E21" s="16">
        <v>4.55</v>
      </c>
      <c r="F21" s="16">
        <v>1.93</v>
      </c>
      <c r="G21">
        <v>6.48</v>
      </c>
      <c r="N21" s="22"/>
      <c r="U21" s="12"/>
    </row>
    <row r="22" spans="2:21" x14ac:dyDescent="0.3">
      <c r="B22" s="17">
        <v>47673</v>
      </c>
      <c r="C22" s="16">
        <v>72.73</v>
      </c>
      <c r="D22" s="18">
        <v>4.5499999999999999E-2</v>
      </c>
      <c r="E22" s="16">
        <v>4.55</v>
      </c>
      <c r="F22" s="16">
        <v>1.82</v>
      </c>
      <c r="G22">
        <v>6.36</v>
      </c>
      <c r="N22" s="22"/>
      <c r="O22">
        <f>(G21+G22)/(1+L9)^10</f>
        <v>2.369356677921842</v>
      </c>
      <c r="Q22">
        <f>O22*10</f>
        <v>23.693566779218422</v>
      </c>
      <c r="S22">
        <v>110</v>
      </c>
      <c r="U22" s="12">
        <f t="shared" si="0"/>
        <v>260.62923457140261</v>
      </c>
    </row>
    <row r="23" spans="2:21" x14ac:dyDescent="0.3">
      <c r="B23" s="17">
        <v>47857</v>
      </c>
      <c r="C23" s="16">
        <v>68.180000000000007</v>
      </c>
      <c r="D23" s="18">
        <v>4.5499999999999999E-2</v>
      </c>
      <c r="E23" s="16">
        <v>4.55</v>
      </c>
      <c r="F23" s="16">
        <v>1.7</v>
      </c>
      <c r="G23">
        <v>6.25</v>
      </c>
      <c r="N23" s="22"/>
      <c r="U23" s="12"/>
    </row>
    <row r="24" spans="2:21" x14ac:dyDescent="0.3">
      <c r="B24" s="17">
        <v>48038</v>
      </c>
      <c r="C24" s="16">
        <v>63.64</v>
      </c>
      <c r="D24" s="18">
        <v>4.5499999999999999E-2</v>
      </c>
      <c r="E24" s="16">
        <v>4.55</v>
      </c>
      <c r="F24" s="16">
        <v>1.59</v>
      </c>
      <c r="G24">
        <v>6.14</v>
      </c>
      <c r="N24" s="22"/>
      <c r="O24">
        <f>(G23+G24)/(1+L9)^11</f>
        <v>1.9308265768184398</v>
      </c>
      <c r="Q24">
        <f>O24*11</f>
        <v>21.239092345002838</v>
      </c>
      <c r="S24">
        <v>132</v>
      </c>
      <c r="U24" s="12">
        <f t="shared" si="0"/>
        <v>254.86910814003406</v>
      </c>
    </row>
    <row r="25" spans="2:21" x14ac:dyDescent="0.3">
      <c r="B25" s="17">
        <v>48222</v>
      </c>
      <c r="C25" s="16">
        <v>59.09</v>
      </c>
      <c r="D25" s="18">
        <v>4.5499999999999999E-2</v>
      </c>
      <c r="E25" s="16">
        <v>4.55</v>
      </c>
      <c r="F25" s="16">
        <v>1.48</v>
      </c>
      <c r="G25">
        <v>6.02</v>
      </c>
      <c r="N25" s="22"/>
      <c r="U25" s="12"/>
    </row>
    <row r="26" spans="2:21" x14ac:dyDescent="0.3">
      <c r="B26" s="17">
        <v>48404</v>
      </c>
      <c r="C26" s="16">
        <v>54.55</v>
      </c>
      <c r="D26" s="18">
        <v>4.5499999999999999E-2</v>
      </c>
      <c r="E26" s="16">
        <v>4.55</v>
      </c>
      <c r="F26" s="16">
        <v>1.36</v>
      </c>
      <c r="G26">
        <v>5.91</v>
      </c>
      <c r="N26" s="22"/>
      <c r="O26">
        <f>(G25+G26)/(1+L9)^12</f>
        <v>1.5700697536617818</v>
      </c>
      <c r="Q26">
        <f>O26*12</f>
        <v>18.840837043941381</v>
      </c>
      <c r="S26">
        <v>156</v>
      </c>
      <c r="U26" s="12">
        <f t="shared" si="0"/>
        <v>244.93088157123796</v>
      </c>
    </row>
    <row r="27" spans="2:21" x14ac:dyDescent="0.3">
      <c r="B27" s="17">
        <v>48588</v>
      </c>
      <c r="C27" s="16">
        <v>50</v>
      </c>
      <c r="D27" s="18">
        <v>4.5499999999999999E-2</v>
      </c>
      <c r="E27" s="16">
        <v>4.55</v>
      </c>
      <c r="F27" s="16">
        <v>1.25</v>
      </c>
      <c r="G27">
        <v>5.8</v>
      </c>
      <c r="N27" s="22"/>
      <c r="U27" s="12"/>
    </row>
    <row r="28" spans="2:21" x14ac:dyDescent="0.3">
      <c r="B28" s="17">
        <v>48769</v>
      </c>
      <c r="C28" s="16">
        <v>45.45</v>
      </c>
      <c r="D28" s="18">
        <v>4.5499999999999999E-2</v>
      </c>
      <c r="E28" s="16">
        <v>4.55</v>
      </c>
      <c r="F28" s="16">
        <v>1.1399999999999999</v>
      </c>
      <c r="G28">
        <v>5.68</v>
      </c>
      <c r="N28" s="22"/>
      <c r="O28">
        <f>(G27+G28)/(1+L9)^13</f>
        <v>1.2759302492752369</v>
      </c>
      <c r="Q28">
        <f>O28*13</f>
        <v>16.587093240578081</v>
      </c>
      <c r="S28">
        <v>182</v>
      </c>
      <c r="U28" s="12">
        <f t="shared" si="0"/>
        <v>232.2193053680931</v>
      </c>
    </row>
    <row r="29" spans="2:21" x14ac:dyDescent="0.3">
      <c r="B29" s="17">
        <v>48953</v>
      </c>
      <c r="C29" s="16">
        <v>40.909999999999997</v>
      </c>
      <c r="D29" s="18">
        <v>4.5499999999999999E-2</v>
      </c>
      <c r="E29" s="16">
        <v>4.55</v>
      </c>
      <c r="F29" s="16">
        <v>1.02</v>
      </c>
      <c r="G29">
        <v>5.57</v>
      </c>
      <c r="N29" s="22"/>
      <c r="U29" s="12"/>
    </row>
    <row r="30" spans="2:21" x14ac:dyDescent="0.3">
      <c r="B30" s="17">
        <v>49134</v>
      </c>
      <c r="C30" s="16">
        <v>36.36</v>
      </c>
      <c r="D30" s="18">
        <v>4.5499999999999999E-2</v>
      </c>
      <c r="E30" s="16">
        <v>4.55</v>
      </c>
      <c r="F30" s="16">
        <v>0.91</v>
      </c>
      <c r="G30">
        <v>5.45</v>
      </c>
      <c r="N30" s="22"/>
      <c r="O30">
        <f>(G29+G30)/(1+L9)^14</f>
        <v>1.0343634882082624</v>
      </c>
      <c r="Q30">
        <f>O30*14</f>
        <v>14.481088834915674</v>
      </c>
      <c r="S30">
        <v>210</v>
      </c>
      <c r="U30" s="12">
        <f t="shared" si="0"/>
        <v>217.2163325237351</v>
      </c>
    </row>
    <row r="31" spans="2:21" x14ac:dyDescent="0.3">
      <c r="B31" s="17">
        <v>49318</v>
      </c>
      <c r="C31" s="16">
        <v>31.82</v>
      </c>
      <c r="D31" s="18">
        <v>4.5499999999999999E-2</v>
      </c>
      <c r="E31" s="16">
        <v>4.55</v>
      </c>
      <c r="F31" s="16">
        <v>0.8</v>
      </c>
      <c r="G31">
        <v>5.34</v>
      </c>
      <c r="N31" s="22"/>
      <c r="U31" s="12"/>
    </row>
    <row r="32" spans="2:21" x14ac:dyDescent="0.3">
      <c r="B32" s="17">
        <v>49499</v>
      </c>
      <c r="C32" s="16">
        <v>27.27</v>
      </c>
      <c r="D32" s="18">
        <v>4.5499999999999999E-2</v>
      </c>
      <c r="E32" s="16">
        <v>4.55</v>
      </c>
      <c r="F32" s="16">
        <v>0.68</v>
      </c>
      <c r="G32">
        <v>5.23</v>
      </c>
      <c r="N32" s="22"/>
      <c r="O32">
        <f>(G31+G32)/(1+L9)^15</f>
        <v>0.83786320143766668</v>
      </c>
      <c r="Q32">
        <f>O32*15</f>
        <v>12.567948021565</v>
      </c>
      <c r="S32">
        <v>240</v>
      </c>
      <c r="U32" s="12">
        <f t="shared" si="0"/>
        <v>201.08716834504</v>
      </c>
    </row>
    <row r="33" spans="2:21" x14ac:dyDescent="0.3">
      <c r="B33" s="17">
        <v>49683</v>
      </c>
      <c r="C33" s="16">
        <v>22.73</v>
      </c>
      <c r="D33" s="18">
        <v>4.5499999999999999E-2</v>
      </c>
      <c r="E33" s="16">
        <v>4.55</v>
      </c>
      <c r="F33" s="16">
        <v>0.56999999999999995</v>
      </c>
      <c r="G33">
        <v>5.1100000000000003</v>
      </c>
      <c r="N33" s="22"/>
      <c r="U33" s="12"/>
    </row>
    <row r="34" spans="2:21" x14ac:dyDescent="0.3">
      <c r="B34" s="17">
        <v>49865</v>
      </c>
      <c r="C34" s="16">
        <v>18.18</v>
      </c>
      <c r="D34" s="18">
        <v>4.5499999999999999E-2</v>
      </c>
      <c r="E34" s="16">
        <v>4.55</v>
      </c>
      <c r="F34" s="16">
        <v>0.45</v>
      </c>
      <c r="G34">
        <v>5</v>
      </c>
      <c r="N34" s="22"/>
      <c r="O34">
        <f>(G33+G34)/(1+L9)^16</f>
        <v>0.67679295151597563</v>
      </c>
      <c r="Q34">
        <f>O34*16</f>
        <v>10.82868722425561</v>
      </c>
      <c r="S34">
        <v>272</v>
      </c>
      <c r="U34" s="12">
        <f t="shared" si="0"/>
        <v>184.08768281234538</v>
      </c>
    </row>
    <row r="35" spans="2:21" x14ac:dyDescent="0.3">
      <c r="B35" s="17">
        <v>50049</v>
      </c>
      <c r="C35" s="16">
        <v>13.64</v>
      </c>
      <c r="D35" s="18">
        <v>4.5499999999999999E-2</v>
      </c>
      <c r="E35" s="16">
        <v>4.55</v>
      </c>
      <c r="F35" s="16">
        <v>0.34</v>
      </c>
      <c r="G35">
        <v>4.8899999999999997</v>
      </c>
      <c r="N35" s="22"/>
      <c r="U35" s="12"/>
    </row>
    <row r="36" spans="2:21" x14ac:dyDescent="0.3">
      <c r="B36" s="17">
        <v>50230</v>
      </c>
      <c r="C36" s="16">
        <v>9.09</v>
      </c>
      <c r="D36" s="18">
        <v>4.5499999999999999E-2</v>
      </c>
      <c r="E36" s="16">
        <v>4.55</v>
      </c>
      <c r="F36" s="16">
        <v>0.23</v>
      </c>
      <c r="G36">
        <v>4.7699999999999996</v>
      </c>
      <c r="N36" s="22"/>
      <c r="O36">
        <f>(G35+G36)/(1+L9)^17</f>
        <v>0.54612032483162332</v>
      </c>
      <c r="Q36">
        <f>O36*17</f>
        <v>9.2840455221375962</v>
      </c>
      <c r="S36">
        <v>306</v>
      </c>
      <c r="U36" s="12">
        <f t="shared" si="0"/>
        <v>167.11281939847674</v>
      </c>
    </row>
    <row r="37" spans="2:21" x14ac:dyDescent="0.3">
      <c r="B37" s="17">
        <v>50414</v>
      </c>
      <c r="C37" s="16">
        <v>4.55</v>
      </c>
      <c r="D37" s="18">
        <v>4.5499999999999999E-2</v>
      </c>
      <c r="E37" s="16">
        <v>4.55</v>
      </c>
      <c r="F37" s="16">
        <v>0.11</v>
      </c>
      <c r="G37">
        <v>4.66</v>
      </c>
      <c r="N37" s="22"/>
      <c r="O37">
        <f>G37/(1+L9)^18</f>
        <v>0.22248650412323814</v>
      </c>
      <c r="Q37">
        <f>O37*18</f>
        <v>4.0047570742182863</v>
      </c>
      <c r="S37">
        <v>342</v>
      </c>
      <c r="U37" s="12">
        <f t="shared" si="0"/>
        <v>76.09038441014745</v>
      </c>
    </row>
    <row r="38" spans="2:21" x14ac:dyDescent="0.3">
      <c r="B38" t="s">
        <v>23</v>
      </c>
      <c r="D38" s="11">
        <v>1</v>
      </c>
      <c r="E38">
        <v>100</v>
      </c>
      <c r="F38">
        <v>51.48</v>
      </c>
      <c r="G38">
        <v>151.47999999999999</v>
      </c>
      <c r="N38" s="22"/>
      <c r="U38" s="12"/>
    </row>
    <row r="39" spans="2:21" x14ac:dyDescent="0.3">
      <c r="N39" s="52" t="s">
        <v>102</v>
      </c>
      <c r="O39" s="53">
        <f>SUM(O4,O6,O8,O10,O12,O14,O16,O18,O20,O22,O24,O26,O28,O30,O32,O34,O36,O37)</f>
        <v>29.836011874880892</v>
      </c>
      <c r="P39" s="42"/>
      <c r="Q39" s="42"/>
      <c r="R39" s="42"/>
      <c r="S39" s="42"/>
      <c r="T39" s="53" t="s">
        <v>103</v>
      </c>
      <c r="U39" s="54">
        <f>1/(I4*((1+L9)^2))*SUM(U4,U6,U8,U10,U12,U14,U16,U18,U20,U22,U24,U26,U28,U30,U32,U34,U36,U37)</f>
        <v>61.266844686647133</v>
      </c>
    </row>
  </sheetData>
  <sheetProtection algorithmName="SHA-512" hashValue="NzJet4jmDhniJ5RXBSwms8j5BQuB2gEafkgAJ7JzKF7IwI2OzNE8sbOFWxplyuDNnyRJ3Qg0i94kyWkcwK3sJA==" saltValue="0cWA4Iczsf/v8Qb2YjX9CA==" spinCount="100000" sheet="1" objects="1" scenarios="1" selectLockedCells="1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66523-A30E-432C-BAA9-D8633E9CDD97}">
  <dimension ref="B1:S46"/>
  <sheetViews>
    <sheetView workbookViewId="0">
      <selection activeCell="I12" sqref="I12"/>
    </sheetView>
  </sheetViews>
  <sheetFormatPr baseColWidth="10" defaultRowHeight="14.4" x14ac:dyDescent="0.3"/>
  <cols>
    <col min="3" max="3" width="17.6640625" customWidth="1"/>
    <col min="4" max="4" width="16.88671875" customWidth="1"/>
    <col min="5" max="5" width="22.109375" customWidth="1"/>
    <col min="6" max="6" width="16.33203125" customWidth="1"/>
    <col min="7" max="7" width="14.44140625" customWidth="1"/>
    <col min="8" max="8" width="12.6640625" customWidth="1"/>
    <col min="10" max="10" width="16.44140625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39">
        <f>LOOKUP("GD41D",Extraer!A3:A98,Extraer!B3:B98)</f>
        <v>28.14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16">
        <v>100</v>
      </c>
      <c r="D3" s="18"/>
      <c r="E3" s="16"/>
      <c r="F3" s="16"/>
      <c r="G3" s="26">
        <f>-J2</f>
        <v>-28.14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16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G4/(1+J12)^1</f>
        <v>9.3498197464675969E-2</v>
      </c>
      <c r="O4">
        <f>M4*1</f>
        <v>9.3498197464675969E-2</v>
      </c>
      <c r="Q4">
        <v>2</v>
      </c>
      <c r="S4" s="12">
        <f>M4*Q4</f>
        <v>0.18699639492935194</v>
      </c>
    </row>
    <row r="5" spans="2:19" x14ac:dyDescent="0.3">
      <c r="B5" s="17">
        <v>44570</v>
      </c>
      <c r="C5" s="16">
        <v>100</v>
      </c>
      <c r="D5" s="18">
        <v>0</v>
      </c>
      <c r="E5" s="16">
        <v>0</v>
      </c>
      <c r="F5" s="16">
        <v>1.25</v>
      </c>
      <c r="G5">
        <v>1.25</v>
      </c>
      <c r="L5" s="22"/>
      <c r="S5" s="12"/>
    </row>
    <row r="6" spans="2:19" x14ac:dyDescent="0.3">
      <c r="B6" s="17">
        <v>44751</v>
      </c>
      <c r="C6" s="16">
        <v>100</v>
      </c>
      <c r="D6" s="18">
        <v>0</v>
      </c>
      <c r="E6" s="16">
        <v>0</v>
      </c>
      <c r="F6" s="16">
        <v>1.25</v>
      </c>
      <c r="G6">
        <v>1.25</v>
      </c>
      <c r="I6" s="27" t="s">
        <v>43</v>
      </c>
      <c r="J6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IF(B38&gt;=NOW(),((NOW()-B37)/(B38-B37))*F38,IF(B39&gt;=NOW(),((NOW()-B38)/(B39-B38))*F39,IF(B40&gt;=NOW(),((NOW()-B39)/(B40-B39))*F40,IF(B41&gt;=NOW(),((NOW()-B40)/(B41-B40))*F41,IF(B42&gt;=NOW(),((NOW()-B41)/(B42-B41))*F42,IF(B43&gt;=NOW(),((NOW()-B42)/(B43-B42))*F43,IF(B44&gt;=NOW(),((NOW()-B43)/(B44-B43))*F44,"fin")))))))))))))))))))))))))))))))))))))))))</f>
        <v>6.8832997621537297E-3</v>
      </c>
      <c r="L6" s="22"/>
      <c r="M6">
        <f>(G5+G6)/(1+J12)^2</f>
        <v>1.806180357261062</v>
      </c>
      <c r="O6">
        <f>M6*2</f>
        <v>3.6123607145221239</v>
      </c>
      <c r="Q6">
        <v>6</v>
      </c>
      <c r="S6" s="12">
        <f t="shared" ref="S6:S44" si="0">M6*Q6</f>
        <v>10.837082143566372</v>
      </c>
    </row>
    <row r="7" spans="2:19" x14ac:dyDescent="0.3">
      <c r="B7" s="17">
        <v>44935</v>
      </c>
      <c r="C7" s="16">
        <v>100</v>
      </c>
      <c r="D7" s="18">
        <v>0</v>
      </c>
      <c r="E7" s="16">
        <v>0</v>
      </c>
      <c r="F7" s="16">
        <v>1.75</v>
      </c>
      <c r="G7">
        <v>1.75</v>
      </c>
      <c r="L7" s="22"/>
      <c r="S7" s="12"/>
    </row>
    <row r="8" spans="2:19" x14ac:dyDescent="0.3">
      <c r="B8" s="17">
        <v>45116</v>
      </c>
      <c r="C8" s="16">
        <v>100</v>
      </c>
      <c r="D8" s="18">
        <v>0</v>
      </c>
      <c r="E8" s="16">
        <v>0</v>
      </c>
      <c r="F8" s="16">
        <v>1.75</v>
      </c>
      <c r="G8">
        <v>1.75</v>
      </c>
      <c r="I8" s="27" t="s">
        <v>45</v>
      </c>
      <c r="J8" s="27">
        <f ca="1">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IF(B38&gt;NOW(),C38,IF(B39&gt;NOW(),C39,IF(B40&gt;NOW(),C40,IF(B41&gt;NOW(),C41,IF(B42&gt;NOW(),C42,IF(B43&gt;NOW(),C43,IF(B44&gt;NOW(),C44,"Fin"))))))))))))))))))))))))))))</f>
        <v>100</v>
      </c>
      <c r="L8" s="22"/>
      <c r="M8">
        <f>(G7+G8)/(1+J12)^3</f>
        <v>2.1493131889092658</v>
      </c>
      <c r="O8">
        <f>M8*3</f>
        <v>6.447939566727797</v>
      </c>
      <c r="Q8">
        <v>12</v>
      </c>
      <c r="S8" s="12">
        <f t="shared" si="0"/>
        <v>25.791758266911188</v>
      </c>
    </row>
    <row r="9" spans="2:19" x14ac:dyDescent="0.3">
      <c r="B9" s="17">
        <v>45300</v>
      </c>
      <c r="C9" s="16">
        <v>100</v>
      </c>
      <c r="D9" s="18">
        <v>0</v>
      </c>
      <c r="E9" s="16">
        <v>0</v>
      </c>
      <c r="F9" s="16">
        <v>1.75</v>
      </c>
      <c r="G9">
        <v>1.75</v>
      </c>
      <c r="L9" s="22"/>
      <c r="S9" s="12"/>
    </row>
    <row r="10" spans="2:19" x14ac:dyDescent="0.3">
      <c r="B10" s="17">
        <v>45482</v>
      </c>
      <c r="C10" s="16">
        <v>100</v>
      </c>
      <c r="D10" s="18">
        <v>0</v>
      </c>
      <c r="E10" s="16">
        <v>0</v>
      </c>
      <c r="F10" s="16">
        <v>1.75</v>
      </c>
      <c r="G10">
        <v>1.75</v>
      </c>
      <c r="I10" s="27" t="s">
        <v>46</v>
      </c>
      <c r="J10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B35&lt;NOW(),C35+((NOW()-B34)/(B35-B34))*F35+SUM(F4:F34),IF(NOW()&lt;B36,C36+((NOW()-B35)/(B36-B35))*F36+SUM(F4:F35),IF(NOW()&lt;B37,C37+((NOW()-B36)/(B37-B36))*F37+SUM(F4:F36),IF(NOW()&lt;B38,C38+((NOW()-B37)/(B38-B37))*F38+SUM(F4:F37),IF(NOW()&lt;B39,C39+((NOW()-B38)/(B39-B38))*F39+SUM(F4:F38),IF(NOW()&lt;B40,C40+((NOW()-B39)/(B40-B39))*F40+SUM(F4:F39),IF(NOW()&lt;B41,C41+((NOW()-B40)/(B41-B40))*F41+SUM(F4:F40),IF(NOW()&lt;B42,C42+((NOW()-B41)/(B42-B41))*F42+SUM(F4:F41),IF(NOW()&lt;B43,C43+((NOW()-B42)/(B43-B42))*F43+SUM(F4:F42),IF(NOW()&lt;B44,C44+((NOW()-B43)/(B44-B43))*F44+SUM(F4:F43),"Fin")))))))))))))))))))))))))))))))))))))))))</f>
        <v>104.36688329976215</v>
      </c>
      <c r="L10" s="22"/>
      <c r="M10">
        <f>(G9+G10)/(1+J12)^4</f>
        <v>1.8268809904551904</v>
      </c>
      <c r="O10">
        <f>M10*4</f>
        <v>7.3075239618207615</v>
      </c>
      <c r="Q10">
        <v>20</v>
      </c>
      <c r="S10" s="12">
        <f t="shared" si="0"/>
        <v>36.537619809103809</v>
      </c>
    </row>
    <row r="11" spans="2:19" x14ac:dyDescent="0.3">
      <c r="B11" s="17">
        <v>45666</v>
      </c>
      <c r="C11" s="16">
        <v>100</v>
      </c>
      <c r="D11" s="18">
        <v>0</v>
      </c>
      <c r="E11" s="16">
        <v>0</v>
      </c>
      <c r="F11" s="16">
        <v>1.75</v>
      </c>
      <c r="G11">
        <v>1.75</v>
      </c>
      <c r="L11" s="22"/>
      <c r="S11" s="12"/>
    </row>
    <row r="12" spans="2:19" x14ac:dyDescent="0.3">
      <c r="B12" s="17">
        <v>45847</v>
      </c>
      <c r="C12" s="16">
        <v>100</v>
      </c>
      <c r="D12" s="18">
        <v>0</v>
      </c>
      <c r="E12" s="16">
        <v>0</v>
      </c>
      <c r="F12" s="16">
        <v>1.75</v>
      </c>
      <c r="G12">
        <v>1.75</v>
      </c>
      <c r="I12" s="27" t="s">
        <v>47</v>
      </c>
      <c r="J12" s="30">
        <f>XIRR(G3:G44,B3:B44)</f>
        <v>0.17649326920509342</v>
      </c>
      <c r="L12" s="22"/>
      <c r="M12">
        <f>(G11+G12)/(1+J12)^5</f>
        <v>1.55281890536402</v>
      </c>
      <c r="O12">
        <f>M12*5</f>
        <v>7.7640945268201005</v>
      </c>
      <c r="Q12">
        <v>30</v>
      </c>
      <c r="S12" s="12">
        <f t="shared" si="0"/>
        <v>46.584567160920599</v>
      </c>
    </row>
    <row r="13" spans="2:19" x14ac:dyDescent="0.3">
      <c r="B13" s="17">
        <v>46031</v>
      </c>
      <c r="C13" s="16">
        <v>100</v>
      </c>
      <c r="D13" s="18">
        <v>0</v>
      </c>
      <c r="E13" s="16">
        <v>0</v>
      </c>
      <c r="F13" s="16">
        <v>1.75</v>
      </c>
      <c r="G13">
        <v>1.75</v>
      </c>
      <c r="L13" s="22"/>
      <c r="S13" s="12"/>
    </row>
    <row r="14" spans="2:19" x14ac:dyDescent="0.3">
      <c r="B14" s="17">
        <v>46212</v>
      </c>
      <c r="C14" s="16">
        <v>100</v>
      </c>
      <c r="D14" s="18">
        <v>0</v>
      </c>
      <c r="E14" s="16">
        <v>0</v>
      </c>
      <c r="F14" s="16">
        <v>1.75</v>
      </c>
      <c r="G14">
        <v>1.75</v>
      </c>
      <c r="I14" s="27" t="s">
        <v>48</v>
      </c>
      <c r="J14" s="27">
        <f>(((G4/((1+J12)^1))*1)+(((G5+G6)/((1+J12)^2))*2)+(((G7+G8)/((1+J12)^3))*3)+(((G9+G10)/((1+J12)^4))*4)+(((G11+G12)/((1+J12)^5))*5)+(((G13+G14)/((1+J12)^6))*6)+(((G15+G16)/((1+J12)^7))*7)+(((G17+G18)/((1+J12)^8))*8)+(((G19+G20)/((1+J12)^9))*9)+(((G21+G22)/((1+J12)^10))*10)+(((G23+G24)/((1+J12)^11))*11)+(((G25+G26)/((1+J12)^12))*12)+(((G27+G28)/((1+J12)^13))*13)+(((G29+G30)/((1+J12)^14))*14)+(((G31+G32)/((1+J12)^15))*15)+(((G33+G34)/((1+J12)^16))*16)+(((G35+G36)/((1+J12)^17))*17)+(((G37+G38)/((1+J12)^18))*18)+(((G39+G40)/((1+J12)^19))*19)+(((G41+G42)/((1+J12)^20))*20)+(((G43+G44)/((1+J12)^21))*21))/J2</f>
        <v>8.3480750375301191</v>
      </c>
      <c r="L14" s="22"/>
      <c r="M14">
        <f>(G13+G14)/(1+J12)^6</f>
        <v>1.3198706240055191</v>
      </c>
      <c r="O14">
        <f>M14*6</f>
        <v>7.9192237440331148</v>
      </c>
      <c r="Q14">
        <v>42</v>
      </c>
      <c r="S14" s="12">
        <f t="shared" si="0"/>
        <v>55.4345662082318</v>
      </c>
    </row>
    <row r="15" spans="2:19" x14ac:dyDescent="0.3">
      <c r="B15" s="17">
        <v>46396</v>
      </c>
      <c r="C15" s="16">
        <v>100</v>
      </c>
      <c r="D15" s="18">
        <v>0</v>
      </c>
      <c r="E15" s="16">
        <v>0</v>
      </c>
      <c r="F15" s="16">
        <v>1.75</v>
      </c>
      <c r="G15">
        <v>1.75</v>
      </c>
      <c r="L15" s="22"/>
      <c r="S15" s="12"/>
    </row>
    <row r="16" spans="2:19" x14ac:dyDescent="0.3">
      <c r="B16" s="17">
        <v>46577</v>
      </c>
      <c r="C16" s="16">
        <v>100</v>
      </c>
      <c r="D16" s="18">
        <v>0</v>
      </c>
      <c r="E16" s="16">
        <v>0</v>
      </c>
      <c r="F16" s="16">
        <v>1.75</v>
      </c>
      <c r="G16">
        <v>1.75</v>
      </c>
      <c r="I16" s="27" t="s">
        <v>49</v>
      </c>
      <c r="J16" s="27">
        <f>J14/(1+J12)</f>
        <v>7.0957269846265758</v>
      </c>
      <c r="L16" s="22"/>
      <c r="M16">
        <f>(G15+G16)/(1+J12)^7</f>
        <v>1.1218684021008467</v>
      </c>
      <c r="O16">
        <f>M16*7</f>
        <v>7.8530788147059267</v>
      </c>
      <c r="Q16">
        <v>56</v>
      </c>
      <c r="S16" s="12">
        <f t="shared" si="0"/>
        <v>62.824630517647414</v>
      </c>
    </row>
    <row r="17" spans="2:19" x14ac:dyDescent="0.3">
      <c r="B17" s="17">
        <v>46761</v>
      </c>
      <c r="C17" s="16">
        <v>100</v>
      </c>
      <c r="D17" s="18">
        <v>3.5700000000000003E-2</v>
      </c>
      <c r="E17" s="16">
        <v>3.57</v>
      </c>
      <c r="F17" s="16">
        <v>1.75</v>
      </c>
      <c r="G17">
        <v>5.32</v>
      </c>
      <c r="L17" s="22"/>
      <c r="S17" s="12"/>
    </row>
    <row r="18" spans="2:19" x14ac:dyDescent="0.3">
      <c r="B18" s="17">
        <v>46943</v>
      </c>
      <c r="C18" s="16">
        <v>96.43</v>
      </c>
      <c r="D18" s="18">
        <v>3.5700000000000003E-2</v>
      </c>
      <c r="E18" s="16">
        <v>3.57</v>
      </c>
      <c r="F18" s="16">
        <v>1.69</v>
      </c>
      <c r="G18">
        <v>5.26</v>
      </c>
      <c r="L18" s="22"/>
      <c r="M18">
        <f>(G17+G18)/(1+J12)^8</f>
        <v>2.8825051544303317</v>
      </c>
      <c r="O18">
        <f>M18*8</f>
        <v>23.060041235442654</v>
      </c>
      <c r="Q18">
        <v>72</v>
      </c>
      <c r="S18" s="12">
        <f t="shared" si="0"/>
        <v>207.5403711189839</v>
      </c>
    </row>
    <row r="19" spans="2:19" x14ac:dyDescent="0.3">
      <c r="B19" s="17">
        <v>47127</v>
      </c>
      <c r="C19" s="16">
        <v>92.86</v>
      </c>
      <c r="D19" s="18">
        <v>3.5700000000000003E-2</v>
      </c>
      <c r="E19" s="16">
        <v>3.57</v>
      </c>
      <c r="F19" s="16">
        <v>1.63</v>
      </c>
      <c r="G19">
        <v>5.2</v>
      </c>
      <c r="L19" s="22"/>
      <c r="S19" s="12"/>
    </row>
    <row r="20" spans="2:19" x14ac:dyDescent="0.3">
      <c r="B20" s="17">
        <v>47308</v>
      </c>
      <c r="C20" s="16">
        <v>89.29</v>
      </c>
      <c r="D20" s="18">
        <v>3.5700000000000003E-2</v>
      </c>
      <c r="E20" s="16">
        <v>3.57</v>
      </c>
      <c r="F20" s="16">
        <v>1.56</v>
      </c>
      <c r="G20">
        <v>5.13</v>
      </c>
      <c r="L20" s="22"/>
      <c r="M20">
        <f>(G19+G20)/(1+J12)^9</f>
        <v>2.3921879559537316</v>
      </c>
      <c r="O20">
        <f>M20*9</f>
        <v>21.529691603583583</v>
      </c>
      <c r="Q20">
        <v>90</v>
      </c>
      <c r="S20" s="12">
        <f t="shared" si="0"/>
        <v>215.29691603583584</v>
      </c>
    </row>
    <row r="21" spans="2:19" x14ac:dyDescent="0.3">
      <c r="B21" s="17">
        <v>47492</v>
      </c>
      <c r="C21" s="16">
        <v>85.71</v>
      </c>
      <c r="D21" s="18">
        <v>3.5700000000000003E-2</v>
      </c>
      <c r="E21" s="16">
        <v>3.57</v>
      </c>
      <c r="F21" s="16">
        <v>2.09</v>
      </c>
      <c r="G21">
        <v>5.66</v>
      </c>
      <c r="L21" s="22"/>
      <c r="S21" s="12"/>
    </row>
    <row r="22" spans="2:19" x14ac:dyDescent="0.3">
      <c r="B22" s="17">
        <v>47673</v>
      </c>
      <c r="C22" s="16">
        <v>82.14</v>
      </c>
      <c r="D22" s="18">
        <v>3.5700000000000003E-2</v>
      </c>
      <c r="E22" s="16">
        <v>3.57</v>
      </c>
      <c r="F22" s="16">
        <v>2</v>
      </c>
      <c r="G22">
        <v>5.57</v>
      </c>
      <c r="L22" s="22"/>
      <c r="M22">
        <f>(G21+G22)/(1+J12)^10</f>
        <v>2.2104733704956661</v>
      </c>
      <c r="O22">
        <f>M22*10</f>
        <v>22.104733704956661</v>
      </c>
      <c r="Q22">
        <v>110</v>
      </c>
      <c r="S22" s="12">
        <f t="shared" si="0"/>
        <v>243.15207075452327</v>
      </c>
    </row>
    <row r="23" spans="2:19" x14ac:dyDescent="0.3">
      <c r="B23" s="17">
        <v>47857</v>
      </c>
      <c r="C23" s="16">
        <v>78.569999999999993</v>
      </c>
      <c r="D23" s="18">
        <v>3.5700000000000003E-2</v>
      </c>
      <c r="E23" s="16">
        <v>3.57</v>
      </c>
      <c r="F23" s="16">
        <v>1.92</v>
      </c>
      <c r="G23">
        <v>5.49</v>
      </c>
      <c r="L23" s="22"/>
      <c r="S23" s="12"/>
    </row>
    <row r="24" spans="2:19" x14ac:dyDescent="0.3">
      <c r="B24" s="17">
        <v>48038</v>
      </c>
      <c r="C24" s="16">
        <v>75</v>
      </c>
      <c r="D24" s="18">
        <v>3.5700000000000003E-2</v>
      </c>
      <c r="E24" s="16">
        <v>3.57</v>
      </c>
      <c r="F24" s="16">
        <v>1.83</v>
      </c>
      <c r="G24">
        <v>5.4</v>
      </c>
      <c r="L24" s="22"/>
      <c r="M24">
        <f>(G23+G24)/(1+J12)^11</f>
        <v>1.821981504257894</v>
      </c>
      <c r="O24">
        <f>M24*11</f>
        <v>20.041796546836835</v>
      </c>
      <c r="Q24">
        <v>132</v>
      </c>
      <c r="S24" s="12">
        <f t="shared" si="0"/>
        <v>240.50155856204199</v>
      </c>
    </row>
    <row r="25" spans="2:19" x14ac:dyDescent="0.3">
      <c r="B25" s="17">
        <v>48222</v>
      </c>
      <c r="C25" s="16">
        <v>71.430000000000007</v>
      </c>
      <c r="D25" s="18">
        <v>3.5700000000000003E-2</v>
      </c>
      <c r="E25" s="16">
        <v>3.57</v>
      </c>
      <c r="F25" s="16">
        <v>1.74</v>
      </c>
      <c r="G25">
        <v>5.31</v>
      </c>
      <c r="L25" s="22"/>
      <c r="S25" s="12"/>
    </row>
    <row r="26" spans="2:19" x14ac:dyDescent="0.3">
      <c r="B26" s="17">
        <v>48404</v>
      </c>
      <c r="C26" s="16">
        <v>67.86</v>
      </c>
      <c r="D26" s="18">
        <v>3.5700000000000003E-2</v>
      </c>
      <c r="E26" s="16">
        <v>3.57</v>
      </c>
      <c r="F26" s="16">
        <v>1.65</v>
      </c>
      <c r="G26">
        <v>5.23</v>
      </c>
      <c r="L26" s="22"/>
      <c r="M26">
        <f>(G25+G26)/(1+J12)^12</f>
        <v>1.4988813234080045</v>
      </c>
      <c r="O26">
        <f>M26*12</f>
        <v>17.986575880896055</v>
      </c>
      <c r="Q26">
        <v>156</v>
      </c>
      <c r="S26" s="12">
        <f t="shared" si="0"/>
        <v>233.82548645164871</v>
      </c>
    </row>
    <row r="27" spans="2:19" x14ac:dyDescent="0.3">
      <c r="B27" s="17">
        <v>48588</v>
      </c>
      <c r="C27" s="16">
        <v>64.290000000000006</v>
      </c>
      <c r="D27" s="18">
        <v>3.5700000000000003E-2</v>
      </c>
      <c r="E27" s="16">
        <v>3.57</v>
      </c>
      <c r="F27" s="16">
        <v>1.57</v>
      </c>
      <c r="G27">
        <v>5.14</v>
      </c>
      <c r="L27" s="22"/>
      <c r="S27" s="12"/>
    </row>
    <row r="28" spans="2:19" x14ac:dyDescent="0.3">
      <c r="B28" s="17">
        <v>48769</v>
      </c>
      <c r="C28" s="16">
        <v>60.71</v>
      </c>
      <c r="D28" s="18">
        <v>3.5700000000000003E-2</v>
      </c>
      <c r="E28" s="16">
        <v>3.57</v>
      </c>
      <c r="F28" s="16">
        <v>1.48</v>
      </c>
      <c r="G28">
        <v>5.05</v>
      </c>
      <c r="L28" s="22"/>
      <c r="M28">
        <f>(G27+G28)/(1+J12)^13</f>
        <v>1.2317182446886894</v>
      </c>
      <c r="O28">
        <f>M28*13</f>
        <v>16.012337180952962</v>
      </c>
      <c r="Q28">
        <v>182</v>
      </c>
      <c r="S28" s="12">
        <f t="shared" si="0"/>
        <v>224.17272053334148</v>
      </c>
    </row>
    <row r="29" spans="2:19" x14ac:dyDescent="0.3">
      <c r="B29" s="17">
        <v>48953</v>
      </c>
      <c r="C29" s="16">
        <v>57.14</v>
      </c>
      <c r="D29" s="18">
        <v>3.5700000000000003E-2</v>
      </c>
      <c r="E29" s="16">
        <v>3.57</v>
      </c>
      <c r="F29" s="16">
        <v>1.39</v>
      </c>
      <c r="G29">
        <v>4.96</v>
      </c>
      <c r="L29" s="22"/>
      <c r="S29" s="12"/>
    </row>
    <row r="30" spans="2:19" x14ac:dyDescent="0.3">
      <c r="B30" s="17">
        <v>49134</v>
      </c>
      <c r="C30" s="16">
        <v>53.57</v>
      </c>
      <c r="D30" s="18">
        <v>3.5700000000000003E-2</v>
      </c>
      <c r="E30" s="16">
        <v>3.57</v>
      </c>
      <c r="F30" s="16">
        <v>1.31</v>
      </c>
      <c r="G30">
        <v>4.88</v>
      </c>
      <c r="L30" s="22"/>
      <c r="M30">
        <f>(G29+G30)/(1+J12)^14</f>
        <v>1.0109806467315836</v>
      </c>
      <c r="O30">
        <f>M30*14</f>
        <v>14.15372905424217</v>
      </c>
      <c r="Q30">
        <v>210</v>
      </c>
      <c r="S30" s="12">
        <f t="shared" si="0"/>
        <v>212.30593581363254</v>
      </c>
    </row>
    <row r="31" spans="2:19" x14ac:dyDescent="0.3">
      <c r="B31" s="17">
        <v>49318</v>
      </c>
      <c r="C31" s="16">
        <v>50</v>
      </c>
      <c r="D31" s="18">
        <v>3.5700000000000003E-2</v>
      </c>
      <c r="E31" s="16">
        <v>3.57</v>
      </c>
      <c r="F31" s="16">
        <v>1.22</v>
      </c>
      <c r="G31">
        <v>4.79</v>
      </c>
      <c r="L31" s="22"/>
      <c r="S31" s="12"/>
    </row>
    <row r="32" spans="2:19" x14ac:dyDescent="0.3">
      <c r="B32" s="17">
        <v>49499</v>
      </c>
      <c r="C32" s="16">
        <v>46.43</v>
      </c>
      <c r="D32" s="18">
        <v>3.5700000000000003E-2</v>
      </c>
      <c r="E32" s="16">
        <v>3.57</v>
      </c>
      <c r="F32" s="16">
        <v>1.1299999999999999</v>
      </c>
      <c r="G32">
        <v>4.7</v>
      </c>
      <c r="L32" s="22"/>
      <c r="M32">
        <f>(G31+G32)/(1+J12)^15</f>
        <v>0.82875184650665734</v>
      </c>
      <c r="O32">
        <f>M32*15</f>
        <v>12.43127769759986</v>
      </c>
      <c r="Q32">
        <v>240</v>
      </c>
      <c r="S32" s="12">
        <f t="shared" si="0"/>
        <v>198.90044316159776</v>
      </c>
    </row>
    <row r="33" spans="2:19" x14ac:dyDescent="0.3">
      <c r="B33" s="17">
        <v>49683</v>
      </c>
      <c r="C33" s="16">
        <v>42.86</v>
      </c>
      <c r="D33" s="18">
        <v>3.5700000000000003E-2</v>
      </c>
      <c r="E33" s="16">
        <v>3.57</v>
      </c>
      <c r="F33" s="16">
        <v>1.04</v>
      </c>
      <c r="G33">
        <v>4.62</v>
      </c>
      <c r="L33" s="22"/>
      <c r="S33" s="12"/>
    </row>
    <row r="34" spans="2:19" x14ac:dyDescent="0.3">
      <c r="B34" s="17">
        <v>49865</v>
      </c>
      <c r="C34" s="16">
        <v>39.29</v>
      </c>
      <c r="D34" s="18">
        <v>3.5700000000000003E-2</v>
      </c>
      <c r="E34" s="16">
        <v>3.57</v>
      </c>
      <c r="F34" s="16">
        <v>0.96</v>
      </c>
      <c r="G34">
        <v>4.53</v>
      </c>
      <c r="L34" s="22"/>
      <c r="M34">
        <f>(G33+G34)/(1+J12)^16</f>
        <v>0.6791879056558412</v>
      </c>
      <c r="O34">
        <f>M34*16</f>
        <v>10.867006490493459</v>
      </c>
      <c r="Q34">
        <v>272</v>
      </c>
      <c r="S34" s="12">
        <f t="shared" si="0"/>
        <v>184.7391103383888</v>
      </c>
    </row>
    <row r="35" spans="2:19" x14ac:dyDescent="0.3">
      <c r="B35" s="17">
        <v>50049</v>
      </c>
      <c r="C35" s="16">
        <v>35.71</v>
      </c>
      <c r="D35" s="18">
        <v>3.5700000000000003E-2</v>
      </c>
      <c r="E35" s="16">
        <v>3.57</v>
      </c>
      <c r="F35" s="16">
        <v>0.87</v>
      </c>
      <c r="G35">
        <v>4.4400000000000004</v>
      </c>
      <c r="L35" s="22"/>
      <c r="S35" s="12"/>
    </row>
    <row r="36" spans="2:19" x14ac:dyDescent="0.3">
      <c r="B36" s="17">
        <v>50230</v>
      </c>
      <c r="C36" s="16">
        <v>32.14</v>
      </c>
      <c r="D36" s="18">
        <v>3.5700000000000003E-2</v>
      </c>
      <c r="E36" s="16">
        <v>3.57</v>
      </c>
      <c r="F36" s="16">
        <v>0.78</v>
      </c>
      <c r="G36">
        <v>4.3499999999999996</v>
      </c>
      <c r="L36" s="22"/>
      <c r="M36">
        <f>(G35+G36)/(1+J12)^17</f>
        <v>0.55458520301515513</v>
      </c>
      <c r="O36">
        <f>M36*17</f>
        <v>9.4279484512576364</v>
      </c>
      <c r="Q36">
        <v>306</v>
      </c>
      <c r="S36" s="12">
        <f t="shared" si="0"/>
        <v>169.70307212263748</v>
      </c>
    </row>
    <row r="37" spans="2:19" x14ac:dyDescent="0.3">
      <c r="B37" s="17">
        <v>50414</v>
      </c>
      <c r="C37" s="16">
        <v>28.57</v>
      </c>
      <c r="D37" s="18">
        <v>3.5700000000000003E-2</v>
      </c>
      <c r="E37" s="16">
        <v>3.57</v>
      </c>
      <c r="F37" s="16">
        <v>0.7</v>
      </c>
      <c r="G37">
        <v>4.2699999999999996</v>
      </c>
      <c r="L37" s="22"/>
      <c r="S37" s="12"/>
    </row>
    <row r="38" spans="2:19" x14ac:dyDescent="0.3">
      <c r="B38" s="17">
        <v>50595</v>
      </c>
      <c r="C38" s="16">
        <v>25</v>
      </c>
      <c r="D38" s="18">
        <v>3.5700000000000003E-2</v>
      </c>
      <c r="E38" s="16">
        <v>3.57</v>
      </c>
      <c r="F38" s="16">
        <v>0.61</v>
      </c>
      <c r="G38">
        <v>4.18</v>
      </c>
      <c r="L38" s="22"/>
      <c r="M38">
        <f>(G37+G38)/(1+J12)^18</f>
        <v>0.45315488380402458</v>
      </c>
      <c r="O38">
        <f>M38*18</f>
        <v>8.1567879084724417</v>
      </c>
      <c r="Q38">
        <v>342</v>
      </c>
      <c r="S38" s="12">
        <f t="shared" si="0"/>
        <v>154.97897026097641</v>
      </c>
    </row>
    <row r="39" spans="2:19" x14ac:dyDescent="0.3">
      <c r="B39" s="17">
        <v>50779</v>
      </c>
      <c r="C39" s="16">
        <v>21.43</v>
      </c>
      <c r="D39" s="18">
        <v>3.5700000000000003E-2</v>
      </c>
      <c r="E39" s="16">
        <v>3.57</v>
      </c>
      <c r="F39" s="16">
        <v>0.52</v>
      </c>
      <c r="G39">
        <v>4.09</v>
      </c>
      <c r="L39" s="22"/>
      <c r="S39" s="12"/>
    </row>
    <row r="40" spans="2:19" x14ac:dyDescent="0.3">
      <c r="B40" s="17">
        <v>50960</v>
      </c>
      <c r="C40" s="16">
        <v>17.86</v>
      </c>
      <c r="D40" s="18">
        <v>3.5700000000000003E-2</v>
      </c>
      <c r="E40" s="16">
        <v>3.57</v>
      </c>
      <c r="F40" s="16">
        <v>0.44</v>
      </c>
      <c r="G40">
        <v>4.01</v>
      </c>
      <c r="L40" s="22"/>
      <c r="M40">
        <f>(G39+G40)/(1+J12)^19</f>
        <v>0.36922026352310588</v>
      </c>
      <c r="O40">
        <f>M40*19</f>
        <v>7.0151850069390118</v>
      </c>
      <c r="Q40">
        <v>380</v>
      </c>
      <c r="S40" s="12">
        <f t="shared" si="0"/>
        <v>140.30370013878024</v>
      </c>
    </row>
    <row r="41" spans="2:19" x14ac:dyDescent="0.3">
      <c r="B41" s="17">
        <v>51144</v>
      </c>
      <c r="C41" s="16">
        <v>14.29</v>
      </c>
      <c r="D41" s="18">
        <v>3.5700000000000003E-2</v>
      </c>
      <c r="E41" s="16">
        <v>3.57</v>
      </c>
      <c r="F41" s="16">
        <v>0.35</v>
      </c>
      <c r="G41">
        <v>3.92</v>
      </c>
      <c r="L41" s="22"/>
      <c r="S41" s="12"/>
    </row>
    <row r="42" spans="2:19" x14ac:dyDescent="0.3">
      <c r="B42" s="17">
        <v>51326</v>
      </c>
      <c r="C42" s="16">
        <v>10.71</v>
      </c>
      <c r="D42" s="18">
        <v>3.5700000000000003E-2</v>
      </c>
      <c r="E42" s="16">
        <v>3.57</v>
      </c>
      <c r="F42" s="16">
        <v>0.26</v>
      </c>
      <c r="G42">
        <v>3.83</v>
      </c>
      <c r="L42" s="22"/>
      <c r="M42">
        <f>(G41+G42)/(1+J12)^20</f>
        <v>0.30027056742764724</v>
      </c>
      <c r="O42">
        <f>M42*20</f>
        <v>6.0054113485529452</v>
      </c>
      <c r="Q42">
        <v>420</v>
      </c>
      <c r="S42" s="12">
        <f t="shared" si="0"/>
        <v>126.11363831961184</v>
      </c>
    </row>
    <row r="43" spans="2:19" x14ac:dyDescent="0.3">
      <c r="B43" s="17">
        <v>51510</v>
      </c>
      <c r="C43" s="16">
        <v>7.14</v>
      </c>
      <c r="D43" s="18">
        <v>3.5700000000000003E-2</v>
      </c>
      <c r="E43" s="16">
        <v>3.57</v>
      </c>
      <c r="F43" s="16">
        <v>0.17</v>
      </c>
      <c r="G43">
        <v>3.75</v>
      </c>
      <c r="L43" s="22"/>
      <c r="S43" s="12"/>
    </row>
    <row r="44" spans="2:19" x14ac:dyDescent="0.3">
      <c r="B44" s="17">
        <v>51691</v>
      </c>
      <c r="C44" s="16">
        <v>3.57</v>
      </c>
      <c r="D44" s="18">
        <v>3.5700000000000003E-2</v>
      </c>
      <c r="E44" s="16">
        <v>3.57</v>
      </c>
      <c r="F44" s="16">
        <v>0.09</v>
      </c>
      <c r="G44">
        <v>3.66</v>
      </c>
      <c r="L44" s="22"/>
      <c r="M44">
        <f>(G43+G44)/(1+J12)^21</f>
        <v>0.24402809141794396</v>
      </c>
      <c r="O44">
        <f>M44*21</f>
        <v>5.124589919776823</v>
      </c>
      <c r="Q44">
        <v>462</v>
      </c>
      <c r="S44" s="12">
        <f t="shared" si="0"/>
        <v>112.74097823509011</v>
      </c>
    </row>
    <row r="45" spans="2:19" x14ac:dyDescent="0.3">
      <c r="B45" t="s">
        <v>23</v>
      </c>
      <c r="D45" s="11">
        <v>1</v>
      </c>
      <c r="E45">
        <v>100</v>
      </c>
      <c r="F45">
        <v>52.85</v>
      </c>
      <c r="G45">
        <v>152.85</v>
      </c>
      <c r="L45" s="22"/>
      <c r="S45" s="12"/>
    </row>
    <row r="46" spans="2:19" x14ac:dyDescent="0.3">
      <c r="L46" s="52" t="s">
        <v>102</v>
      </c>
      <c r="M46" s="53">
        <f>SUM(M4,M6,M8,M10,M12,M14,M16,M18,M20,M22,M24,M26,M28,M30,M32,M34,M36,M38,M40,M42,M44)</f>
        <v>26.348357626876854</v>
      </c>
      <c r="N46" s="42"/>
      <c r="O46" s="42"/>
      <c r="P46" s="42"/>
      <c r="Q46" s="42"/>
      <c r="R46" s="53" t="s">
        <v>103</v>
      </c>
      <c r="S46" s="54">
        <f>1/(J2*((1+J12)^2))*SUM(S4,S6,S8,S10,S12,S14,S16,S18,S20,S22,S24,S26,S28,S30,S32,S34,S36,S38,S40,S42,S44)</f>
        <v>74.518667538253467</v>
      </c>
    </row>
  </sheetData>
  <sheetProtection algorithmName="SHA-512" hashValue="7lp5ipPMpMJg8RiZJSjTQpmXZTV5sPoA3E54tb0L+8CjyFCVH33LGPNPq7jpqPKNHkKmVdydWB1VXeOS9wDlDQ==" saltValue="W5zbBSbnIIPhcme6FnvOcA==" spinCount="100000" sheet="1" objects="1" scenarios="1" selectLockedCells="1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9950-9DDB-42C4-8594-4F5905795B25}">
  <dimension ref="B1:S56"/>
  <sheetViews>
    <sheetView topLeftCell="E1" workbookViewId="0">
      <selection activeCell="J2" sqref="J2"/>
    </sheetView>
  </sheetViews>
  <sheetFormatPr baseColWidth="10" defaultRowHeight="14.4" x14ac:dyDescent="0.3"/>
  <cols>
    <col min="2" max="2" width="11.5546875" customWidth="1"/>
    <col min="3" max="3" width="18.109375" customWidth="1"/>
    <col min="4" max="4" width="17.5546875" customWidth="1"/>
    <col min="5" max="5" width="22.33203125" customWidth="1"/>
    <col min="6" max="6" width="16.44140625" customWidth="1"/>
    <col min="7" max="7" width="14.6640625" customWidth="1"/>
    <col min="8" max="8" width="12.6640625" customWidth="1"/>
    <col min="9" max="9" width="13.109375" customWidth="1"/>
    <col min="10" max="10" width="12.6640625" bestFit="1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39">
        <f>LOOKUP("GD46D",Extraer!A3:A98,Extraer!B3:B98)</f>
        <v>29.15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16">
        <v>100</v>
      </c>
      <c r="D3" s="18">
        <v>0</v>
      </c>
      <c r="E3" s="16">
        <v>0</v>
      </c>
      <c r="F3" s="16">
        <v>0</v>
      </c>
      <c r="G3" s="26">
        <f>-J2</f>
        <v>-29.15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16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G4/(1+J12)^1</f>
        <v>9.3784515060586285E-2</v>
      </c>
      <c r="O4">
        <f>M4*1</f>
        <v>9.3784515060586285E-2</v>
      </c>
      <c r="Q4">
        <v>2</v>
      </c>
      <c r="S4" s="12">
        <f>M4*Q4</f>
        <v>0.18756903012117257</v>
      </c>
    </row>
    <row r="5" spans="2:19" x14ac:dyDescent="0.3">
      <c r="B5" s="17">
        <v>44570</v>
      </c>
      <c r="C5" s="16">
        <v>100</v>
      </c>
      <c r="D5" s="18">
        <v>0</v>
      </c>
      <c r="E5" s="16">
        <v>0</v>
      </c>
      <c r="F5" s="16">
        <v>0.56000000000000005</v>
      </c>
      <c r="G5">
        <v>0.56000000000000005</v>
      </c>
      <c r="L5" s="22"/>
      <c r="S5" s="12"/>
    </row>
    <row r="6" spans="2:19" x14ac:dyDescent="0.3">
      <c r="B6" s="17">
        <v>44751</v>
      </c>
      <c r="C6" s="16">
        <v>100</v>
      </c>
      <c r="D6" s="18">
        <v>0</v>
      </c>
      <c r="E6" s="16">
        <v>0</v>
      </c>
      <c r="F6" s="16">
        <v>0.56000000000000005</v>
      </c>
      <c r="G6">
        <v>0.56000000000000005</v>
      </c>
      <c r="I6" s="27" t="s">
        <v>43</v>
      </c>
      <c r="J6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IF(B38&gt;=NOW(),((NOW()-B37)/(B38-B37))*F38,IF(B39&gt;=NOW(),((NOW()-B38)/(B39-B38))*F39,IF(B40&gt;=NOW(),((NOW()-B39)/(B40-B39))*F40,IF(B41&gt;=NOW(),((NOW()-B40)/(B41-B40))*F41,IF(B42&gt;=NOW(),((NOW()-B41)/(B42-B41))*F42,IF(B43&gt;=NOW(),((NOW()-B42)/(B43-B42))*F43,IF(B44&gt;=NOW(),((NOW()-B43)/(B44-B43))*F44,IF(B45&gt;=NOW(),((NOW()-B44)/(B45-B44))*F45,IF(B46&gt;=NOW(),((NOW()-B45)/(B46-B45))*F46,IF(B47&gt;=NOW(),((NOW()-B46)/(B47-B46))*F47,IF(B48&gt;=NOW(),((NOW()-B47)/(B48-B47))*F48,IF(B49&gt;=NOW(),((NOW()-B48)/(B49-B48))*F49,IF(B50&gt;=NOW(),((NOW()-B49)/(B50-B49))*F50,IF(B51&gt;=NOW(),((NOW()-B50)/(B51-B50))*F51,IF(B52&gt;=NOW(),((NOW()-B51)/(B52-B51))*F52,IF(B53&gt;=NOW(),((NOW()-B52)/(B53-B52))*F53,IF(B54&gt;=NOW(),((NOW()-B53)/(B54-B53))*F54,"fin")))))))))))))))))))))))))))))))))))))))))))))))))))</f>
        <v>2.9499856123515983E-3</v>
      </c>
      <c r="L6" s="22"/>
      <c r="M6">
        <f>(G5+G6)/(1+J12)^2</f>
        <v>0.81413218983200486</v>
      </c>
      <c r="O6">
        <f>M6*2</f>
        <v>1.6282643796640097</v>
      </c>
      <c r="Q6">
        <v>6</v>
      </c>
      <c r="S6" s="12">
        <f t="shared" ref="S6:S54" si="0">M6*Q6</f>
        <v>4.8847931389920287</v>
      </c>
    </row>
    <row r="7" spans="2:19" x14ac:dyDescent="0.3">
      <c r="B7" s="17">
        <v>44935</v>
      </c>
      <c r="C7" s="16">
        <v>100</v>
      </c>
      <c r="D7" s="18">
        <v>0</v>
      </c>
      <c r="E7" s="16">
        <v>0</v>
      </c>
      <c r="F7" s="16">
        <v>0.75</v>
      </c>
      <c r="G7">
        <v>0.75</v>
      </c>
      <c r="L7" s="22"/>
      <c r="S7" s="12"/>
    </row>
    <row r="8" spans="2:19" x14ac:dyDescent="0.3">
      <c r="B8" s="17">
        <v>45116</v>
      </c>
      <c r="C8" s="16">
        <v>100</v>
      </c>
      <c r="D8" s="18">
        <v>0</v>
      </c>
      <c r="E8" s="16">
        <v>0</v>
      </c>
      <c r="F8" s="16">
        <v>0.75</v>
      </c>
      <c r="G8">
        <v>0.75</v>
      </c>
      <c r="I8" s="27" t="s">
        <v>45</v>
      </c>
      <c r="J8" s="27">
        <f ca="1">IF(B11&gt;NOW(),C11,IF(B12&gt;NOW(),C12,IF(B13&gt;NOW(),C13,IF(B14&gt;NOW(),C14,IF(B15&gt;NOW(),C15,IF(B16&gt;NOW(),C16,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IF(B38&gt;NOW(),C38,IF(B39&gt;NOW(),C39,IF(B40&gt;NOW(),C40,IF(B41&gt;NOW(),C41,IF(B42&gt;NOW(),C42,IF(B43&gt;NOW(),C43,IF(B44&gt;NOW(),C44,IF(B45&gt;NOW(),C45,IF(B46&gt;NOW(),C46,IF(B47&gt;NOW(),C47,IF(B48&gt;NOW(),C48,IF(B49&gt;NOW(),C49,IF(B50&gt;NOW(),C50,IF(B51&gt;NOW(),C51,IF(B52&gt;NOW(),C52,IF(B53&gt;NOW(),C53,IF(B54&gt;NOW(),C54,"Fin"))))))))))))))))))))))))))))))))))))))))))))</f>
        <v>100</v>
      </c>
      <c r="L8" s="22"/>
      <c r="M8">
        <f>(G7+G8)/(1+J12)^3</f>
        <v>0.92962247506421769</v>
      </c>
      <c r="O8">
        <f>M8*3</f>
        <v>2.7888674251926533</v>
      </c>
      <c r="Q8">
        <v>12</v>
      </c>
      <c r="S8" s="12">
        <f t="shared" si="0"/>
        <v>11.155469700770613</v>
      </c>
    </row>
    <row r="9" spans="2:19" x14ac:dyDescent="0.3">
      <c r="B9" s="17">
        <v>45300</v>
      </c>
      <c r="C9" s="16">
        <v>100</v>
      </c>
      <c r="D9" s="18">
        <v>0</v>
      </c>
      <c r="E9" s="16">
        <v>0</v>
      </c>
      <c r="F9" s="16">
        <v>1.81</v>
      </c>
      <c r="G9">
        <v>1.81</v>
      </c>
      <c r="L9" s="22"/>
      <c r="S9" s="12"/>
    </row>
    <row r="10" spans="2:19" x14ac:dyDescent="0.3">
      <c r="B10" s="17">
        <v>45482</v>
      </c>
      <c r="C10" s="16">
        <v>100</v>
      </c>
      <c r="D10" s="18">
        <v>0</v>
      </c>
      <c r="E10" s="16">
        <v>0</v>
      </c>
      <c r="F10" s="16">
        <v>1.81</v>
      </c>
      <c r="G10">
        <v>1.81</v>
      </c>
      <c r="I10" s="27" t="s">
        <v>46</v>
      </c>
      <c r="J10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B35&lt;NOW(),C35+((NOW()-B34)/(B35-B34))*F35+SUM(F4:F34),IF(NOW()&lt;B36,C36+((NOW()-B35)/(B36-B35))*F36+SUM(F4:F35),IF(NOW()&lt;B37,C37+((NOW()-B36)/(B37-B36))*F37+SUM(F4:F36),IF(NOW()&lt;B38,C38+((NOW()-B37)/(B38-B37))*F38+SUM(F4:F37),IF(NOW()&lt;B39,C39+((NOW()-B38)/(B39-B38))*F39+SUM(F4:F38),IF(NOW()&lt;B40,C40+((NOW()-B39)/(B40-B39))*F40+SUM(F4:F39),IF(NOW()&lt;B41,C41+((NOW()-B40)/(B41-B40))*F41+SUM(F4:F40),IF(NOW()&lt;B42,C42+((NOW()-B41)/(B42-B41))*F42+SUM(F4:F41),IF(NOW()&lt;B43,C43+((NOW()-B42)/(B43-B42))*F43+SUM(F4:F42),IF(NOW()&lt;B44,C44+((NOW()-B43)/(B44-B43))*F44+SUM(F4:F43),IF(NOW()&lt;B45,C45+((NOW()-B44)/(B45-B44))*F45+SUM(F4:F44),IF(NOW()&lt;B46,C46+((NOW()-B45)/(B46-B45))*F46+SUM(F4:F45),IF(NOW()&lt;B47,C47+((NOW()-B46)/(B47-B46))*F47+SUM(F4:F46),IF(NOW()&lt;B48,C48+((NOW()-B47)/(B48-B47))*F48+SUM(F4:F47),IF(NOW()&lt;B49,C49+((NOW()-B48)/(B49-B48))*F49+SUM(F4:F48),IF(NOW()&lt;B50,C50+((NOW()-B49)/(B50-B49))*F50+SUM(F4:F49),IF(NOW()&lt;B51,C51+((NOW()-B50)/(B51-B50))*F51+SUM(F4:F50),IF(NOW()&lt;B52,C52+((NOW()-B51)/(B52-B51))*F52+SUM(F4:F51),IF(NOW()&lt;B53,C53+((NOW()-B52)/(B53-B52))*F53+SUM(F4:F52),IF(NOW()&lt;B54,C54+((NOW()-B53)/(B54-B53))*F54+SUM(F4:F53),"Fin")))))))))))))))))))))))))))))))))))))))))))))))))))</f>
        <v>101.98294998561235</v>
      </c>
      <c r="L10" s="22"/>
      <c r="M10">
        <f>(G9+G10)/(1+J12)^4</f>
        <v>1.9127683558073765</v>
      </c>
      <c r="O10">
        <f>M10*4</f>
        <v>7.6510734232295059</v>
      </c>
      <c r="Q10">
        <v>20</v>
      </c>
      <c r="S10" s="12">
        <f t="shared" si="0"/>
        <v>38.255367116147532</v>
      </c>
    </row>
    <row r="11" spans="2:19" x14ac:dyDescent="0.3">
      <c r="B11" s="17">
        <v>45666</v>
      </c>
      <c r="C11" s="16">
        <v>100</v>
      </c>
      <c r="D11" s="18">
        <v>2.2700000000000001E-2</v>
      </c>
      <c r="E11" s="16">
        <v>2.27</v>
      </c>
      <c r="F11" s="16">
        <v>2.06</v>
      </c>
      <c r="G11">
        <v>4.34</v>
      </c>
      <c r="L11" s="22"/>
      <c r="S11" s="12"/>
    </row>
    <row r="12" spans="2:19" x14ac:dyDescent="0.3">
      <c r="B12" s="17">
        <v>45847</v>
      </c>
      <c r="C12" s="16">
        <v>97.73</v>
      </c>
      <c r="D12" s="18">
        <v>2.2700000000000001E-2</v>
      </c>
      <c r="E12" s="16">
        <v>2.27</v>
      </c>
      <c r="F12" s="16">
        <v>2.02</v>
      </c>
      <c r="G12">
        <v>4.29</v>
      </c>
      <c r="I12" s="27" t="s">
        <v>47</v>
      </c>
      <c r="J12" s="30">
        <f>XIRR(G3:G54,B3:B54)</f>
        <v>0.17290151715278629</v>
      </c>
      <c r="L12" s="22"/>
      <c r="M12">
        <f>(G11+G12)/(1+J12)^5</f>
        <v>3.8877923017699514</v>
      </c>
      <c r="O12">
        <f>M12*5</f>
        <v>19.438961508849758</v>
      </c>
      <c r="Q12">
        <v>30</v>
      </c>
      <c r="S12" s="12">
        <f t="shared" si="0"/>
        <v>116.63376905309855</v>
      </c>
    </row>
    <row r="13" spans="2:19" x14ac:dyDescent="0.3">
      <c r="B13" s="17">
        <v>46031</v>
      </c>
      <c r="C13" s="16">
        <v>95.45</v>
      </c>
      <c r="D13" s="18">
        <v>2.2700000000000001E-2</v>
      </c>
      <c r="E13" s="16">
        <v>2.27</v>
      </c>
      <c r="F13" s="16">
        <v>1.97</v>
      </c>
      <c r="G13">
        <v>4.24</v>
      </c>
      <c r="L13" s="22"/>
      <c r="S13" s="12"/>
    </row>
    <row r="14" spans="2:19" x14ac:dyDescent="0.3">
      <c r="B14" s="17">
        <v>46212</v>
      </c>
      <c r="C14" s="16">
        <v>93.18</v>
      </c>
      <c r="D14" s="18">
        <v>2.2700000000000001E-2</v>
      </c>
      <c r="E14" s="16">
        <v>2.27</v>
      </c>
      <c r="F14" s="16">
        <v>1.92</v>
      </c>
      <c r="G14">
        <v>4.1900000000000004</v>
      </c>
      <c r="I14" s="27" t="s">
        <v>48</v>
      </c>
      <c r="J14" s="27">
        <f>(((G4/((1+J12)^1))*1)+(((G5+G6)/((1+J12)^2))*2)+(((G7+G8)/((1+J12)^3))*3)+(((G9+G10)/((1+J12)^4))*4)+(((G11+G12)/((1+J12)^5))*5)+(((G13+G14)/((1+J12)^6))*6)+(((G15+G16)/((1+J12)^7))*7)+(((G17+G18)/((1+J12)^8))*8)+(((G19+G20)/((1+J12)^9))*9)+(((G21+G22)/((1+J12)^10))*10)+(((G23+G24)/((1+J12)^11))*11)+(((G25+G26)/((1+J12)^12))*12)+(((G27+G28)/((1+J12)^13))*13)+(((G29+G30)/((1+J12)^14))*14)+(((G31+G32)/((1+J12)^15))*15)+(((G33+G34)/((1+J12)^16))*16)+(((G35+G36)/((1+J12)^17))*17)+(((G37+G38)/((1+J12)^18))*18)+(((G39+G40)/((1+J12)^19))*19)+(((G41+G42)/((1+J12)^20))*20)+(((G43+G44)/((1+J12)^21))*21)+(((G45+G46)/((1+J12)^22))*22)+(((G47+G48)/((1+J12)^23))*23)+(((G49+G50)/((1+J12)^24))*24)+(((G51+G52)/((1+J12)^25))*25)+(((G53+G54)/((1+J12)^26))*26))/J2</f>
        <v>8.1899290719236149</v>
      </c>
      <c r="L14" s="22"/>
      <c r="M14">
        <f>(G13+G14)/(1+J12)^6</f>
        <v>3.2378616382214762</v>
      </c>
      <c r="O14">
        <f>M14*6</f>
        <v>19.427169829328857</v>
      </c>
      <c r="Q14">
        <v>42</v>
      </c>
      <c r="S14" s="12">
        <f t="shared" si="0"/>
        <v>135.99018880530201</v>
      </c>
    </row>
    <row r="15" spans="2:19" x14ac:dyDescent="0.3">
      <c r="B15" s="17">
        <v>46396</v>
      </c>
      <c r="C15" s="16">
        <v>90.91</v>
      </c>
      <c r="D15" s="18">
        <v>2.2700000000000001E-2</v>
      </c>
      <c r="E15" s="16">
        <v>2.27</v>
      </c>
      <c r="F15" s="16">
        <v>1.88</v>
      </c>
      <c r="G15">
        <v>4.1500000000000004</v>
      </c>
      <c r="L15" s="22"/>
      <c r="S15" s="12"/>
    </row>
    <row r="16" spans="2:19" x14ac:dyDescent="0.3">
      <c r="B16" s="17">
        <v>46577</v>
      </c>
      <c r="C16" s="16">
        <v>88.64</v>
      </c>
      <c r="D16" s="18">
        <v>2.2700000000000001E-2</v>
      </c>
      <c r="E16" s="16">
        <v>2.27</v>
      </c>
      <c r="F16" s="16">
        <v>1.83</v>
      </c>
      <c r="G16">
        <v>4.0999999999999996</v>
      </c>
      <c r="I16" s="27" t="s">
        <v>49</v>
      </c>
      <c r="J16" s="27">
        <f>J14/(1+J12)</f>
        <v>6.9826229671904887</v>
      </c>
      <c r="L16" s="22"/>
      <c r="M16">
        <f>(G15+G16)/(1+J12)^7</f>
        <v>2.7016128431839559</v>
      </c>
      <c r="O16">
        <f>M16*7</f>
        <v>18.911289902287692</v>
      </c>
      <c r="Q16">
        <v>56</v>
      </c>
      <c r="S16" s="12">
        <f t="shared" si="0"/>
        <v>151.29031921830153</v>
      </c>
    </row>
    <row r="17" spans="2:19" x14ac:dyDescent="0.3">
      <c r="B17" s="17">
        <v>46761</v>
      </c>
      <c r="C17" s="16">
        <v>86.36</v>
      </c>
      <c r="D17" s="18">
        <v>2.2700000000000001E-2</v>
      </c>
      <c r="E17" s="16">
        <v>2.27</v>
      </c>
      <c r="F17" s="16">
        <v>1.89</v>
      </c>
      <c r="G17">
        <v>4.16</v>
      </c>
      <c r="L17" s="22"/>
      <c r="S17" s="12"/>
    </row>
    <row r="18" spans="2:19" x14ac:dyDescent="0.3">
      <c r="B18" s="17">
        <v>46943</v>
      </c>
      <c r="C18" s="16">
        <v>84.09</v>
      </c>
      <c r="D18" s="18">
        <v>2.2700000000000001E-2</v>
      </c>
      <c r="E18" s="16">
        <v>2.27</v>
      </c>
      <c r="F18" s="16">
        <v>1.84</v>
      </c>
      <c r="G18">
        <v>4.1100000000000003</v>
      </c>
      <c r="L18" s="22"/>
      <c r="M18">
        <f>(G17+G18)/(1+J12)^8</f>
        <v>2.3089425395461451</v>
      </c>
      <c r="O18">
        <f>M18*8</f>
        <v>18.471540316369161</v>
      </c>
      <c r="Q18">
        <v>72</v>
      </c>
      <c r="S18" s="12">
        <f t="shared" si="0"/>
        <v>166.24386284732245</v>
      </c>
    </row>
    <row r="19" spans="2:19" x14ac:dyDescent="0.3">
      <c r="B19" s="17">
        <v>47127</v>
      </c>
      <c r="C19" s="16">
        <v>81.819999999999993</v>
      </c>
      <c r="D19" s="18">
        <v>2.2700000000000001E-2</v>
      </c>
      <c r="E19" s="16">
        <v>2.27</v>
      </c>
      <c r="F19" s="16">
        <v>2.0499999999999998</v>
      </c>
      <c r="G19">
        <v>4.32</v>
      </c>
      <c r="L19" s="22"/>
      <c r="S19" s="12"/>
    </row>
    <row r="20" spans="2:19" x14ac:dyDescent="0.3">
      <c r="B20" s="17">
        <v>47308</v>
      </c>
      <c r="C20" s="16">
        <v>79.55</v>
      </c>
      <c r="D20" s="18">
        <v>2.2700000000000001E-2</v>
      </c>
      <c r="E20" s="16">
        <v>2.27</v>
      </c>
      <c r="F20" s="16">
        <v>1.99</v>
      </c>
      <c r="G20">
        <v>4.26</v>
      </c>
      <c r="L20" s="22"/>
      <c r="M20">
        <f>(G19+G20)/(1+J12)^9</f>
        <v>2.0423649815210783</v>
      </c>
      <c r="O20">
        <f>M20*9</f>
        <v>18.381284833689705</v>
      </c>
      <c r="Q20">
        <v>90</v>
      </c>
      <c r="S20" s="12">
        <f t="shared" si="0"/>
        <v>183.81284833689705</v>
      </c>
    </row>
    <row r="21" spans="2:19" x14ac:dyDescent="0.3">
      <c r="B21" s="17">
        <v>47492</v>
      </c>
      <c r="C21" s="16">
        <v>77.27</v>
      </c>
      <c r="D21" s="18">
        <v>2.2700000000000001E-2</v>
      </c>
      <c r="E21" s="16">
        <v>2.27</v>
      </c>
      <c r="F21" s="16">
        <v>1.93</v>
      </c>
      <c r="G21">
        <v>4.2</v>
      </c>
      <c r="L21" s="22"/>
      <c r="S21" s="12"/>
    </row>
    <row r="22" spans="2:19" x14ac:dyDescent="0.3">
      <c r="B22" s="17">
        <v>47673</v>
      </c>
      <c r="C22" s="16">
        <v>75</v>
      </c>
      <c r="D22" s="18">
        <v>2.2700000000000001E-2</v>
      </c>
      <c r="E22" s="16">
        <v>2.27</v>
      </c>
      <c r="F22" s="16">
        <v>1.88</v>
      </c>
      <c r="G22">
        <v>4.1500000000000004</v>
      </c>
      <c r="L22" s="22"/>
      <c r="M22">
        <f>(G21+G22)/(1+J12)^10</f>
        <v>1.694614799987771</v>
      </c>
      <c r="O22">
        <f>M22*10</f>
        <v>16.946147999877709</v>
      </c>
      <c r="Q22">
        <v>110</v>
      </c>
      <c r="S22" s="12">
        <f t="shared" si="0"/>
        <v>186.40762799865482</v>
      </c>
    </row>
    <row r="23" spans="2:19" x14ac:dyDescent="0.3">
      <c r="B23" s="17">
        <v>47857</v>
      </c>
      <c r="C23" s="16">
        <v>72.73</v>
      </c>
      <c r="D23" s="18">
        <v>2.2700000000000001E-2</v>
      </c>
      <c r="E23" s="16">
        <v>2.27</v>
      </c>
      <c r="F23" s="16">
        <v>1.82</v>
      </c>
      <c r="G23">
        <v>4.09</v>
      </c>
      <c r="L23" s="22"/>
      <c r="S23" s="12"/>
    </row>
    <row r="24" spans="2:19" x14ac:dyDescent="0.3">
      <c r="B24" s="17">
        <v>48038</v>
      </c>
      <c r="C24" s="16">
        <v>70.45</v>
      </c>
      <c r="D24" s="18">
        <v>2.2700000000000001E-2</v>
      </c>
      <c r="E24" s="16">
        <v>2.27</v>
      </c>
      <c r="F24" s="16">
        <v>1.76</v>
      </c>
      <c r="G24">
        <v>4.03</v>
      </c>
      <c r="L24" s="22"/>
      <c r="M24">
        <f>(G23+G24)/(1+J12)^11</f>
        <v>1.4050086588116775</v>
      </c>
      <c r="O24">
        <f>M24*11</f>
        <v>15.455095246928453</v>
      </c>
      <c r="Q24">
        <v>132</v>
      </c>
      <c r="S24" s="12">
        <f t="shared" si="0"/>
        <v>185.46114296314141</v>
      </c>
    </row>
    <row r="25" spans="2:19" x14ac:dyDescent="0.3">
      <c r="B25" s="17">
        <v>48222</v>
      </c>
      <c r="C25" s="16">
        <v>68.180000000000007</v>
      </c>
      <c r="D25" s="18">
        <v>2.2700000000000001E-2</v>
      </c>
      <c r="E25" s="16">
        <v>2.27</v>
      </c>
      <c r="F25" s="16">
        <v>1.7</v>
      </c>
      <c r="G25">
        <v>3.98</v>
      </c>
      <c r="L25" s="22"/>
      <c r="S25" s="12"/>
    </row>
    <row r="26" spans="2:19" x14ac:dyDescent="0.3">
      <c r="B26" s="17">
        <v>48404</v>
      </c>
      <c r="C26" s="16">
        <v>65.91</v>
      </c>
      <c r="D26" s="18">
        <v>2.2700000000000001E-2</v>
      </c>
      <c r="E26" s="16">
        <v>2.27</v>
      </c>
      <c r="F26" s="16">
        <v>1.65</v>
      </c>
      <c r="G26">
        <v>3.92</v>
      </c>
      <c r="L26" s="22"/>
      <c r="M26">
        <f>(G25+G26)/(1+J12)^12</f>
        <v>1.1654362295212333</v>
      </c>
      <c r="O26">
        <f>M26*12</f>
        <v>13.985234754254799</v>
      </c>
      <c r="Q26">
        <v>156</v>
      </c>
      <c r="S26" s="12">
        <f t="shared" si="0"/>
        <v>181.8080518053124</v>
      </c>
    </row>
    <row r="27" spans="2:19" x14ac:dyDescent="0.3">
      <c r="B27" s="17">
        <v>48588</v>
      </c>
      <c r="C27" s="16">
        <v>63.64</v>
      </c>
      <c r="D27" s="18">
        <v>2.2700000000000001E-2</v>
      </c>
      <c r="E27" s="16">
        <v>2.27</v>
      </c>
      <c r="F27" s="16">
        <v>1.59</v>
      </c>
      <c r="G27">
        <v>3.86</v>
      </c>
      <c r="L27" s="22"/>
      <c r="S27" s="12"/>
    </row>
    <row r="28" spans="2:19" x14ac:dyDescent="0.3">
      <c r="B28" s="17">
        <v>48769</v>
      </c>
      <c r="C28" s="16">
        <v>61.63</v>
      </c>
      <c r="D28" s="18">
        <v>2.2700000000000001E-2</v>
      </c>
      <c r="E28" s="16">
        <v>2.27</v>
      </c>
      <c r="F28" s="16">
        <v>1.53</v>
      </c>
      <c r="G28">
        <v>3.81</v>
      </c>
      <c r="L28" s="22"/>
      <c r="M28">
        <f>(G27+G28)/(1+J12)^13</f>
        <v>0.96470657689643169</v>
      </c>
      <c r="O28">
        <f>M28*13</f>
        <v>12.541185499653611</v>
      </c>
      <c r="Q28">
        <v>182</v>
      </c>
      <c r="S28" s="12">
        <f t="shared" si="0"/>
        <v>175.57659699515057</v>
      </c>
    </row>
    <row r="29" spans="2:19" x14ac:dyDescent="0.3">
      <c r="B29" s="17">
        <v>48953</v>
      </c>
      <c r="C29" s="16">
        <v>59.09</v>
      </c>
      <c r="D29" s="18">
        <v>2.2700000000000001E-2</v>
      </c>
      <c r="E29" s="16">
        <v>2.27</v>
      </c>
      <c r="F29" s="16">
        <v>1.48</v>
      </c>
      <c r="G29">
        <v>3.75</v>
      </c>
      <c r="L29" s="22"/>
      <c r="S29" s="12"/>
    </row>
    <row r="30" spans="2:19" x14ac:dyDescent="0.3">
      <c r="B30" s="17">
        <v>49134</v>
      </c>
      <c r="C30" s="16">
        <v>56.82</v>
      </c>
      <c r="D30" s="18">
        <v>2.2700000000000001E-2</v>
      </c>
      <c r="E30" s="16">
        <v>2.27</v>
      </c>
      <c r="F30" s="16">
        <v>1.42</v>
      </c>
      <c r="G30">
        <v>3.69</v>
      </c>
      <c r="L30" s="22"/>
      <c r="M30">
        <f>(G29+G30)/(1+J12)^14</f>
        <v>0.79783165386455612</v>
      </c>
      <c r="O30">
        <f>M30*14</f>
        <v>11.169643154103786</v>
      </c>
      <c r="Q30">
        <v>210</v>
      </c>
      <c r="S30" s="12">
        <f t="shared" si="0"/>
        <v>167.54464731155679</v>
      </c>
    </row>
    <row r="31" spans="2:19" x14ac:dyDescent="0.3">
      <c r="B31" s="17">
        <v>49318</v>
      </c>
      <c r="C31" s="16">
        <v>54.55</v>
      </c>
      <c r="D31" s="18">
        <v>2.2700000000000001E-2</v>
      </c>
      <c r="E31" s="16">
        <v>2.27</v>
      </c>
      <c r="F31" s="16">
        <v>1.36</v>
      </c>
      <c r="G31">
        <v>3.64</v>
      </c>
      <c r="L31" s="22"/>
      <c r="S31" s="12"/>
    </row>
    <row r="32" spans="2:19" x14ac:dyDescent="0.3">
      <c r="B32" s="17">
        <v>49499</v>
      </c>
      <c r="C32" s="16">
        <v>52.27</v>
      </c>
      <c r="D32" s="18">
        <v>2.2700000000000001E-2</v>
      </c>
      <c r="E32" s="16">
        <v>2.27</v>
      </c>
      <c r="F32" s="16">
        <v>1.31</v>
      </c>
      <c r="G32">
        <v>3.58</v>
      </c>
      <c r="L32" s="22"/>
      <c r="M32">
        <f>(G31+G32)/(1+J12)^15</f>
        <v>0.66010645081915764</v>
      </c>
      <c r="O32">
        <f>M32*15</f>
        <v>9.9015967622873653</v>
      </c>
      <c r="Q32">
        <v>240</v>
      </c>
      <c r="S32" s="12">
        <f t="shared" si="0"/>
        <v>158.42554819659784</v>
      </c>
    </row>
    <row r="33" spans="2:19" x14ac:dyDescent="0.3">
      <c r="B33" s="17">
        <v>49683</v>
      </c>
      <c r="C33" s="16">
        <v>50</v>
      </c>
      <c r="D33" s="18">
        <v>2.2700000000000001E-2</v>
      </c>
      <c r="E33" s="16">
        <v>2.27</v>
      </c>
      <c r="F33" s="16">
        <v>1.25</v>
      </c>
      <c r="G33">
        <v>3.52</v>
      </c>
      <c r="L33" s="22"/>
      <c r="S33" s="12"/>
    </row>
    <row r="34" spans="2:19" x14ac:dyDescent="0.3">
      <c r="B34" s="17">
        <v>49865</v>
      </c>
      <c r="C34" s="16">
        <v>47.73</v>
      </c>
      <c r="D34" s="18">
        <v>2.2700000000000001E-2</v>
      </c>
      <c r="E34" s="16">
        <v>2.27</v>
      </c>
      <c r="F34" s="16">
        <v>1.19</v>
      </c>
      <c r="G34">
        <v>3.47</v>
      </c>
      <c r="L34" s="22"/>
      <c r="M34">
        <f>(G33+G34)/(1+J12)^16</f>
        <v>0.54486938556445708</v>
      </c>
      <c r="O34">
        <f>M34*16</f>
        <v>8.7179101690313132</v>
      </c>
      <c r="Q34">
        <v>272</v>
      </c>
      <c r="S34" s="12">
        <f t="shared" si="0"/>
        <v>148.20447287353232</v>
      </c>
    </row>
    <row r="35" spans="2:19" x14ac:dyDescent="0.3">
      <c r="B35" s="17">
        <v>50049</v>
      </c>
      <c r="C35" s="16">
        <v>45.45</v>
      </c>
      <c r="D35" s="18">
        <v>2.2700000000000001E-2</v>
      </c>
      <c r="E35" s="16">
        <v>2.27</v>
      </c>
      <c r="F35" s="16">
        <v>1.1399999999999999</v>
      </c>
      <c r="G35">
        <v>3.41</v>
      </c>
      <c r="L35" s="22"/>
      <c r="S35" s="12"/>
    </row>
    <row r="36" spans="2:19" x14ac:dyDescent="0.3">
      <c r="B36" s="17">
        <v>50230</v>
      </c>
      <c r="C36" s="16">
        <v>43.18</v>
      </c>
      <c r="D36" s="18">
        <v>2.2700000000000001E-2</v>
      </c>
      <c r="E36" s="16">
        <v>2.27</v>
      </c>
      <c r="F36" s="16">
        <v>1.08</v>
      </c>
      <c r="G36">
        <v>3.35</v>
      </c>
      <c r="L36" s="22"/>
      <c r="M36">
        <f>(G35+G36)/(1+J12)^17</f>
        <v>0.44926271688449759</v>
      </c>
      <c r="O36">
        <f>M36*17</f>
        <v>7.6374661870364591</v>
      </c>
      <c r="Q36">
        <v>306</v>
      </c>
      <c r="S36" s="12">
        <f t="shared" si="0"/>
        <v>137.47439136665628</v>
      </c>
    </row>
    <row r="37" spans="2:19" x14ac:dyDescent="0.3">
      <c r="B37" s="17">
        <v>50414</v>
      </c>
      <c r="C37" s="16">
        <v>40.909999999999997</v>
      </c>
      <c r="D37" s="18">
        <v>2.2700000000000001E-2</v>
      </c>
      <c r="E37" s="16">
        <v>2.27</v>
      </c>
      <c r="F37" s="16">
        <v>1.02</v>
      </c>
      <c r="G37">
        <v>3.3</v>
      </c>
      <c r="L37" s="22"/>
      <c r="S37" s="12"/>
    </row>
    <row r="38" spans="2:19" x14ac:dyDescent="0.3">
      <c r="B38" s="17">
        <v>50595</v>
      </c>
      <c r="C38" s="16">
        <v>38.64</v>
      </c>
      <c r="D38" s="18">
        <v>2.2700000000000001E-2</v>
      </c>
      <c r="E38" s="16">
        <v>2.27</v>
      </c>
      <c r="F38" s="16">
        <v>0.97</v>
      </c>
      <c r="G38">
        <v>3.24</v>
      </c>
      <c r="L38" s="22"/>
      <c r="M38">
        <f>(G37+G38)/(1+J12)^18</f>
        <v>0.37056968085974196</v>
      </c>
      <c r="O38">
        <f>M38*18</f>
        <v>6.6702542554753554</v>
      </c>
      <c r="Q38">
        <v>342</v>
      </c>
      <c r="S38" s="12">
        <f t="shared" si="0"/>
        <v>126.73483085403176</v>
      </c>
    </row>
    <row r="39" spans="2:19" x14ac:dyDescent="0.3">
      <c r="B39" s="17">
        <v>50779</v>
      </c>
      <c r="C39" s="16">
        <v>36.36</v>
      </c>
      <c r="D39" s="18">
        <v>2.2700000000000001E-2</v>
      </c>
      <c r="E39" s="16">
        <v>2.27</v>
      </c>
      <c r="F39" s="16">
        <v>0.91</v>
      </c>
      <c r="G39">
        <v>3.18</v>
      </c>
      <c r="L39" s="22"/>
      <c r="S39" s="12"/>
    </row>
    <row r="40" spans="2:19" x14ac:dyDescent="0.3">
      <c r="B40" s="17">
        <v>50960</v>
      </c>
      <c r="C40" s="16">
        <v>34.090000000000003</v>
      </c>
      <c r="D40" s="18">
        <v>2.2700000000000001E-2</v>
      </c>
      <c r="E40" s="16">
        <v>2.27</v>
      </c>
      <c r="F40" s="16">
        <v>0.85</v>
      </c>
      <c r="G40">
        <v>3.13</v>
      </c>
      <c r="L40" s="22"/>
      <c r="M40">
        <f>(G39+G40)/(1+J12)^19</f>
        <v>0.30483157244419623</v>
      </c>
      <c r="O40">
        <f>M40*19</f>
        <v>5.791799876439728</v>
      </c>
      <c r="Q40">
        <v>380</v>
      </c>
      <c r="S40" s="12">
        <f t="shared" si="0"/>
        <v>115.83599752879456</v>
      </c>
    </row>
    <row r="41" spans="2:19" x14ac:dyDescent="0.3">
      <c r="B41" s="17">
        <v>51144</v>
      </c>
      <c r="C41" s="16">
        <v>31.82</v>
      </c>
      <c r="D41" s="18">
        <v>2.2700000000000001E-2</v>
      </c>
      <c r="E41" s="16">
        <v>2.27</v>
      </c>
      <c r="F41" s="16">
        <v>0.8</v>
      </c>
      <c r="G41">
        <v>3.07</v>
      </c>
      <c r="L41" s="22"/>
      <c r="S41" s="12"/>
    </row>
    <row r="42" spans="2:19" x14ac:dyDescent="0.3">
      <c r="B42" s="17">
        <v>51326</v>
      </c>
      <c r="C42" s="16">
        <v>29.55</v>
      </c>
      <c r="D42" s="18">
        <v>2.2700000000000001E-2</v>
      </c>
      <c r="E42" s="16">
        <v>2.27</v>
      </c>
      <c r="F42" s="16">
        <v>0.74</v>
      </c>
      <c r="G42">
        <v>3.01</v>
      </c>
      <c r="L42" s="22"/>
      <c r="M42">
        <f>(G41+G42)/(1+J12)^20</f>
        <v>0.25042207992617249</v>
      </c>
      <c r="O42">
        <f>M42*20</f>
        <v>5.0084415985234498</v>
      </c>
      <c r="Q42">
        <v>420</v>
      </c>
      <c r="S42" s="12">
        <f t="shared" si="0"/>
        <v>105.17727356899245</v>
      </c>
    </row>
    <row r="43" spans="2:19" x14ac:dyDescent="0.3">
      <c r="B43" s="17">
        <v>51510</v>
      </c>
      <c r="C43" s="16">
        <v>27.27</v>
      </c>
      <c r="D43" s="18">
        <v>2.2700000000000001E-2</v>
      </c>
      <c r="E43" s="16">
        <v>2.27</v>
      </c>
      <c r="F43" s="16">
        <v>0.68</v>
      </c>
      <c r="G43">
        <v>2.95</v>
      </c>
      <c r="L43" s="22"/>
      <c r="S43" s="12"/>
    </row>
    <row r="44" spans="2:19" x14ac:dyDescent="0.3">
      <c r="B44" s="17">
        <v>51691</v>
      </c>
      <c r="C44" s="16">
        <v>25</v>
      </c>
      <c r="D44" s="18">
        <v>2.2700000000000001E-2</v>
      </c>
      <c r="E44" s="16">
        <v>2.27</v>
      </c>
      <c r="F44" s="16">
        <v>0.63</v>
      </c>
      <c r="G44">
        <v>2.9</v>
      </c>
      <c r="L44" s="22"/>
      <c r="M44">
        <f>(G43+G44)/(1+J12)^21</f>
        <v>0.20542975920915948</v>
      </c>
      <c r="O44">
        <f>M44*21</f>
        <v>4.314024943392349</v>
      </c>
      <c r="Q44">
        <v>462</v>
      </c>
      <c r="S44" s="12">
        <f t="shared" si="0"/>
        <v>94.908548754631681</v>
      </c>
    </row>
    <row r="45" spans="2:19" x14ac:dyDescent="0.3">
      <c r="B45" s="17">
        <v>51875</v>
      </c>
      <c r="C45" s="16">
        <v>22.73</v>
      </c>
      <c r="D45" s="18">
        <v>2.2700000000000001E-2</v>
      </c>
      <c r="E45" s="16">
        <v>2.27</v>
      </c>
      <c r="F45" s="16">
        <v>0.56999999999999995</v>
      </c>
      <c r="G45">
        <v>2.84</v>
      </c>
      <c r="L45" s="22"/>
      <c r="S45" s="12"/>
    </row>
    <row r="46" spans="2:19" x14ac:dyDescent="0.3">
      <c r="B46" s="17">
        <v>52056</v>
      </c>
      <c r="C46" s="16">
        <v>20.45</v>
      </c>
      <c r="D46" s="18">
        <v>2.2700000000000001E-2</v>
      </c>
      <c r="E46" s="16">
        <v>2.27</v>
      </c>
      <c r="F46" s="16">
        <v>0.51</v>
      </c>
      <c r="G46">
        <v>2.78</v>
      </c>
      <c r="L46" s="22"/>
      <c r="M46">
        <f>(G45+G46)/(1+J12)^22</f>
        <v>0.16826053231859436</v>
      </c>
      <c r="O46">
        <f>M46*22</f>
        <v>3.7017317110090762</v>
      </c>
      <c r="Q46">
        <v>506</v>
      </c>
      <c r="S46" s="12">
        <f t="shared" si="0"/>
        <v>85.139829353208754</v>
      </c>
    </row>
    <row r="47" spans="2:19" x14ac:dyDescent="0.3">
      <c r="B47" s="17">
        <v>52240</v>
      </c>
      <c r="C47" s="16">
        <v>18.18</v>
      </c>
      <c r="D47" s="18">
        <v>2.2700000000000001E-2</v>
      </c>
      <c r="E47" s="16">
        <v>2.27</v>
      </c>
      <c r="F47" s="16">
        <v>0.45</v>
      </c>
      <c r="G47">
        <v>2.73</v>
      </c>
      <c r="L47" s="22"/>
      <c r="S47" s="12"/>
    </row>
    <row r="48" spans="2:19" x14ac:dyDescent="0.3">
      <c r="B48" s="17">
        <v>52421</v>
      </c>
      <c r="C48" s="16">
        <v>15.91</v>
      </c>
      <c r="D48" s="18">
        <v>2.2700000000000001E-2</v>
      </c>
      <c r="E48" s="16">
        <v>2.27</v>
      </c>
      <c r="F48" s="16">
        <v>0.4</v>
      </c>
      <c r="G48">
        <v>2.67</v>
      </c>
      <c r="L48" s="22"/>
      <c r="M48">
        <f>(G47+G48)/(1+J12)^23</f>
        <v>0.13784091735297899</v>
      </c>
      <c r="O48">
        <f>M48*23</f>
        <v>3.1703410991185166</v>
      </c>
      <c r="Q48">
        <v>552</v>
      </c>
      <c r="S48" s="12">
        <f t="shared" si="0"/>
        <v>76.088186378844398</v>
      </c>
    </row>
    <row r="49" spans="2:19" x14ac:dyDescent="0.3">
      <c r="B49" s="17">
        <v>52605</v>
      </c>
      <c r="C49" s="16">
        <v>13.64</v>
      </c>
      <c r="D49" s="18">
        <v>2.2700000000000001E-2</v>
      </c>
      <c r="E49" s="16">
        <v>2.27</v>
      </c>
      <c r="F49" s="16">
        <v>0.34</v>
      </c>
      <c r="G49">
        <v>2.61</v>
      </c>
      <c r="L49" s="22"/>
      <c r="S49" s="12"/>
    </row>
    <row r="50" spans="2:19" x14ac:dyDescent="0.3">
      <c r="B50" s="17">
        <v>52787</v>
      </c>
      <c r="C50" s="16">
        <v>11.36</v>
      </c>
      <c r="D50" s="18">
        <v>2.2700000000000001E-2</v>
      </c>
      <c r="E50" s="16">
        <v>2.27</v>
      </c>
      <c r="F50" s="16">
        <v>0.28000000000000003</v>
      </c>
      <c r="G50">
        <v>2.56</v>
      </c>
      <c r="L50" s="22"/>
      <c r="M50">
        <f>(G49+G50)/(1+J12)^24</f>
        <v>0.11251576827859405</v>
      </c>
      <c r="O50">
        <f>M50*24</f>
        <v>2.7003784386862573</v>
      </c>
      <c r="Q50">
        <v>600</v>
      </c>
      <c r="S50" s="12">
        <f t="shared" si="0"/>
        <v>67.509460967156429</v>
      </c>
    </row>
    <row r="51" spans="2:19" x14ac:dyDescent="0.3">
      <c r="B51" s="17">
        <v>52971</v>
      </c>
      <c r="C51" s="16">
        <v>9.09</v>
      </c>
      <c r="D51" s="18">
        <v>2.2700000000000001E-2</v>
      </c>
      <c r="E51" s="16">
        <v>2.27</v>
      </c>
      <c r="F51" s="16">
        <v>0.23</v>
      </c>
      <c r="G51">
        <v>2.5</v>
      </c>
      <c r="L51" s="22"/>
      <c r="S51" s="12"/>
    </row>
    <row r="52" spans="2:19" x14ac:dyDescent="0.3">
      <c r="B52" s="17">
        <v>53152</v>
      </c>
      <c r="C52" s="16">
        <v>6.82</v>
      </c>
      <c r="D52" s="18">
        <v>2.2700000000000001E-2</v>
      </c>
      <c r="E52" s="16">
        <v>2.27</v>
      </c>
      <c r="F52" s="16">
        <v>0.17</v>
      </c>
      <c r="G52">
        <v>2.44</v>
      </c>
      <c r="L52" s="22"/>
      <c r="M52">
        <f>(G51+G52)/(1+J12)^25</f>
        <v>9.1661771790936472E-2</v>
      </c>
      <c r="O52">
        <f>M52*25</f>
        <v>2.2915442947734119</v>
      </c>
      <c r="Q52">
        <v>650</v>
      </c>
      <c r="S52" s="12">
        <f t="shared" si="0"/>
        <v>59.580151664108705</v>
      </c>
    </row>
    <row r="53" spans="2:19" x14ac:dyDescent="0.3">
      <c r="B53" s="17">
        <v>53336</v>
      </c>
      <c r="C53" s="16">
        <v>4.55</v>
      </c>
      <c r="D53" s="18">
        <v>2.2700000000000001E-2</v>
      </c>
      <c r="E53" s="16">
        <v>2.27</v>
      </c>
      <c r="F53" s="16">
        <v>0.11</v>
      </c>
      <c r="G53">
        <v>2.39</v>
      </c>
      <c r="L53" s="22"/>
      <c r="S53" s="12"/>
    </row>
    <row r="54" spans="2:19" x14ac:dyDescent="0.3">
      <c r="B54" s="17">
        <v>53517</v>
      </c>
      <c r="C54" s="16">
        <v>2.27</v>
      </c>
      <c r="D54" s="18">
        <v>2.2700000000000001E-2</v>
      </c>
      <c r="E54" s="16">
        <v>2.27</v>
      </c>
      <c r="F54" s="16">
        <v>0.06</v>
      </c>
      <c r="G54">
        <v>2.33</v>
      </c>
      <c r="L54" s="22"/>
      <c r="M54">
        <f>(G53+G54)/(1+J12)^26</f>
        <v>7.4669243165759194E-2</v>
      </c>
      <c r="O54">
        <f>M54*26</f>
        <v>1.9414003223097391</v>
      </c>
      <c r="Q54">
        <v>702</v>
      </c>
      <c r="S54" s="12">
        <f t="shared" si="0"/>
        <v>52.417808702362954</v>
      </c>
    </row>
    <row r="55" spans="2:19" x14ac:dyDescent="0.3">
      <c r="B55" t="s">
        <v>23</v>
      </c>
      <c r="D55" s="11">
        <v>1</v>
      </c>
      <c r="E55">
        <v>100</v>
      </c>
      <c r="F55">
        <v>59.6</v>
      </c>
      <c r="G55">
        <v>159.6</v>
      </c>
      <c r="L55" s="22"/>
      <c r="S55" s="12"/>
    </row>
    <row r="56" spans="2:19" x14ac:dyDescent="0.3">
      <c r="L56" s="52" t="s">
        <v>102</v>
      </c>
      <c r="M56" s="53">
        <f>SUM(M4,M6,M8,M10,M12,M14,M16,M18,M20,M22,M24,M26,M28,M30,M32,M34,M36,M38,M40,M42,M44,M46,M48,M50,M52,M54)</f>
        <v>27.326919637702705</v>
      </c>
      <c r="N56" s="42"/>
      <c r="O56" s="42"/>
      <c r="P56" s="42"/>
      <c r="Q56" s="42"/>
      <c r="R56" s="53" t="s">
        <v>103</v>
      </c>
      <c r="S56" s="54">
        <f>1/(J2*((1+J12)*2))*SUM(S4,S6,S8,S10,S12,S14,S16,S18,S20,S22,S24,S26,S28,S30,S32,S34,S36,S38,S40,S42,S44,S46,S48,S50,S52,S54)</f>
        <v>42.888885036348839</v>
      </c>
    </row>
  </sheetData>
  <sheetProtection algorithmName="SHA-512" hashValue="BB69AkFpwhR37aZPlaQt0HpvqLTz/4NKZv7rPUhQNU0tzjyKcW8FZCl2DVWd0ba+StKtLXoKgNyIFs9MZqpxrQ==" saltValue="778jB81DI5jSkfZJC+42CA==" spinCount="100000" sheet="1" objects="1" scenarios="1" selectLockedCells="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8C61-A7C1-4B71-A5CA-FA24A6E8F03E}">
  <dimension ref="B2:M10"/>
  <sheetViews>
    <sheetView showGridLines="0" workbookViewId="0">
      <selection activeCell="E23" sqref="E23"/>
    </sheetView>
  </sheetViews>
  <sheetFormatPr baseColWidth="10" defaultRowHeight="14.4" x14ac:dyDescent="0.3"/>
  <cols>
    <col min="13" max="13" width="14.33203125" customWidth="1"/>
  </cols>
  <sheetData>
    <row r="2" spans="2:13" x14ac:dyDescent="0.3">
      <c r="C2" s="140" t="s">
        <v>95</v>
      </c>
      <c r="D2" s="141"/>
      <c r="E2" s="141"/>
      <c r="F2" s="141"/>
      <c r="G2" s="142"/>
      <c r="H2" s="143" t="s">
        <v>94</v>
      </c>
      <c r="I2" s="144"/>
      <c r="J2" s="144"/>
      <c r="K2" s="144"/>
      <c r="L2" s="145"/>
      <c r="M2" s="42"/>
    </row>
    <row r="3" spans="2:13" x14ac:dyDescent="0.3">
      <c r="B3" s="45"/>
      <c r="C3" s="62" t="s">
        <v>92</v>
      </c>
      <c r="D3" s="66" t="s">
        <v>88</v>
      </c>
      <c r="E3" s="60" t="s">
        <v>89</v>
      </c>
      <c r="F3" s="70" t="s">
        <v>90</v>
      </c>
      <c r="G3" s="60" t="s">
        <v>91</v>
      </c>
      <c r="H3" s="66" t="s">
        <v>92</v>
      </c>
      <c r="I3" s="66" t="s">
        <v>88</v>
      </c>
      <c r="J3" s="66" t="s">
        <v>89</v>
      </c>
      <c r="K3" s="70" t="s">
        <v>93</v>
      </c>
      <c r="L3" s="66" t="s">
        <v>91</v>
      </c>
      <c r="M3" s="59" t="s">
        <v>97</v>
      </c>
    </row>
    <row r="4" spans="2:13" x14ac:dyDescent="0.3">
      <c r="B4" s="67">
        <v>2029</v>
      </c>
      <c r="C4" s="72">
        <f>'AL29'!J13</f>
        <v>27</v>
      </c>
      <c r="D4" s="78">
        <f>'AL29'!L29</f>
        <v>5.6238780476085886</v>
      </c>
      <c r="E4" s="11">
        <f>'AL29'!L27</f>
        <v>0.25253409743309019</v>
      </c>
      <c r="F4" s="73">
        <v>0.11559999999999999</v>
      </c>
      <c r="G4" s="32">
        <f>F4-E4</f>
        <v>-0.13693409743309021</v>
      </c>
      <c r="H4" s="72">
        <f>'GD29'!J2</f>
        <v>33.5</v>
      </c>
      <c r="I4" s="78">
        <f>'GD29'!J14</f>
        <v>5.8193587072133974</v>
      </c>
      <c r="J4" s="11">
        <f>'GD29'!J12</f>
        <v>0.20692084431648256</v>
      </c>
      <c r="K4" s="73">
        <v>0.1159</v>
      </c>
      <c r="L4" s="11">
        <f>K4-J4</f>
        <v>-9.1020844316482552E-2</v>
      </c>
      <c r="M4" s="31">
        <f>E4-J4</f>
        <v>4.5613253116607633E-2</v>
      </c>
    </row>
    <row r="5" spans="2:13" x14ac:dyDescent="0.3">
      <c r="B5" s="68">
        <v>2030</v>
      </c>
      <c r="C5" s="72">
        <f>'AL30'!L5</f>
        <v>24</v>
      </c>
      <c r="D5" s="78">
        <f ca="1">'AL30'!C29</f>
        <v>2.08682254171246</v>
      </c>
      <c r="E5" s="11">
        <f ca="1">'AL30'!H30</f>
        <v>0.46539074778556822</v>
      </c>
      <c r="F5" s="73">
        <v>0.1115</v>
      </c>
      <c r="G5" s="31">
        <f t="shared" ref="G5:G8" ca="1" si="0">F5-E5</f>
        <v>-0.35389074778556823</v>
      </c>
      <c r="H5" s="72">
        <f>'GD30'!J2</f>
        <v>29.7</v>
      </c>
      <c r="I5" s="78">
        <f>'GD30'!J14</f>
        <v>6.1070288147922343</v>
      </c>
      <c r="J5" s="11">
        <f>'GD30'!J12</f>
        <v>0.21304861903190617</v>
      </c>
      <c r="K5" s="73">
        <v>0.1181</v>
      </c>
      <c r="L5" s="11">
        <f t="shared" ref="L5:L9" si="1">K5-J5</f>
        <v>-9.494861903190617E-2</v>
      </c>
      <c r="M5" s="31">
        <f t="shared" ref="M5:M8" ca="1" si="2">E5-J5</f>
        <v>0.25234212875366202</v>
      </c>
    </row>
    <row r="6" spans="2:13" x14ac:dyDescent="0.3">
      <c r="B6" s="68">
        <v>2035</v>
      </c>
      <c r="C6" s="72">
        <f>'AL35'!K3</f>
        <v>28.8</v>
      </c>
      <c r="D6" s="78">
        <f>'AL35'!J17</f>
        <v>9.0255141211598389</v>
      </c>
      <c r="E6" s="11">
        <f>'AL35'!J15</f>
        <v>0.17265684008598325</v>
      </c>
      <c r="F6" s="73">
        <v>0.1205</v>
      </c>
      <c r="G6" s="31">
        <f t="shared" si="0"/>
        <v>-5.2156840085983258E-2</v>
      </c>
      <c r="H6" s="72">
        <f>'GD35'!J2</f>
        <v>27.8</v>
      </c>
      <c r="I6" s="78">
        <f>'GD35'!J15</f>
        <v>8.9591474980760388</v>
      </c>
      <c r="J6" s="11">
        <f>'GD35'!J13</f>
        <v>0.17717530131340031</v>
      </c>
      <c r="K6" s="73">
        <v>0.1196</v>
      </c>
      <c r="L6" s="11">
        <f t="shared" si="1"/>
        <v>-5.7575301313400315E-2</v>
      </c>
      <c r="M6" s="31">
        <f t="shared" si="2"/>
        <v>-4.5184612274170588E-3</v>
      </c>
    </row>
    <row r="7" spans="2:13" x14ac:dyDescent="0.3">
      <c r="B7" s="68">
        <v>2038</v>
      </c>
      <c r="C7" s="72">
        <f>'AE38'!J3</f>
        <v>33.049999999999997</v>
      </c>
      <c r="D7" s="78">
        <f>'AE38'!K15</f>
        <v>7.8155771030126315</v>
      </c>
      <c r="E7" s="11">
        <f>'AE38'!K13</f>
        <v>0.17882530093193058</v>
      </c>
      <c r="F7" s="73">
        <v>0.1215</v>
      </c>
      <c r="G7" s="31">
        <f t="shared" si="0"/>
        <v>-5.7325300931930584E-2</v>
      </c>
      <c r="H7" s="72">
        <f>'AE38'!J3</f>
        <v>33.049999999999997</v>
      </c>
      <c r="I7" s="78">
        <f>'GD38'!L11</f>
        <v>7.7382592500982064</v>
      </c>
      <c r="J7" s="11">
        <f>'GD38'!L9</f>
        <v>0.18411384224891666</v>
      </c>
      <c r="K7" s="73">
        <v>0.1206</v>
      </c>
      <c r="L7" s="11">
        <f t="shared" si="1"/>
        <v>-6.3513842248916666E-2</v>
      </c>
      <c r="M7" s="31">
        <f t="shared" si="2"/>
        <v>-5.288541316986084E-3</v>
      </c>
    </row>
    <row r="8" spans="2:13" x14ac:dyDescent="0.3">
      <c r="B8" s="68">
        <v>2041</v>
      </c>
      <c r="C8" s="72">
        <f>'AL41'!J2</f>
        <v>32.5</v>
      </c>
      <c r="D8" s="78">
        <f>'AL41'!J15</f>
        <v>8.750314719637128</v>
      </c>
      <c r="E8" s="11">
        <f>'AL41'!J13</f>
        <v>0.15714785456657412</v>
      </c>
      <c r="F8" s="73">
        <v>0.1152</v>
      </c>
      <c r="G8" s="31">
        <f t="shared" si="0"/>
        <v>-4.1947854566574128E-2</v>
      </c>
      <c r="H8" s="72">
        <f>'GD41'!J2</f>
        <v>28.14</v>
      </c>
      <c r="I8" s="78">
        <f>'GD41'!J14</f>
        <v>8.3480750375301191</v>
      </c>
      <c r="J8" s="11">
        <f>'GD41'!J12</f>
        <v>0.17649326920509342</v>
      </c>
      <c r="K8" s="73">
        <v>0.1177</v>
      </c>
      <c r="L8" s="11">
        <f t="shared" si="1"/>
        <v>-5.8793269205093424E-2</v>
      </c>
      <c r="M8" s="31">
        <f t="shared" si="2"/>
        <v>-1.9345414638519298E-2</v>
      </c>
    </row>
    <row r="9" spans="2:13" x14ac:dyDescent="0.3">
      <c r="B9" s="69">
        <v>2046</v>
      </c>
      <c r="C9" s="55"/>
      <c r="D9" s="55"/>
      <c r="E9" s="55"/>
      <c r="F9" s="71"/>
      <c r="G9" s="79"/>
      <c r="H9" s="72">
        <f>'GD46'!J2</f>
        <v>29.15</v>
      </c>
      <c r="I9" s="78">
        <f>'GD46'!J14</f>
        <v>8.1899290719236149</v>
      </c>
      <c r="J9" s="11">
        <f>'GD46'!J12</f>
        <v>0.17290151715278629</v>
      </c>
      <c r="K9" s="74">
        <v>0.1183</v>
      </c>
      <c r="L9" s="11">
        <f t="shared" si="1"/>
        <v>-5.4601517152786286E-2</v>
      </c>
      <c r="M9" s="80"/>
    </row>
    <row r="10" spans="2:13" x14ac:dyDescent="0.3">
      <c r="B10" s="61" t="s">
        <v>96</v>
      </c>
      <c r="C10" s="65"/>
      <c r="D10" s="64"/>
      <c r="E10" s="81">
        <f ca="1">SUM(E4:E8)/5</f>
        <v>0.24531096816062928</v>
      </c>
      <c r="F10" s="70"/>
      <c r="G10" s="64"/>
      <c r="H10" s="63"/>
      <c r="I10" s="64"/>
      <c r="J10" s="81">
        <f>SUM(J4:J9)/6</f>
        <v>0.18844223221143089</v>
      </c>
      <c r="K10" s="70"/>
      <c r="L10" s="65"/>
      <c r="M10" s="33">
        <f ca="1">SUM(M4:M8)/5</f>
        <v>5.3760592937469445E-2</v>
      </c>
    </row>
  </sheetData>
  <sheetProtection algorithmName="SHA-512" hashValue="llLgwI2HBbUfahgwT3JjDMYPGZit3gUeAbp36elUdD46tQSWTvFXxT5VjBRi+kVHwnhvsqShANh8pR188BA69A==" saltValue="aUPwC0ZbBDe2YSDs5ub2rw==" spinCount="100000" sheet="1" objects="1" scenarios="1"/>
  <mergeCells count="2">
    <mergeCell ref="C2:G2"/>
    <mergeCell ref="H2:L2"/>
  </mergeCells>
  <conditionalFormatting sqref="G4:G8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4:L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4:M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057-4F86-422D-8D01-7E2251D0D8EE}">
  <dimension ref="A1:M98"/>
  <sheetViews>
    <sheetView topLeftCell="A3" workbookViewId="0">
      <selection activeCell="A3" sqref="A3:A98"/>
    </sheetView>
  </sheetViews>
  <sheetFormatPr baseColWidth="10" defaultRowHeight="14.4" x14ac:dyDescent="0.3"/>
  <cols>
    <col min="1" max="1" width="7.77734375" bestFit="1" customWidth="1"/>
    <col min="2" max="2" width="9" bestFit="1" customWidth="1"/>
    <col min="3" max="3" width="8.6640625" bestFit="1" customWidth="1"/>
    <col min="4" max="4" width="8.21875" bestFit="1" customWidth="1"/>
    <col min="5" max="5" width="7.44140625" bestFit="1" customWidth="1"/>
    <col min="6" max="6" width="6.109375" bestFit="1" customWidth="1"/>
    <col min="7" max="7" width="8.21875" bestFit="1" customWidth="1"/>
    <col min="8" max="10" width="9" bestFit="1" customWidth="1"/>
    <col min="11" max="11" width="15.109375" bestFit="1" customWidth="1"/>
    <col min="12" max="12" width="7.77734375" customWidth="1"/>
    <col min="13" max="13" width="12.77734375" bestFit="1" customWidth="1"/>
  </cols>
  <sheetData>
    <row r="1" spans="1:13" x14ac:dyDescent="0.3">
      <c r="A1" t="s">
        <v>14</v>
      </c>
      <c r="B1" t="s">
        <v>98</v>
      </c>
      <c r="C1" t="s">
        <v>104</v>
      </c>
      <c r="D1" t="s">
        <v>107</v>
      </c>
      <c r="E1" t="s">
        <v>1</v>
      </c>
      <c r="F1" t="s">
        <v>1</v>
      </c>
      <c r="G1" t="s">
        <v>107</v>
      </c>
      <c r="H1" t="s">
        <v>100</v>
      </c>
      <c r="I1" t="s">
        <v>99</v>
      </c>
      <c r="J1" t="s">
        <v>98</v>
      </c>
      <c r="K1" t="s">
        <v>111</v>
      </c>
      <c r="L1" t="s">
        <v>112</v>
      </c>
      <c r="M1" t="s">
        <v>113</v>
      </c>
    </row>
    <row r="2" spans="1:13" x14ac:dyDescent="0.3">
      <c r="B2" t="s">
        <v>105</v>
      </c>
      <c r="C2" t="s">
        <v>106</v>
      </c>
      <c r="D2" t="s">
        <v>108</v>
      </c>
      <c r="E2" t="s">
        <v>108</v>
      </c>
      <c r="F2" t="s">
        <v>109</v>
      </c>
      <c r="G2" t="s">
        <v>109</v>
      </c>
      <c r="J2" t="s">
        <v>110</v>
      </c>
      <c r="K2" t="s">
        <v>105</v>
      </c>
    </row>
    <row r="3" spans="1:13" x14ac:dyDescent="0.3">
      <c r="A3" t="s">
        <v>114</v>
      </c>
      <c r="B3" s="127">
        <v>10511</v>
      </c>
      <c r="C3" s="11">
        <v>-2.3999999999999998E-3</v>
      </c>
      <c r="D3" t="s">
        <v>101</v>
      </c>
      <c r="E3" t="s">
        <v>101</v>
      </c>
      <c r="F3" t="s">
        <v>101</v>
      </c>
      <c r="G3" t="s">
        <v>101</v>
      </c>
      <c r="H3" s="127">
        <v>10698.5</v>
      </c>
      <c r="I3" s="127">
        <v>10331</v>
      </c>
      <c r="J3" s="127">
        <v>10537</v>
      </c>
      <c r="K3" s="127">
        <v>269770307.19</v>
      </c>
      <c r="L3" s="11">
        <v>0</v>
      </c>
      <c r="M3">
        <v>0</v>
      </c>
    </row>
    <row r="4" spans="1:13" x14ac:dyDescent="0.3">
      <c r="A4" t="s">
        <v>115</v>
      </c>
      <c r="B4">
        <v>33.049999999999997</v>
      </c>
      <c r="C4" s="4">
        <v>0</v>
      </c>
      <c r="D4" t="s">
        <v>101</v>
      </c>
      <c r="E4" t="s">
        <v>101</v>
      </c>
      <c r="F4" t="s">
        <v>101</v>
      </c>
      <c r="G4" t="s">
        <v>101</v>
      </c>
      <c r="H4">
        <v>33.049999999999997</v>
      </c>
      <c r="I4">
        <v>33.049999999999997</v>
      </c>
      <c r="J4">
        <v>33.049999999999997</v>
      </c>
      <c r="K4">
        <v>0</v>
      </c>
      <c r="L4" s="11">
        <v>0</v>
      </c>
      <c r="M4">
        <v>0</v>
      </c>
    </row>
    <row r="5" spans="1:13" x14ac:dyDescent="0.3">
      <c r="A5" t="s">
        <v>116</v>
      </c>
      <c r="B5">
        <v>32.299999999999997</v>
      </c>
      <c r="C5" s="11">
        <v>1.5699999999999999E-2</v>
      </c>
      <c r="D5" t="s">
        <v>101</v>
      </c>
      <c r="E5" t="s">
        <v>101</v>
      </c>
      <c r="F5" t="s">
        <v>101</v>
      </c>
      <c r="G5" t="s">
        <v>101</v>
      </c>
      <c r="H5">
        <v>32.5</v>
      </c>
      <c r="I5">
        <v>31.8</v>
      </c>
      <c r="J5">
        <v>31.8</v>
      </c>
      <c r="K5" s="127">
        <v>58384.44</v>
      </c>
      <c r="L5" s="11">
        <v>0</v>
      </c>
      <c r="M5">
        <v>0</v>
      </c>
    </row>
    <row r="6" spans="1:13" x14ac:dyDescent="0.3">
      <c r="A6" t="s">
        <v>117</v>
      </c>
      <c r="B6" s="127">
        <v>9025</v>
      </c>
      <c r="C6" s="11">
        <v>1.12E-2</v>
      </c>
      <c r="D6" t="s">
        <v>101</v>
      </c>
      <c r="E6" t="s">
        <v>101</v>
      </c>
      <c r="F6" t="s">
        <v>101</v>
      </c>
      <c r="G6" t="s">
        <v>101</v>
      </c>
      <c r="H6" s="127">
        <v>9100</v>
      </c>
      <c r="I6" s="127">
        <v>8888</v>
      </c>
      <c r="J6" s="127">
        <v>8925</v>
      </c>
      <c r="K6" s="127">
        <v>18069180</v>
      </c>
      <c r="L6" s="11">
        <v>0</v>
      </c>
      <c r="M6">
        <v>0</v>
      </c>
    </row>
    <row r="7" spans="1:13" x14ac:dyDescent="0.3">
      <c r="A7" t="s">
        <v>118</v>
      </c>
      <c r="B7">
        <v>27</v>
      </c>
      <c r="C7" s="4">
        <v>0</v>
      </c>
      <c r="D7" t="s">
        <v>101</v>
      </c>
      <c r="E7" t="s">
        <v>101</v>
      </c>
      <c r="F7" t="s">
        <v>101</v>
      </c>
      <c r="G7" t="s">
        <v>101</v>
      </c>
      <c r="H7">
        <v>20.9</v>
      </c>
      <c r="I7">
        <v>20.9</v>
      </c>
      <c r="J7">
        <v>27</v>
      </c>
      <c r="K7">
        <v>0</v>
      </c>
      <c r="L7" s="11">
        <v>0</v>
      </c>
      <c r="M7">
        <v>0</v>
      </c>
    </row>
    <row r="8" spans="1:13" x14ac:dyDescent="0.3">
      <c r="A8" t="s">
        <v>119</v>
      </c>
      <c r="B8">
        <v>27.65</v>
      </c>
      <c r="C8" s="11">
        <v>3.1699999999999999E-2</v>
      </c>
      <c r="D8" t="s">
        <v>101</v>
      </c>
      <c r="E8" t="s">
        <v>101</v>
      </c>
      <c r="F8" t="s">
        <v>101</v>
      </c>
      <c r="G8" t="s">
        <v>101</v>
      </c>
      <c r="H8">
        <v>27.9</v>
      </c>
      <c r="I8">
        <v>26.19</v>
      </c>
      <c r="J8">
        <v>26.8</v>
      </c>
      <c r="K8" s="127">
        <v>34277.160000000003</v>
      </c>
      <c r="L8" s="11">
        <v>0</v>
      </c>
      <c r="M8">
        <v>0</v>
      </c>
    </row>
    <row r="9" spans="1:13" x14ac:dyDescent="0.3">
      <c r="A9" t="s">
        <v>120</v>
      </c>
      <c r="B9" s="127">
        <v>8676.5</v>
      </c>
      <c r="C9" s="11">
        <v>2.3699999999999999E-2</v>
      </c>
      <c r="D9" t="s">
        <v>101</v>
      </c>
      <c r="E9" t="s">
        <v>101</v>
      </c>
      <c r="F9" t="s">
        <v>101</v>
      </c>
      <c r="G9" t="s">
        <v>101</v>
      </c>
      <c r="H9" s="127">
        <v>8758</v>
      </c>
      <c r="I9" s="127">
        <v>8475</v>
      </c>
      <c r="J9" s="127">
        <v>8475</v>
      </c>
      <c r="K9" s="127">
        <v>2215541388.0100002</v>
      </c>
      <c r="L9" s="11">
        <v>0</v>
      </c>
      <c r="M9">
        <v>0</v>
      </c>
    </row>
    <row r="10" spans="1:13" x14ac:dyDescent="0.3">
      <c r="A10" t="s">
        <v>121</v>
      </c>
      <c r="B10">
        <v>24</v>
      </c>
      <c r="C10" s="4">
        <v>0</v>
      </c>
      <c r="D10" t="s">
        <v>101</v>
      </c>
      <c r="E10" t="s">
        <v>101</v>
      </c>
      <c r="F10" t="s">
        <v>101</v>
      </c>
      <c r="G10" t="s">
        <v>101</v>
      </c>
      <c r="H10">
        <v>24</v>
      </c>
      <c r="I10">
        <v>24</v>
      </c>
      <c r="J10">
        <v>24</v>
      </c>
      <c r="K10">
        <v>0</v>
      </c>
      <c r="L10" s="11">
        <v>0</v>
      </c>
      <c r="M10">
        <v>0</v>
      </c>
    </row>
    <row r="11" spans="1:13" x14ac:dyDescent="0.3">
      <c r="A11" t="s">
        <v>122</v>
      </c>
      <c r="B11">
        <v>26.55</v>
      </c>
      <c r="C11" s="11">
        <v>3.7999999999999999E-2</v>
      </c>
      <c r="D11" t="s">
        <v>101</v>
      </c>
      <c r="E11" t="s">
        <v>101</v>
      </c>
      <c r="F11" t="s">
        <v>101</v>
      </c>
      <c r="G11" t="s">
        <v>101</v>
      </c>
      <c r="H11">
        <v>26.75</v>
      </c>
      <c r="I11">
        <v>25.2</v>
      </c>
      <c r="J11">
        <v>25.58</v>
      </c>
      <c r="K11" s="127">
        <v>1594114.38</v>
      </c>
      <c r="L11" s="11">
        <v>0</v>
      </c>
      <c r="M11">
        <v>0</v>
      </c>
    </row>
    <row r="12" spans="1:13" x14ac:dyDescent="0.3">
      <c r="A12" t="s">
        <v>123</v>
      </c>
      <c r="B12" s="127">
        <v>8960</v>
      </c>
      <c r="C12" s="11">
        <v>7.6E-3</v>
      </c>
      <c r="D12" t="s">
        <v>101</v>
      </c>
      <c r="E12" t="s">
        <v>101</v>
      </c>
      <c r="F12" t="s">
        <v>101</v>
      </c>
      <c r="G12" t="s">
        <v>101</v>
      </c>
      <c r="H12" s="127">
        <v>9060</v>
      </c>
      <c r="I12" s="127">
        <v>8825</v>
      </c>
      <c r="J12" s="127">
        <v>8892</v>
      </c>
      <c r="K12" s="127">
        <v>47992433.829999998</v>
      </c>
      <c r="L12" s="11">
        <v>0</v>
      </c>
      <c r="M12">
        <v>0</v>
      </c>
    </row>
    <row r="13" spans="1:13" x14ac:dyDescent="0.3">
      <c r="A13" t="s">
        <v>124</v>
      </c>
      <c r="B13">
        <v>28.8</v>
      </c>
      <c r="C13" s="4">
        <v>0</v>
      </c>
      <c r="D13" t="s">
        <v>101</v>
      </c>
      <c r="E13" t="s">
        <v>101</v>
      </c>
      <c r="F13" t="s">
        <v>101</v>
      </c>
      <c r="G13" t="s">
        <v>101</v>
      </c>
      <c r="H13">
        <v>28.4</v>
      </c>
      <c r="I13">
        <v>28.4</v>
      </c>
      <c r="J13">
        <v>28.8</v>
      </c>
      <c r="K13">
        <v>0</v>
      </c>
      <c r="L13" s="11">
        <v>0</v>
      </c>
      <c r="M13">
        <v>0</v>
      </c>
    </row>
    <row r="14" spans="1:13" x14ac:dyDescent="0.3">
      <c r="A14" t="s">
        <v>125</v>
      </c>
      <c r="B14">
        <v>27.47</v>
      </c>
      <c r="C14" s="11">
        <v>2.8799999999999999E-2</v>
      </c>
      <c r="D14" t="s">
        <v>101</v>
      </c>
      <c r="E14" t="s">
        <v>101</v>
      </c>
      <c r="F14" t="s">
        <v>101</v>
      </c>
      <c r="G14" t="s">
        <v>101</v>
      </c>
      <c r="H14">
        <v>27.5</v>
      </c>
      <c r="I14">
        <v>26.7</v>
      </c>
      <c r="J14">
        <v>26.7</v>
      </c>
      <c r="K14" s="127">
        <v>9788.1</v>
      </c>
      <c r="L14" s="11">
        <v>0</v>
      </c>
      <c r="M14">
        <v>0</v>
      </c>
    </row>
    <row r="15" spans="1:13" x14ac:dyDescent="0.3">
      <c r="A15" t="s">
        <v>126</v>
      </c>
      <c r="B15" s="127">
        <v>9735</v>
      </c>
      <c r="C15" s="11">
        <v>-1.5E-3</v>
      </c>
      <c r="D15" t="s">
        <v>101</v>
      </c>
      <c r="E15" t="s">
        <v>101</v>
      </c>
      <c r="F15" t="s">
        <v>101</v>
      </c>
      <c r="G15" t="s">
        <v>101</v>
      </c>
      <c r="H15" s="127">
        <v>9855</v>
      </c>
      <c r="I15" s="127">
        <v>9600.5</v>
      </c>
      <c r="J15" s="127">
        <v>9750</v>
      </c>
      <c r="K15" s="127">
        <v>124445395.73999999</v>
      </c>
      <c r="L15" s="11">
        <v>0</v>
      </c>
      <c r="M15">
        <v>0</v>
      </c>
    </row>
    <row r="16" spans="1:13" x14ac:dyDescent="0.3">
      <c r="A16" t="s">
        <v>127</v>
      </c>
      <c r="B16">
        <v>32.5</v>
      </c>
      <c r="C16" s="4">
        <v>0</v>
      </c>
      <c r="D16" t="s">
        <v>101</v>
      </c>
      <c r="E16" t="s">
        <v>101</v>
      </c>
      <c r="F16" t="s">
        <v>101</v>
      </c>
      <c r="G16" t="s">
        <v>101</v>
      </c>
      <c r="H16">
        <v>32.5</v>
      </c>
      <c r="I16">
        <v>32.5</v>
      </c>
      <c r="J16">
        <v>32.5</v>
      </c>
      <c r="K16">
        <v>0</v>
      </c>
      <c r="L16" s="11">
        <v>0</v>
      </c>
      <c r="M16">
        <v>0</v>
      </c>
    </row>
    <row r="17" spans="1:13" x14ac:dyDescent="0.3">
      <c r="A17" t="s">
        <v>128</v>
      </c>
      <c r="B17">
        <v>30</v>
      </c>
      <c r="C17" s="4">
        <v>0</v>
      </c>
      <c r="D17" t="s">
        <v>101</v>
      </c>
      <c r="E17" t="s">
        <v>101</v>
      </c>
      <c r="F17" t="s">
        <v>101</v>
      </c>
      <c r="G17" t="s">
        <v>101</v>
      </c>
      <c r="H17">
        <v>30</v>
      </c>
      <c r="I17">
        <v>29.8</v>
      </c>
      <c r="J17">
        <v>30</v>
      </c>
      <c r="K17">
        <v>554.64</v>
      </c>
      <c r="L17" s="11">
        <v>0</v>
      </c>
      <c r="M17">
        <v>0</v>
      </c>
    </row>
    <row r="18" spans="1:13" x14ac:dyDescent="0.3">
      <c r="A18" t="s">
        <v>129</v>
      </c>
      <c r="B18">
        <v>41.5</v>
      </c>
      <c r="C18" s="4">
        <v>0</v>
      </c>
      <c r="D18" t="s">
        <v>101</v>
      </c>
      <c r="E18" t="s">
        <v>101</v>
      </c>
      <c r="F18" t="s">
        <v>101</v>
      </c>
      <c r="G18" t="s">
        <v>101</v>
      </c>
      <c r="H18">
        <v>41.5</v>
      </c>
      <c r="I18">
        <v>41.5</v>
      </c>
      <c r="J18">
        <v>41.5</v>
      </c>
      <c r="K18">
        <v>0</v>
      </c>
      <c r="L18" s="11">
        <v>0</v>
      </c>
      <c r="M18">
        <v>0</v>
      </c>
    </row>
    <row r="19" spans="1:13" x14ac:dyDescent="0.3">
      <c r="A19" t="s">
        <v>130</v>
      </c>
      <c r="B19" s="127">
        <v>13500</v>
      </c>
      <c r="C19" s="11">
        <v>3.0499999999999999E-2</v>
      </c>
      <c r="D19" t="s">
        <v>101</v>
      </c>
      <c r="E19" t="s">
        <v>101</v>
      </c>
      <c r="F19" t="s">
        <v>101</v>
      </c>
      <c r="G19" t="s">
        <v>101</v>
      </c>
      <c r="H19" s="127">
        <v>13754</v>
      </c>
      <c r="I19" s="127">
        <v>12950</v>
      </c>
      <c r="J19" s="127">
        <v>13100</v>
      </c>
      <c r="K19" s="127">
        <v>3818960.97</v>
      </c>
      <c r="L19" s="11">
        <v>0</v>
      </c>
      <c r="M19">
        <v>0</v>
      </c>
    </row>
    <row r="20" spans="1:13" x14ac:dyDescent="0.3">
      <c r="A20" t="s">
        <v>131</v>
      </c>
      <c r="B20" s="127">
        <v>9300</v>
      </c>
      <c r="C20" s="4">
        <v>0</v>
      </c>
      <c r="D20" t="s">
        <v>101</v>
      </c>
      <c r="E20" t="s">
        <v>101</v>
      </c>
      <c r="F20" t="s">
        <v>101</v>
      </c>
      <c r="G20" t="s">
        <v>101</v>
      </c>
      <c r="H20" s="127">
        <v>9300</v>
      </c>
      <c r="I20" s="127">
        <v>9300</v>
      </c>
      <c r="J20" s="127">
        <v>9300</v>
      </c>
      <c r="K20">
        <v>0</v>
      </c>
      <c r="L20" s="11">
        <v>0</v>
      </c>
      <c r="M20">
        <v>0</v>
      </c>
    </row>
    <row r="21" spans="1:13" x14ac:dyDescent="0.3">
      <c r="A21" t="s">
        <v>132</v>
      </c>
      <c r="B21">
        <v>39.799999999999997</v>
      </c>
      <c r="C21" s="11">
        <v>3.7000000000000002E-3</v>
      </c>
      <c r="D21" t="s">
        <v>101</v>
      </c>
      <c r="E21" t="s">
        <v>101</v>
      </c>
      <c r="F21" t="s">
        <v>101</v>
      </c>
      <c r="G21" t="s">
        <v>101</v>
      </c>
      <c r="H21">
        <v>0</v>
      </c>
      <c r="I21">
        <v>0</v>
      </c>
      <c r="J21">
        <v>39.65</v>
      </c>
      <c r="K21">
        <v>0</v>
      </c>
      <c r="L21" s="11">
        <v>0</v>
      </c>
      <c r="M21">
        <v>0</v>
      </c>
    </row>
    <row r="22" spans="1:13" x14ac:dyDescent="0.3">
      <c r="A22" t="s">
        <v>133</v>
      </c>
      <c r="B22">
        <v>34.200000000000003</v>
      </c>
      <c r="C22" s="11">
        <v>5.7999999999999996E-3</v>
      </c>
      <c r="D22" t="s">
        <v>101</v>
      </c>
      <c r="E22" t="s">
        <v>101</v>
      </c>
      <c r="F22" t="s">
        <v>101</v>
      </c>
      <c r="G22" t="s">
        <v>101</v>
      </c>
      <c r="H22">
        <v>34.5</v>
      </c>
      <c r="I22">
        <v>33.49</v>
      </c>
      <c r="J22">
        <v>34</v>
      </c>
      <c r="K22" s="127">
        <v>756082.49</v>
      </c>
      <c r="L22" s="11">
        <v>0</v>
      </c>
      <c r="M22">
        <v>0</v>
      </c>
    </row>
    <row r="23" spans="1:13" x14ac:dyDescent="0.3">
      <c r="A23" t="s">
        <v>134</v>
      </c>
      <c r="B23" s="127">
        <v>11400</v>
      </c>
      <c r="C23" s="11">
        <v>3.3E-3</v>
      </c>
      <c r="D23" t="s">
        <v>101</v>
      </c>
      <c r="E23" t="s">
        <v>101</v>
      </c>
      <c r="F23" t="s">
        <v>101</v>
      </c>
      <c r="G23" t="s">
        <v>101</v>
      </c>
      <c r="H23" s="127">
        <v>11400</v>
      </c>
      <c r="I23" s="127">
        <v>11300</v>
      </c>
      <c r="J23" s="127">
        <v>11362</v>
      </c>
      <c r="K23" s="127">
        <v>5430428.0999999996</v>
      </c>
      <c r="L23" s="11">
        <v>0</v>
      </c>
      <c r="M23">
        <v>0</v>
      </c>
    </row>
    <row r="24" spans="1:13" x14ac:dyDescent="0.3">
      <c r="A24" t="s">
        <v>135</v>
      </c>
      <c r="B24" s="127">
        <v>8600</v>
      </c>
      <c r="C24" s="4">
        <v>0</v>
      </c>
      <c r="D24" t="s">
        <v>101</v>
      </c>
      <c r="E24" t="s">
        <v>101</v>
      </c>
      <c r="F24" t="s">
        <v>101</v>
      </c>
      <c r="G24" t="s">
        <v>101</v>
      </c>
      <c r="H24" s="127">
        <v>8600</v>
      </c>
      <c r="I24" s="127">
        <v>8600</v>
      </c>
      <c r="J24" s="127">
        <v>8600</v>
      </c>
      <c r="K24">
        <v>0</v>
      </c>
      <c r="L24" s="11">
        <v>0</v>
      </c>
      <c r="M24">
        <v>0</v>
      </c>
    </row>
    <row r="25" spans="1:13" x14ac:dyDescent="0.3">
      <c r="A25" t="s">
        <v>136</v>
      </c>
      <c r="B25" s="127">
        <v>6250</v>
      </c>
      <c r="C25" s="4">
        <v>0</v>
      </c>
      <c r="D25" t="s">
        <v>101</v>
      </c>
      <c r="E25" t="s">
        <v>101</v>
      </c>
      <c r="F25" t="s">
        <v>101</v>
      </c>
      <c r="G25" t="s">
        <v>101</v>
      </c>
      <c r="H25" s="127">
        <v>6250</v>
      </c>
      <c r="I25" s="127">
        <v>6250</v>
      </c>
      <c r="J25" s="127">
        <v>6250</v>
      </c>
      <c r="K25">
        <v>0</v>
      </c>
      <c r="L25" s="11">
        <v>0</v>
      </c>
      <c r="M25">
        <v>0</v>
      </c>
    </row>
    <row r="26" spans="1:13" x14ac:dyDescent="0.3">
      <c r="A26" t="s">
        <v>137</v>
      </c>
      <c r="B26">
        <v>103.6</v>
      </c>
      <c r="C26" s="11">
        <v>-1.9E-3</v>
      </c>
      <c r="D26" t="s">
        <v>101</v>
      </c>
      <c r="E26" t="s">
        <v>101</v>
      </c>
      <c r="F26" t="s">
        <v>101</v>
      </c>
      <c r="G26" t="s">
        <v>101</v>
      </c>
      <c r="H26">
        <v>104.8</v>
      </c>
      <c r="I26">
        <v>103</v>
      </c>
      <c r="J26">
        <v>103.8</v>
      </c>
      <c r="K26" s="127">
        <v>3926028.9</v>
      </c>
      <c r="L26" s="11">
        <v>0</v>
      </c>
      <c r="M26">
        <v>0</v>
      </c>
    </row>
    <row r="27" spans="1:13" x14ac:dyDescent="0.3">
      <c r="A27" t="s">
        <v>138</v>
      </c>
      <c r="B27">
        <v>106.45</v>
      </c>
      <c r="C27" s="11">
        <v>4.1999999999999997E-3</v>
      </c>
      <c r="D27" t="s">
        <v>101</v>
      </c>
      <c r="E27" t="s">
        <v>101</v>
      </c>
      <c r="F27" t="s">
        <v>101</v>
      </c>
      <c r="G27" t="s">
        <v>101</v>
      </c>
      <c r="H27">
        <v>106.5</v>
      </c>
      <c r="I27">
        <v>105.5</v>
      </c>
      <c r="J27">
        <v>106</v>
      </c>
      <c r="K27" s="127">
        <v>1985849.71</v>
      </c>
      <c r="L27" s="11">
        <v>0</v>
      </c>
      <c r="M27">
        <v>0</v>
      </c>
    </row>
    <row r="28" spans="1:13" x14ac:dyDescent="0.3">
      <c r="A28" t="s">
        <v>139</v>
      </c>
      <c r="B28" s="127">
        <v>2140.2199999999998</v>
      </c>
      <c r="C28" s="4">
        <v>0</v>
      </c>
      <c r="D28" t="s">
        <v>101</v>
      </c>
      <c r="E28" t="s">
        <v>101</v>
      </c>
      <c r="F28" t="s">
        <v>101</v>
      </c>
      <c r="G28" t="s">
        <v>101</v>
      </c>
      <c r="H28">
        <v>0</v>
      </c>
      <c r="I28">
        <v>0</v>
      </c>
      <c r="J28" s="127">
        <v>2140.2199999999998</v>
      </c>
      <c r="K28">
        <v>0</v>
      </c>
      <c r="L28" s="11">
        <v>0</v>
      </c>
      <c r="M28">
        <v>0</v>
      </c>
    </row>
    <row r="29" spans="1:13" x14ac:dyDescent="0.3">
      <c r="A29" t="s">
        <v>140</v>
      </c>
      <c r="B29">
        <v>57.5</v>
      </c>
      <c r="C29" s="4">
        <v>0</v>
      </c>
      <c r="D29" t="s">
        <v>101</v>
      </c>
      <c r="E29" t="s">
        <v>101</v>
      </c>
      <c r="F29" t="s">
        <v>101</v>
      </c>
      <c r="G29" t="s">
        <v>101</v>
      </c>
      <c r="H29">
        <v>57.5</v>
      </c>
      <c r="I29">
        <v>57.5</v>
      </c>
      <c r="J29">
        <v>57.5</v>
      </c>
      <c r="K29">
        <v>0</v>
      </c>
      <c r="L29" s="11">
        <v>0</v>
      </c>
      <c r="M29">
        <v>0</v>
      </c>
    </row>
    <row r="30" spans="1:13" x14ac:dyDescent="0.3">
      <c r="A30" t="s">
        <v>141</v>
      </c>
      <c r="B30" s="127">
        <v>17300</v>
      </c>
      <c r="C30" s="11">
        <v>-3.61E-2</v>
      </c>
      <c r="D30" t="s">
        <v>101</v>
      </c>
      <c r="E30" t="s">
        <v>101</v>
      </c>
      <c r="F30" t="s">
        <v>101</v>
      </c>
      <c r="G30" t="s">
        <v>101</v>
      </c>
      <c r="H30" s="127">
        <v>17949</v>
      </c>
      <c r="I30" s="127">
        <v>17250</v>
      </c>
      <c r="J30" s="127">
        <v>17949</v>
      </c>
      <c r="K30" s="127">
        <v>78553119.319999993</v>
      </c>
      <c r="L30" s="11">
        <v>-6.8900000000000003E-2</v>
      </c>
      <c r="M30">
        <v>3.3424</v>
      </c>
    </row>
    <row r="31" spans="1:13" x14ac:dyDescent="0.3">
      <c r="A31" t="s">
        <v>142</v>
      </c>
      <c r="B31">
        <v>53.1</v>
      </c>
      <c r="C31" s="11">
        <v>-1.11E-2</v>
      </c>
      <c r="D31" t="s">
        <v>101</v>
      </c>
      <c r="E31" t="s">
        <v>101</v>
      </c>
      <c r="F31" t="s">
        <v>101</v>
      </c>
      <c r="G31" t="s">
        <v>101</v>
      </c>
      <c r="H31">
        <v>53.4</v>
      </c>
      <c r="I31">
        <v>53</v>
      </c>
      <c r="J31">
        <v>53.7</v>
      </c>
      <c r="K31" s="127">
        <v>26342.61</v>
      </c>
      <c r="L31" s="11">
        <v>-6.8900000000000003E-2</v>
      </c>
      <c r="M31">
        <v>3.3424</v>
      </c>
    </row>
    <row r="32" spans="1:13" x14ac:dyDescent="0.3">
      <c r="A32" t="s">
        <v>143</v>
      </c>
      <c r="B32" s="127">
        <v>2680</v>
      </c>
      <c r="C32" s="11">
        <v>-7.7000000000000002E-3</v>
      </c>
      <c r="D32" t="s">
        <v>101</v>
      </c>
      <c r="E32" t="s">
        <v>101</v>
      </c>
      <c r="F32" t="s">
        <v>101</v>
      </c>
      <c r="G32" t="s">
        <v>101</v>
      </c>
      <c r="H32" s="127">
        <v>2700</v>
      </c>
      <c r="I32" s="127">
        <v>2665</v>
      </c>
      <c r="J32" s="127">
        <v>2701</v>
      </c>
      <c r="K32" s="127">
        <v>614377.27</v>
      </c>
      <c r="L32" s="11">
        <v>4.1700000000000001E-2</v>
      </c>
      <c r="M32">
        <v>14.504099999999999</v>
      </c>
    </row>
    <row r="33" spans="1:13" x14ac:dyDescent="0.3">
      <c r="A33" t="s">
        <v>144</v>
      </c>
      <c r="B33" s="127">
        <v>4975</v>
      </c>
      <c r="C33" s="11">
        <v>-1.8E-3</v>
      </c>
      <c r="D33" t="s">
        <v>101</v>
      </c>
      <c r="E33" t="s">
        <v>101</v>
      </c>
      <c r="F33" t="s">
        <v>101</v>
      </c>
      <c r="G33" t="s">
        <v>101</v>
      </c>
      <c r="H33" s="127">
        <v>5000</v>
      </c>
      <c r="I33" s="127">
        <v>4900</v>
      </c>
      <c r="J33" s="127">
        <v>4984</v>
      </c>
      <c r="K33" s="127">
        <v>12476405.24</v>
      </c>
      <c r="L33" s="11">
        <v>-5.1000000000000004E-3</v>
      </c>
      <c r="M33">
        <v>7.5392999999999999</v>
      </c>
    </row>
    <row r="34" spans="1:13" x14ac:dyDescent="0.3">
      <c r="A34" t="s">
        <v>145</v>
      </c>
      <c r="B34" s="127">
        <v>4950</v>
      </c>
      <c r="C34" s="11">
        <v>-9.7999999999999997E-3</v>
      </c>
      <c r="D34" t="s">
        <v>101</v>
      </c>
      <c r="E34" t="s">
        <v>101</v>
      </c>
      <c r="F34" t="s">
        <v>101</v>
      </c>
      <c r="G34" t="s">
        <v>101</v>
      </c>
      <c r="H34" s="127">
        <v>4950</v>
      </c>
      <c r="I34" s="127">
        <v>4950</v>
      </c>
      <c r="J34" s="127">
        <v>4999</v>
      </c>
      <c r="K34" s="127">
        <v>25690.5</v>
      </c>
      <c r="L34" s="11">
        <v>1.0999999999999999E-2</v>
      </c>
      <c r="M34">
        <v>7.3338000000000001</v>
      </c>
    </row>
    <row r="35" spans="1:13" x14ac:dyDescent="0.3">
      <c r="A35" t="s">
        <v>146</v>
      </c>
      <c r="B35" s="127">
        <v>9697</v>
      </c>
      <c r="C35" s="11">
        <v>4.7999999999999996E-3</v>
      </c>
      <c r="D35" t="s">
        <v>101</v>
      </c>
      <c r="E35" t="s">
        <v>101</v>
      </c>
      <c r="F35" t="s">
        <v>101</v>
      </c>
      <c r="G35" t="s">
        <v>101</v>
      </c>
      <c r="H35" s="127">
        <v>9900</v>
      </c>
      <c r="I35" s="127">
        <v>9560</v>
      </c>
      <c r="J35" s="127">
        <v>9650</v>
      </c>
      <c r="K35" s="127">
        <v>4185774.85</v>
      </c>
      <c r="L35" s="11">
        <v>0</v>
      </c>
      <c r="M35">
        <v>0</v>
      </c>
    </row>
    <row r="36" spans="1:13" x14ac:dyDescent="0.3">
      <c r="A36" t="s">
        <v>147</v>
      </c>
      <c r="B36">
        <v>33.5</v>
      </c>
      <c r="C36" s="4">
        <v>0</v>
      </c>
      <c r="D36" t="s">
        <v>101</v>
      </c>
      <c r="E36" t="s">
        <v>101</v>
      </c>
      <c r="F36" t="s">
        <v>101</v>
      </c>
      <c r="G36" t="s">
        <v>101</v>
      </c>
      <c r="H36">
        <v>33.5</v>
      </c>
      <c r="I36">
        <v>33.5</v>
      </c>
      <c r="J36">
        <v>33.5</v>
      </c>
      <c r="K36">
        <v>0</v>
      </c>
      <c r="L36" s="11">
        <v>0</v>
      </c>
      <c r="M36">
        <v>0</v>
      </c>
    </row>
    <row r="37" spans="1:13" x14ac:dyDescent="0.3">
      <c r="A37" t="s">
        <v>148</v>
      </c>
      <c r="B37">
        <v>29.92</v>
      </c>
      <c r="C37" s="11">
        <v>3.8699999999999998E-2</v>
      </c>
      <c r="D37" t="s">
        <v>101</v>
      </c>
      <c r="E37" t="s">
        <v>101</v>
      </c>
      <c r="F37" t="s">
        <v>101</v>
      </c>
      <c r="G37" t="s">
        <v>101</v>
      </c>
      <c r="H37">
        <v>30</v>
      </c>
      <c r="I37">
        <v>28.01</v>
      </c>
      <c r="J37">
        <v>28.8</v>
      </c>
      <c r="K37" s="127">
        <v>4879.1000000000004</v>
      </c>
      <c r="L37" s="11">
        <v>0</v>
      </c>
      <c r="M37">
        <v>0</v>
      </c>
    </row>
    <row r="38" spans="1:13" x14ac:dyDescent="0.3">
      <c r="A38" t="s">
        <v>149</v>
      </c>
      <c r="B38" s="127">
        <v>9930</v>
      </c>
      <c r="C38" s="11">
        <v>1.4800000000000001E-2</v>
      </c>
      <c r="D38" t="s">
        <v>101</v>
      </c>
      <c r="E38" t="s">
        <v>101</v>
      </c>
      <c r="F38" t="s">
        <v>101</v>
      </c>
      <c r="G38" t="s">
        <v>101</v>
      </c>
      <c r="H38" s="127">
        <v>9978.5</v>
      </c>
      <c r="I38" s="127">
        <v>9785</v>
      </c>
      <c r="J38" s="127">
        <v>9785</v>
      </c>
      <c r="K38" s="127">
        <v>5183874755.8599997</v>
      </c>
      <c r="L38" s="11">
        <v>0</v>
      </c>
      <c r="M38">
        <v>0</v>
      </c>
    </row>
    <row r="39" spans="1:13" x14ac:dyDescent="0.3">
      <c r="A39" t="s">
        <v>150</v>
      </c>
      <c r="B39">
        <v>29.7</v>
      </c>
      <c r="C39" s="11">
        <v>1.5299999999999999E-2</v>
      </c>
      <c r="D39" t="s">
        <v>101</v>
      </c>
      <c r="E39" t="s">
        <v>101</v>
      </c>
      <c r="F39" t="s">
        <v>101</v>
      </c>
      <c r="G39" t="s">
        <v>101</v>
      </c>
      <c r="H39">
        <v>29.7</v>
      </c>
      <c r="I39">
        <v>29</v>
      </c>
      <c r="J39">
        <v>29.25</v>
      </c>
      <c r="K39" s="127">
        <v>153806.21</v>
      </c>
      <c r="L39" s="11">
        <v>0</v>
      </c>
      <c r="M39">
        <v>0</v>
      </c>
    </row>
    <row r="40" spans="1:13" x14ac:dyDescent="0.3">
      <c r="A40" t="s">
        <v>151</v>
      </c>
      <c r="B40">
        <v>30.33</v>
      </c>
      <c r="C40" s="11">
        <v>2.2599999999999999E-2</v>
      </c>
      <c r="D40" t="s">
        <v>101</v>
      </c>
      <c r="E40" t="s">
        <v>101</v>
      </c>
      <c r="F40" t="s">
        <v>101</v>
      </c>
      <c r="G40" t="s">
        <v>101</v>
      </c>
      <c r="H40">
        <v>30.49</v>
      </c>
      <c r="I40">
        <v>29.45</v>
      </c>
      <c r="J40">
        <v>29.66</v>
      </c>
      <c r="K40" s="127">
        <v>8348599.5099999998</v>
      </c>
      <c r="L40" s="11">
        <v>0</v>
      </c>
      <c r="M40">
        <v>0</v>
      </c>
    </row>
    <row r="41" spans="1:13" x14ac:dyDescent="0.3">
      <c r="A41" t="s">
        <v>152</v>
      </c>
      <c r="B41" s="127">
        <v>9330</v>
      </c>
      <c r="C41" s="11">
        <v>1.9599999999999999E-2</v>
      </c>
      <c r="D41" t="s">
        <v>101</v>
      </c>
      <c r="E41" t="s">
        <v>101</v>
      </c>
      <c r="F41" t="s">
        <v>101</v>
      </c>
      <c r="G41" t="s">
        <v>101</v>
      </c>
      <c r="H41" s="127">
        <v>9500</v>
      </c>
      <c r="I41" s="127">
        <v>9150</v>
      </c>
      <c r="J41" s="127">
        <v>9150</v>
      </c>
      <c r="K41" s="127">
        <v>160425182.33000001</v>
      </c>
      <c r="L41" s="11">
        <v>0</v>
      </c>
      <c r="M41">
        <v>0</v>
      </c>
    </row>
    <row r="42" spans="1:13" x14ac:dyDescent="0.3">
      <c r="A42" t="s">
        <v>153</v>
      </c>
      <c r="B42">
        <v>27.8</v>
      </c>
      <c r="C42" s="11">
        <v>4.6600000000000003E-2</v>
      </c>
      <c r="D42" t="s">
        <v>101</v>
      </c>
      <c r="E42" t="s">
        <v>101</v>
      </c>
      <c r="F42" t="s">
        <v>101</v>
      </c>
      <c r="G42" t="s">
        <v>101</v>
      </c>
      <c r="H42">
        <v>0</v>
      </c>
      <c r="I42">
        <v>0</v>
      </c>
      <c r="J42">
        <v>26.56</v>
      </c>
      <c r="K42">
        <v>0</v>
      </c>
      <c r="L42" s="11">
        <v>0</v>
      </c>
      <c r="M42">
        <v>0</v>
      </c>
    </row>
    <row r="43" spans="1:13" x14ac:dyDescent="0.3">
      <c r="A43" t="s">
        <v>154</v>
      </c>
      <c r="B43">
        <v>28.54</v>
      </c>
      <c r="C43" s="11">
        <v>2.07E-2</v>
      </c>
      <c r="D43" t="s">
        <v>101</v>
      </c>
      <c r="E43" t="s">
        <v>101</v>
      </c>
      <c r="F43" t="s">
        <v>101</v>
      </c>
      <c r="G43" t="s">
        <v>101</v>
      </c>
      <c r="H43">
        <v>30</v>
      </c>
      <c r="I43">
        <v>27.26</v>
      </c>
      <c r="J43">
        <v>27.96</v>
      </c>
      <c r="K43" s="127">
        <v>26484.13</v>
      </c>
      <c r="L43" s="11">
        <v>0</v>
      </c>
      <c r="M43">
        <v>0</v>
      </c>
    </row>
    <row r="44" spans="1:13" x14ac:dyDescent="0.3">
      <c r="A44" t="s">
        <v>155</v>
      </c>
      <c r="B44" s="127">
        <v>11350</v>
      </c>
      <c r="C44" s="11">
        <v>4.8999999999999998E-3</v>
      </c>
      <c r="D44" t="s">
        <v>101</v>
      </c>
      <c r="E44" t="s">
        <v>101</v>
      </c>
      <c r="F44" t="s">
        <v>101</v>
      </c>
      <c r="G44" t="s">
        <v>101</v>
      </c>
      <c r="H44" s="127">
        <v>11550</v>
      </c>
      <c r="I44" s="127">
        <v>11205</v>
      </c>
      <c r="J44" s="127">
        <v>11294</v>
      </c>
      <c r="K44" s="127">
        <v>110565482.19</v>
      </c>
      <c r="L44" s="11">
        <v>0</v>
      </c>
      <c r="M44">
        <v>0</v>
      </c>
    </row>
    <row r="45" spans="1:13" x14ac:dyDescent="0.3">
      <c r="A45" t="s">
        <v>156</v>
      </c>
      <c r="B45">
        <v>31.9</v>
      </c>
      <c r="C45" s="4">
        <v>0</v>
      </c>
      <c r="D45" t="s">
        <v>101</v>
      </c>
      <c r="E45" t="s">
        <v>101</v>
      </c>
      <c r="F45" t="s">
        <v>101</v>
      </c>
      <c r="G45" t="s">
        <v>101</v>
      </c>
      <c r="H45">
        <v>31.9</v>
      </c>
      <c r="I45">
        <v>31.9</v>
      </c>
      <c r="J45">
        <v>31.9</v>
      </c>
      <c r="K45">
        <v>0</v>
      </c>
      <c r="L45" s="11">
        <v>0</v>
      </c>
      <c r="M45">
        <v>0</v>
      </c>
    </row>
    <row r="46" spans="1:13" x14ac:dyDescent="0.3">
      <c r="A46" t="s">
        <v>157</v>
      </c>
      <c r="B46">
        <v>35</v>
      </c>
      <c r="C46" s="11">
        <v>1.44E-2</v>
      </c>
      <c r="D46" t="s">
        <v>101</v>
      </c>
      <c r="E46" t="s">
        <v>101</v>
      </c>
      <c r="F46" t="s">
        <v>101</v>
      </c>
      <c r="G46" t="s">
        <v>101</v>
      </c>
      <c r="H46">
        <v>36.4</v>
      </c>
      <c r="I46">
        <v>34.42</v>
      </c>
      <c r="J46">
        <v>34.5</v>
      </c>
      <c r="K46" s="127">
        <v>13153.29</v>
      </c>
      <c r="L46" s="11">
        <v>0</v>
      </c>
      <c r="M46">
        <v>0</v>
      </c>
    </row>
    <row r="47" spans="1:13" x14ac:dyDescent="0.3">
      <c r="A47" t="s">
        <v>158</v>
      </c>
      <c r="B47" s="127">
        <v>10419</v>
      </c>
      <c r="C47" s="11">
        <v>8.0999999999999996E-3</v>
      </c>
      <c r="D47" t="s">
        <v>101</v>
      </c>
      <c r="E47" t="s">
        <v>101</v>
      </c>
      <c r="F47" t="s">
        <v>101</v>
      </c>
      <c r="G47" t="s">
        <v>101</v>
      </c>
      <c r="H47" s="127">
        <v>10631</v>
      </c>
      <c r="I47" s="127">
        <v>10155</v>
      </c>
      <c r="J47" s="127">
        <v>10335</v>
      </c>
      <c r="K47" s="127">
        <v>286927365.58999997</v>
      </c>
      <c r="L47" s="11">
        <v>0</v>
      </c>
      <c r="M47">
        <v>0</v>
      </c>
    </row>
    <row r="48" spans="1:13" x14ac:dyDescent="0.3">
      <c r="A48" t="s">
        <v>159</v>
      </c>
      <c r="B48">
        <v>28.14</v>
      </c>
      <c r="C48" s="4">
        <v>0</v>
      </c>
      <c r="D48" t="s">
        <v>101</v>
      </c>
      <c r="E48" t="s">
        <v>101</v>
      </c>
      <c r="F48" t="s">
        <v>101</v>
      </c>
      <c r="G48" t="s">
        <v>101</v>
      </c>
      <c r="H48">
        <v>28.25</v>
      </c>
      <c r="I48">
        <v>27.75</v>
      </c>
      <c r="J48">
        <v>28.14</v>
      </c>
      <c r="K48">
        <v>0</v>
      </c>
      <c r="L48" s="11">
        <v>0</v>
      </c>
      <c r="M48">
        <v>0</v>
      </c>
    </row>
    <row r="49" spans="1:13" x14ac:dyDescent="0.3">
      <c r="A49" t="s">
        <v>160</v>
      </c>
      <c r="B49">
        <v>31.5</v>
      </c>
      <c r="C49" s="11">
        <v>1.61E-2</v>
      </c>
      <c r="D49" t="s">
        <v>101</v>
      </c>
      <c r="E49" t="s">
        <v>101</v>
      </c>
      <c r="F49" t="s">
        <v>101</v>
      </c>
      <c r="G49" t="s">
        <v>101</v>
      </c>
      <c r="H49">
        <v>31.5</v>
      </c>
      <c r="I49">
        <v>31</v>
      </c>
      <c r="J49">
        <v>31</v>
      </c>
      <c r="K49" s="127">
        <v>1959.96</v>
      </c>
      <c r="L49" s="11">
        <v>0</v>
      </c>
      <c r="M49">
        <v>0</v>
      </c>
    </row>
    <row r="50" spans="1:13" x14ac:dyDescent="0.3">
      <c r="A50" t="s">
        <v>161</v>
      </c>
      <c r="B50" s="127">
        <v>9550</v>
      </c>
      <c r="C50" s="11">
        <v>5.1999999999999998E-3</v>
      </c>
      <c r="D50" t="s">
        <v>101</v>
      </c>
      <c r="E50" t="s">
        <v>101</v>
      </c>
      <c r="F50" t="s">
        <v>101</v>
      </c>
      <c r="G50" t="s">
        <v>101</v>
      </c>
      <c r="H50" s="127">
        <v>9900</v>
      </c>
      <c r="I50" s="127">
        <v>9358</v>
      </c>
      <c r="J50" s="127">
        <v>9500</v>
      </c>
      <c r="K50" s="127">
        <v>2319529.15</v>
      </c>
      <c r="L50" s="11">
        <v>0</v>
      </c>
      <c r="M50">
        <v>0</v>
      </c>
    </row>
    <row r="51" spans="1:13" x14ac:dyDescent="0.3">
      <c r="A51" t="s">
        <v>162</v>
      </c>
      <c r="B51">
        <v>29.15</v>
      </c>
      <c r="C51" s="4">
        <v>0</v>
      </c>
      <c r="D51" t="s">
        <v>101</v>
      </c>
      <c r="E51" t="s">
        <v>101</v>
      </c>
      <c r="F51" t="s">
        <v>101</v>
      </c>
      <c r="G51" t="s">
        <v>101</v>
      </c>
      <c r="H51">
        <v>29.15</v>
      </c>
      <c r="I51">
        <v>29.15</v>
      </c>
      <c r="J51">
        <v>29.15</v>
      </c>
      <c r="K51">
        <v>0</v>
      </c>
      <c r="L51" s="11">
        <v>0</v>
      </c>
      <c r="M51">
        <v>0</v>
      </c>
    </row>
    <row r="52" spans="1:13" x14ac:dyDescent="0.3">
      <c r="A52" t="s">
        <v>163</v>
      </c>
      <c r="B52">
        <v>29.1</v>
      </c>
      <c r="C52" s="11">
        <v>2.46E-2</v>
      </c>
      <c r="D52" t="s">
        <v>101</v>
      </c>
      <c r="E52" t="s">
        <v>101</v>
      </c>
      <c r="F52" t="s">
        <v>101</v>
      </c>
      <c r="G52" t="s">
        <v>101</v>
      </c>
      <c r="H52">
        <v>29.5</v>
      </c>
      <c r="I52">
        <v>28.59</v>
      </c>
      <c r="J52">
        <v>28.4</v>
      </c>
      <c r="K52" s="127">
        <v>2186.35</v>
      </c>
      <c r="L52" s="11">
        <v>0</v>
      </c>
      <c r="M52">
        <v>0</v>
      </c>
    </row>
    <row r="53" spans="1:13" x14ac:dyDescent="0.3">
      <c r="A53" t="s">
        <v>164</v>
      </c>
      <c r="B53" s="127">
        <v>2001</v>
      </c>
      <c r="C53" s="11">
        <v>-9.7999999999999997E-3</v>
      </c>
      <c r="D53" t="s">
        <v>101</v>
      </c>
      <c r="E53" t="s">
        <v>101</v>
      </c>
      <c r="F53" t="s">
        <v>101</v>
      </c>
      <c r="G53" t="s">
        <v>101</v>
      </c>
      <c r="H53" s="127">
        <v>2001</v>
      </c>
      <c r="I53" s="127">
        <v>2000.5</v>
      </c>
      <c r="J53" s="127">
        <v>2021</v>
      </c>
      <c r="K53" s="127">
        <v>54855.79</v>
      </c>
      <c r="L53" s="11">
        <v>4.7100000000000003E-2</v>
      </c>
      <c r="M53">
        <v>11.8919</v>
      </c>
    </row>
    <row r="54" spans="1:13" x14ac:dyDescent="0.3">
      <c r="A54" t="s">
        <v>165</v>
      </c>
      <c r="B54" s="127">
        <v>2090</v>
      </c>
      <c r="C54" s="11">
        <v>-2.06E-2</v>
      </c>
      <c r="D54" t="s">
        <v>101</v>
      </c>
      <c r="E54" t="s">
        <v>101</v>
      </c>
      <c r="F54" t="s">
        <v>101</v>
      </c>
      <c r="G54" t="s">
        <v>101</v>
      </c>
      <c r="H54" s="127">
        <v>2130</v>
      </c>
      <c r="I54" s="127">
        <v>2080</v>
      </c>
      <c r="J54" s="127">
        <v>2134</v>
      </c>
      <c r="K54" s="127">
        <v>13045161.609999999</v>
      </c>
      <c r="L54" s="11">
        <v>2.86E-2</v>
      </c>
      <c r="M54">
        <v>12.2339</v>
      </c>
    </row>
    <row r="55" spans="1:13" x14ac:dyDescent="0.3">
      <c r="A55" t="s">
        <v>166</v>
      </c>
      <c r="B55">
        <v>107.45</v>
      </c>
      <c r="C55" s="11">
        <v>1.2999999999999999E-3</v>
      </c>
      <c r="D55" t="s">
        <v>101</v>
      </c>
      <c r="E55" t="s">
        <v>101</v>
      </c>
      <c r="F55" t="s">
        <v>101</v>
      </c>
      <c r="G55" t="s">
        <v>101</v>
      </c>
      <c r="H55">
        <v>107.9</v>
      </c>
      <c r="I55">
        <v>106.05</v>
      </c>
      <c r="J55">
        <v>107.3</v>
      </c>
      <c r="K55" s="127">
        <v>20455771.5</v>
      </c>
      <c r="L55" s="11">
        <v>0</v>
      </c>
      <c r="M55">
        <v>0</v>
      </c>
    </row>
    <row r="56" spans="1:13" x14ac:dyDescent="0.3">
      <c r="A56" t="s">
        <v>167</v>
      </c>
      <c r="B56">
        <v>106.5</v>
      </c>
      <c r="C56" s="4">
        <v>0</v>
      </c>
      <c r="D56" t="s">
        <v>101</v>
      </c>
      <c r="E56" t="s">
        <v>101</v>
      </c>
      <c r="F56" t="s">
        <v>101</v>
      </c>
      <c r="G56" t="s">
        <v>101</v>
      </c>
      <c r="H56">
        <v>106.5</v>
      </c>
      <c r="I56">
        <v>104.5</v>
      </c>
      <c r="J56">
        <v>106.5</v>
      </c>
      <c r="K56" s="127">
        <v>445265.42</v>
      </c>
      <c r="L56" s="11">
        <v>0</v>
      </c>
      <c r="M56">
        <v>0</v>
      </c>
    </row>
    <row r="57" spans="1:13" x14ac:dyDescent="0.3">
      <c r="A57" t="s">
        <v>168</v>
      </c>
      <c r="B57">
        <v>80.5</v>
      </c>
      <c r="C57" s="4">
        <v>0</v>
      </c>
      <c r="D57" t="s">
        <v>101</v>
      </c>
      <c r="E57" t="s">
        <v>101</v>
      </c>
      <c r="F57" t="s">
        <v>101</v>
      </c>
      <c r="G57" t="s">
        <v>101</v>
      </c>
      <c r="H57">
        <v>78.5</v>
      </c>
      <c r="I57">
        <v>78.5</v>
      </c>
      <c r="J57">
        <v>80.5</v>
      </c>
      <c r="K57">
        <v>0</v>
      </c>
      <c r="L57" s="11">
        <v>0</v>
      </c>
      <c r="M57">
        <v>0</v>
      </c>
    </row>
    <row r="58" spans="1:13" x14ac:dyDescent="0.3">
      <c r="A58" t="s">
        <v>169</v>
      </c>
      <c r="B58" s="127">
        <v>27000</v>
      </c>
      <c r="C58" s="11">
        <v>7.4000000000000003E-3</v>
      </c>
      <c r="D58" t="s">
        <v>101</v>
      </c>
      <c r="E58" t="s">
        <v>101</v>
      </c>
      <c r="F58" t="s">
        <v>101</v>
      </c>
      <c r="G58" t="s">
        <v>101</v>
      </c>
      <c r="H58" s="127">
        <v>27000</v>
      </c>
      <c r="I58" s="127">
        <v>26800</v>
      </c>
      <c r="J58" s="127">
        <v>26800</v>
      </c>
      <c r="K58" s="127">
        <v>3494000</v>
      </c>
      <c r="L58" s="11">
        <v>0</v>
      </c>
      <c r="M58">
        <v>0</v>
      </c>
    </row>
    <row r="59" spans="1:13" x14ac:dyDescent="0.3">
      <c r="A59" t="s">
        <v>170</v>
      </c>
      <c r="B59" s="127">
        <v>5367</v>
      </c>
      <c r="C59" s="4">
        <v>0</v>
      </c>
      <c r="D59" t="s">
        <v>101</v>
      </c>
      <c r="E59" t="s">
        <v>101</v>
      </c>
      <c r="F59" t="s">
        <v>101</v>
      </c>
      <c r="G59" t="s">
        <v>101</v>
      </c>
      <c r="H59" s="127">
        <v>5367</v>
      </c>
      <c r="I59" s="127">
        <v>5367</v>
      </c>
      <c r="J59" s="127">
        <v>5367</v>
      </c>
      <c r="K59">
        <v>0</v>
      </c>
      <c r="L59" s="11">
        <v>0</v>
      </c>
      <c r="M59">
        <v>0</v>
      </c>
    </row>
    <row r="60" spans="1:13" x14ac:dyDescent="0.3">
      <c r="A60" t="s">
        <v>171</v>
      </c>
      <c r="B60">
        <v>800</v>
      </c>
      <c r="C60" s="11">
        <v>-3.7000000000000002E-3</v>
      </c>
      <c r="D60" t="s">
        <v>101</v>
      </c>
      <c r="E60" t="s">
        <v>101</v>
      </c>
      <c r="F60" t="s">
        <v>101</v>
      </c>
      <c r="G60" t="s">
        <v>101</v>
      </c>
      <c r="H60">
        <v>824</v>
      </c>
      <c r="I60">
        <v>788.5</v>
      </c>
      <c r="J60">
        <v>803</v>
      </c>
      <c r="K60" s="127">
        <v>875191.72</v>
      </c>
      <c r="L60" s="11">
        <v>-0.2306</v>
      </c>
      <c r="M60">
        <v>2.2212000000000001</v>
      </c>
    </row>
    <row r="61" spans="1:13" x14ac:dyDescent="0.3">
      <c r="A61" t="s">
        <v>172</v>
      </c>
      <c r="B61" s="127">
        <v>21807.5</v>
      </c>
      <c r="C61" s="4">
        <v>0</v>
      </c>
      <c r="D61" t="s">
        <v>101</v>
      </c>
      <c r="E61" t="s">
        <v>101</v>
      </c>
      <c r="F61" t="s">
        <v>101</v>
      </c>
      <c r="G61" t="s">
        <v>101</v>
      </c>
      <c r="H61" s="127">
        <v>21807.5</v>
      </c>
      <c r="I61" s="127">
        <v>21807.5</v>
      </c>
      <c r="J61" s="127">
        <v>21807.5</v>
      </c>
      <c r="K61">
        <v>0</v>
      </c>
      <c r="L61" s="11">
        <v>0</v>
      </c>
      <c r="M61">
        <v>0</v>
      </c>
    </row>
    <row r="62" spans="1:13" x14ac:dyDescent="0.3">
      <c r="A62" t="s">
        <v>173</v>
      </c>
      <c r="B62" s="127">
        <v>24396</v>
      </c>
      <c r="C62" s="4">
        <v>0</v>
      </c>
      <c r="D62" t="s">
        <v>101</v>
      </c>
      <c r="E62" t="s">
        <v>101</v>
      </c>
      <c r="F62" t="s">
        <v>101</v>
      </c>
      <c r="G62" t="s">
        <v>101</v>
      </c>
      <c r="H62" s="127">
        <v>24396</v>
      </c>
      <c r="I62" s="127">
        <v>24396</v>
      </c>
      <c r="J62" s="127">
        <v>24396</v>
      </c>
      <c r="K62">
        <v>0</v>
      </c>
      <c r="L62" s="11">
        <v>0</v>
      </c>
      <c r="M62">
        <v>0</v>
      </c>
    </row>
    <row r="63" spans="1:13" x14ac:dyDescent="0.3">
      <c r="A63" t="s">
        <v>174</v>
      </c>
      <c r="B63" s="127">
        <v>1060</v>
      </c>
      <c r="C63" s="4">
        <v>0</v>
      </c>
      <c r="D63" t="s">
        <v>101</v>
      </c>
      <c r="E63" t="s">
        <v>101</v>
      </c>
      <c r="F63" t="s">
        <v>101</v>
      </c>
      <c r="G63" t="s">
        <v>101</v>
      </c>
      <c r="H63">
        <v>0</v>
      </c>
      <c r="I63">
        <v>0</v>
      </c>
      <c r="J63" s="127">
        <v>1060</v>
      </c>
      <c r="K63">
        <v>0</v>
      </c>
      <c r="L63" s="11">
        <v>-0.13600000000000001</v>
      </c>
      <c r="M63">
        <v>0.95130000000000003</v>
      </c>
    </row>
    <row r="64" spans="1:13" x14ac:dyDescent="0.3">
      <c r="A64" t="s">
        <v>175</v>
      </c>
      <c r="B64">
        <v>36.96</v>
      </c>
      <c r="C64" s="4">
        <v>0</v>
      </c>
      <c r="D64" t="s">
        <v>101</v>
      </c>
      <c r="E64" t="s">
        <v>101</v>
      </c>
      <c r="F64" t="s">
        <v>101</v>
      </c>
      <c r="G64" t="s">
        <v>101</v>
      </c>
      <c r="H64">
        <v>27.25</v>
      </c>
      <c r="I64">
        <v>27.25</v>
      </c>
      <c r="J64">
        <v>36.96</v>
      </c>
      <c r="K64">
        <v>0</v>
      </c>
      <c r="L64" s="11">
        <v>0</v>
      </c>
      <c r="M64">
        <v>0</v>
      </c>
    </row>
    <row r="65" spans="1:13" x14ac:dyDescent="0.3">
      <c r="A65" t="s">
        <v>176</v>
      </c>
      <c r="B65">
        <v>51</v>
      </c>
      <c r="C65" s="4">
        <v>0</v>
      </c>
      <c r="D65" t="s">
        <v>101</v>
      </c>
      <c r="E65" t="s">
        <v>101</v>
      </c>
      <c r="F65" t="s">
        <v>101</v>
      </c>
      <c r="G65" t="s">
        <v>101</v>
      </c>
      <c r="H65">
        <v>51</v>
      </c>
      <c r="I65">
        <v>51</v>
      </c>
      <c r="J65">
        <v>51</v>
      </c>
      <c r="K65">
        <v>0</v>
      </c>
      <c r="L65" s="11">
        <v>0</v>
      </c>
      <c r="M65">
        <v>0</v>
      </c>
    </row>
    <row r="66" spans="1:13" x14ac:dyDescent="0.3">
      <c r="A66" t="s">
        <v>177</v>
      </c>
      <c r="B66">
        <v>52</v>
      </c>
      <c r="C66" s="4">
        <v>0</v>
      </c>
      <c r="D66" t="s">
        <v>101</v>
      </c>
      <c r="E66" t="s">
        <v>101</v>
      </c>
      <c r="F66" t="s">
        <v>101</v>
      </c>
      <c r="G66" t="s">
        <v>101</v>
      </c>
      <c r="H66">
        <v>52.5</v>
      </c>
      <c r="I66">
        <v>52.5</v>
      </c>
      <c r="J66">
        <v>52</v>
      </c>
      <c r="K66">
        <v>0</v>
      </c>
      <c r="L66" s="11">
        <v>0</v>
      </c>
      <c r="M66">
        <v>0</v>
      </c>
    </row>
    <row r="67" spans="1:13" x14ac:dyDescent="0.3">
      <c r="A67" t="s">
        <v>178</v>
      </c>
      <c r="B67" s="127">
        <v>17825</v>
      </c>
      <c r="C67" s="11">
        <v>-5.3E-3</v>
      </c>
      <c r="D67" t="s">
        <v>101</v>
      </c>
      <c r="E67" t="s">
        <v>101</v>
      </c>
      <c r="F67" t="s">
        <v>101</v>
      </c>
      <c r="G67" t="s">
        <v>101</v>
      </c>
      <c r="H67" s="127">
        <v>17950</v>
      </c>
      <c r="I67" s="127">
        <v>17715</v>
      </c>
      <c r="J67" s="127">
        <v>17920</v>
      </c>
      <c r="K67" s="127">
        <v>2496504.65</v>
      </c>
      <c r="L67" s="11">
        <v>0</v>
      </c>
      <c r="M67">
        <v>0</v>
      </c>
    </row>
    <row r="68" spans="1:13" x14ac:dyDescent="0.3">
      <c r="A68" t="s">
        <v>179</v>
      </c>
      <c r="B68">
        <v>51.69</v>
      </c>
      <c r="C68" s="4">
        <v>0</v>
      </c>
      <c r="D68" t="s">
        <v>101</v>
      </c>
      <c r="E68" t="s">
        <v>101</v>
      </c>
      <c r="F68" t="s">
        <v>101</v>
      </c>
      <c r="G68" t="s">
        <v>101</v>
      </c>
      <c r="H68">
        <v>51.69</v>
      </c>
      <c r="I68">
        <v>51.69</v>
      </c>
      <c r="J68">
        <v>51.69</v>
      </c>
      <c r="K68">
        <v>0</v>
      </c>
      <c r="L68" s="11">
        <v>0</v>
      </c>
      <c r="M68">
        <v>0</v>
      </c>
    </row>
    <row r="69" spans="1:13" x14ac:dyDescent="0.3">
      <c r="A69" t="s">
        <v>180</v>
      </c>
      <c r="B69">
        <v>321.45</v>
      </c>
      <c r="C69" s="11">
        <v>1.4E-3</v>
      </c>
      <c r="D69" t="s">
        <v>101</v>
      </c>
      <c r="E69" t="s">
        <v>101</v>
      </c>
      <c r="F69" t="s">
        <v>101</v>
      </c>
      <c r="G69" t="s">
        <v>101</v>
      </c>
      <c r="H69">
        <v>324.3</v>
      </c>
      <c r="I69">
        <v>319.05</v>
      </c>
      <c r="J69">
        <v>321</v>
      </c>
      <c r="K69" s="127">
        <v>88388567.260000005</v>
      </c>
      <c r="L69" s="11">
        <v>0</v>
      </c>
      <c r="M69">
        <v>0</v>
      </c>
    </row>
    <row r="70" spans="1:13" x14ac:dyDescent="0.3">
      <c r="A70" t="s">
        <v>181</v>
      </c>
      <c r="B70">
        <v>234.75</v>
      </c>
      <c r="C70" s="11">
        <v>3.2000000000000002E-3</v>
      </c>
      <c r="D70" t="s">
        <v>101</v>
      </c>
      <c r="E70" t="s">
        <v>101</v>
      </c>
      <c r="F70" t="s">
        <v>101</v>
      </c>
      <c r="G70" t="s">
        <v>101</v>
      </c>
      <c r="H70">
        <v>240</v>
      </c>
      <c r="I70">
        <v>232</v>
      </c>
      <c r="J70">
        <v>234</v>
      </c>
      <c r="K70" s="127">
        <v>17402439.670000002</v>
      </c>
      <c r="L70" s="11">
        <v>0</v>
      </c>
      <c r="M70">
        <v>0</v>
      </c>
    </row>
    <row r="71" spans="1:13" x14ac:dyDescent="0.3">
      <c r="A71" t="s">
        <v>182</v>
      </c>
      <c r="B71">
        <v>112.4</v>
      </c>
      <c r="C71" s="11">
        <v>2.5999999999999999E-3</v>
      </c>
      <c r="D71" t="s">
        <v>101</v>
      </c>
      <c r="E71" t="s">
        <v>101</v>
      </c>
      <c r="F71" t="s">
        <v>101</v>
      </c>
      <c r="G71" t="s">
        <v>101</v>
      </c>
      <c r="H71">
        <v>113.2</v>
      </c>
      <c r="I71">
        <v>111.35</v>
      </c>
      <c r="J71">
        <v>112.1</v>
      </c>
      <c r="K71" s="127">
        <v>72327.42</v>
      </c>
      <c r="L71" s="11">
        <v>0</v>
      </c>
      <c r="M71">
        <v>0</v>
      </c>
    </row>
    <row r="72" spans="1:13" x14ac:dyDescent="0.3">
      <c r="A72" t="s">
        <v>183</v>
      </c>
      <c r="B72">
        <v>113</v>
      </c>
      <c r="C72" s="4">
        <v>0</v>
      </c>
      <c r="D72" t="s">
        <v>101</v>
      </c>
      <c r="E72" t="s">
        <v>101</v>
      </c>
      <c r="F72" t="s">
        <v>101</v>
      </c>
      <c r="G72" t="s">
        <v>101</v>
      </c>
      <c r="H72">
        <v>113</v>
      </c>
      <c r="I72">
        <v>113</v>
      </c>
      <c r="J72">
        <v>113</v>
      </c>
      <c r="K72">
        <v>0</v>
      </c>
      <c r="L72" s="11">
        <v>0</v>
      </c>
      <c r="M72">
        <v>0</v>
      </c>
    </row>
    <row r="73" spans="1:13" x14ac:dyDescent="0.3">
      <c r="A73" t="s">
        <v>184</v>
      </c>
      <c r="B73">
        <v>845</v>
      </c>
      <c r="C73" s="4">
        <v>0</v>
      </c>
      <c r="D73" t="s">
        <v>101</v>
      </c>
      <c r="E73" t="s">
        <v>101</v>
      </c>
      <c r="F73" t="s">
        <v>101</v>
      </c>
      <c r="G73" t="s">
        <v>101</v>
      </c>
      <c r="H73">
        <v>855</v>
      </c>
      <c r="I73">
        <v>837</v>
      </c>
      <c r="J73">
        <v>845</v>
      </c>
      <c r="K73" s="127">
        <v>57247.4</v>
      </c>
      <c r="L73" s="11">
        <v>-0.1769</v>
      </c>
      <c r="M73">
        <v>2.7753000000000001</v>
      </c>
    </row>
    <row r="74" spans="1:13" x14ac:dyDescent="0.3">
      <c r="A74" t="s">
        <v>185</v>
      </c>
      <c r="B74">
        <v>660.2</v>
      </c>
      <c r="C74" s="4">
        <v>0</v>
      </c>
      <c r="D74" t="s">
        <v>101</v>
      </c>
      <c r="E74" t="s">
        <v>101</v>
      </c>
      <c r="F74" t="s">
        <v>101</v>
      </c>
      <c r="G74" t="s">
        <v>101</v>
      </c>
      <c r="H74">
        <v>660.2</v>
      </c>
      <c r="I74">
        <v>640</v>
      </c>
      <c r="J74">
        <v>660.2</v>
      </c>
      <c r="K74" s="127">
        <v>1219178.1599999999</v>
      </c>
      <c r="L74" s="11">
        <v>0</v>
      </c>
      <c r="M74">
        <v>0</v>
      </c>
    </row>
    <row r="75" spans="1:13" x14ac:dyDescent="0.3">
      <c r="A75" t="s">
        <v>186</v>
      </c>
      <c r="B75" s="127">
        <v>16650</v>
      </c>
      <c r="C75" s="11">
        <v>8.9999999999999993E-3</v>
      </c>
      <c r="D75" t="s">
        <v>101</v>
      </c>
      <c r="E75" t="s">
        <v>101</v>
      </c>
      <c r="F75" t="s">
        <v>101</v>
      </c>
      <c r="G75" t="s">
        <v>101</v>
      </c>
      <c r="H75" s="127">
        <v>16750</v>
      </c>
      <c r="I75" s="127">
        <v>15800</v>
      </c>
      <c r="J75" s="127">
        <v>16500</v>
      </c>
      <c r="K75" s="127">
        <v>235707158.34</v>
      </c>
      <c r="L75" s="11">
        <v>0</v>
      </c>
      <c r="M75">
        <v>0</v>
      </c>
    </row>
    <row r="76" spans="1:13" x14ac:dyDescent="0.3">
      <c r="A76" t="s">
        <v>187</v>
      </c>
      <c r="B76">
        <v>46</v>
      </c>
      <c r="C76" s="4">
        <v>0</v>
      </c>
      <c r="D76" t="s">
        <v>101</v>
      </c>
      <c r="E76" t="s">
        <v>101</v>
      </c>
      <c r="F76" t="s">
        <v>101</v>
      </c>
      <c r="G76" t="s">
        <v>101</v>
      </c>
      <c r="H76">
        <v>46</v>
      </c>
      <c r="I76">
        <v>46</v>
      </c>
      <c r="J76">
        <v>46</v>
      </c>
      <c r="K76">
        <v>0</v>
      </c>
      <c r="L76" s="11">
        <v>0</v>
      </c>
      <c r="M76">
        <v>0</v>
      </c>
    </row>
    <row r="77" spans="1:13" x14ac:dyDescent="0.3">
      <c r="A77" t="s">
        <v>188</v>
      </c>
      <c r="B77">
        <v>47.2</v>
      </c>
      <c r="C77" s="4">
        <v>0</v>
      </c>
      <c r="D77" t="s">
        <v>101</v>
      </c>
      <c r="E77" t="s">
        <v>101</v>
      </c>
      <c r="F77" t="s">
        <v>101</v>
      </c>
      <c r="G77" t="s">
        <v>101</v>
      </c>
      <c r="H77">
        <v>47.2</v>
      </c>
      <c r="I77">
        <v>47.2</v>
      </c>
      <c r="J77">
        <v>47.2</v>
      </c>
      <c r="K77">
        <v>0</v>
      </c>
      <c r="L77" s="11">
        <v>0</v>
      </c>
      <c r="M77">
        <v>0</v>
      </c>
    </row>
    <row r="78" spans="1:13" x14ac:dyDescent="0.3">
      <c r="A78" t="s">
        <v>189</v>
      </c>
      <c r="B78" s="127">
        <v>17860</v>
      </c>
      <c r="C78" s="11">
        <v>-6.8999999999999999E-3</v>
      </c>
      <c r="D78" t="s">
        <v>101</v>
      </c>
      <c r="E78" t="s">
        <v>101</v>
      </c>
      <c r="F78" t="s">
        <v>101</v>
      </c>
      <c r="G78" t="s">
        <v>101</v>
      </c>
      <c r="H78" s="127">
        <v>17985</v>
      </c>
      <c r="I78" s="127">
        <v>17775</v>
      </c>
      <c r="J78" s="127">
        <v>17985</v>
      </c>
      <c r="K78" s="127">
        <v>65557542.689999998</v>
      </c>
      <c r="L78" s="11">
        <v>0</v>
      </c>
      <c r="M78">
        <v>0</v>
      </c>
    </row>
    <row r="79" spans="1:13" x14ac:dyDescent="0.3">
      <c r="A79" t="s">
        <v>190</v>
      </c>
      <c r="B79">
        <v>55</v>
      </c>
      <c r="C79" s="4">
        <v>0</v>
      </c>
      <c r="D79" t="s">
        <v>101</v>
      </c>
      <c r="E79" t="s">
        <v>101</v>
      </c>
      <c r="F79" t="s">
        <v>101</v>
      </c>
      <c r="G79" t="s">
        <v>101</v>
      </c>
      <c r="H79">
        <v>55</v>
      </c>
      <c r="I79">
        <v>55</v>
      </c>
      <c r="J79">
        <v>55</v>
      </c>
      <c r="K79">
        <v>0</v>
      </c>
      <c r="L79" s="11">
        <v>0</v>
      </c>
      <c r="M79">
        <v>0</v>
      </c>
    </row>
    <row r="80" spans="1:13" x14ac:dyDescent="0.3">
      <c r="A80" t="s">
        <v>191</v>
      </c>
      <c r="B80" s="127">
        <v>17755</v>
      </c>
      <c r="C80" s="11">
        <v>-5.0000000000000001E-3</v>
      </c>
      <c r="D80" t="s">
        <v>101</v>
      </c>
      <c r="E80" t="s">
        <v>101</v>
      </c>
      <c r="F80" t="s">
        <v>101</v>
      </c>
      <c r="G80" t="s">
        <v>101</v>
      </c>
      <c r="H80" s="127">
        <v>18000</v>
      </c>
      <c r="I80" s="127">
        <v>17750</v>
      </c>
      <c r="J80" s="127">
        <v>17845</v>
      </c>
      <c r="K80" s="127">
        <v>29716236.199999999</v>
      </c>
      <c r="L80" s="11">
        <v>0</v>
      </c>
      <c r="M80">
        <v>0</v>
      </c>
    </row>
    <row r="81" spans="1:13" x14ac:dyDescent="0.3">
      <c r="A81" t="s">
        <v>192</v>
      </c>
      <c r="B81" s="127">
        <v>17389</v>
      </c>
      <c r="C81" s="11">
        <v>-5.1999999999999998E-3</v>
      </c>
      <c r="D81" t="s">
        <v>101</v>
      </c>
      <c r="E81" t="s">
        <v>101</v>
      </c>
      <c r="F81" t="s">
        <v>101</v>
      </c>
      <c r="G81" t="s">
        <v>101</v>
      </c>
      <c r="H81" s="127">
        <v>17480</v>
      </c>
      <c r="I81" s="127">
        <v>17175</v>
      </c>
      <c r="J81" s="127">
        <v>17480</v>
      </c>
      <c r="K81" s="127">
        <v>15504573.529999999</v>
      </c>
      <c r="L81" s="11">
        <v>0</v>
      </c>
      <c r="M81">
        <v>0</v>
      </c>
    </row>
    <row r="82" spans="1:13" x14ac:dyDescent="0.3">
      <c r="A82" t="s">
        <v>193</v>
      </c>
      <c r="B82">
        <v>51.3</v>
      </c>
      <c r="C82" s="4">
        <v>0</v>
      </c>
      <c r="D82" t="s">
        <v>101</v>
      </c>
      <c r="E82" t="s">
        <v>101</v>
      </c>
      <c r="F82" t="s">
        <v>101</v>
      </c>
      <c r="G82" t="s">
        <v>101</v>
      </c>
      <c r="H82">
        <v>51.3</v>
      </c>
      <c r="I82">
        <v>51.3</v>
      </c>
      <c r="J82">
        <v>0</v>
      </c>
      <c r="K82">
        <v>256.5</v>
      </c>
      <c r="L82" s="11">
        <v>0</v>
      </c>
      <c r="M82">
        <v>0</v>
      </c>
    </row>
    <row r="83" spans="1:13" x14ac:dyDescent="0.3">
      <c r="A83" t="s">
        <v>194</v>
      </c>
      <c r="B83" s="127">
        <v>13000</v>
      </c>
      <c r="C83" s="4">
        <v>0</v>
      </c>
      <c r="D83" t="s">
        <v>101</v>
      </c>
      <c r="E83" t="s">
        <v>101</v>
      </c>
      <c r="F83" t="s">
        <v>101</v>
      </c>
      <c r="G83" t="s">
        <v>101</v>
      </c>
      <c r="H83" s="127">
        <v>13000</v>
      </c>
      <c r="I83" s="127">
        <v>13000</v>
      </c>
      <c r="J83" s="127">
        <v>13000</v>
      </c>
      <c r="K83">
        <v>0</v>
      </c>
      <c r="L83" s="11">
        <v>-0.55259999999999998</v>
      </c>
      <c r="M83">
        <v>5.8028000000000004</v>
      </c>
    </row>
    <row r="84" spans="1:13" x14ac:dyDescent="0.3">
      <c r="A84" t="s">
        <v>195</v>
      </c>
      <c r="B84">
        <v>68.849999999999994</v>
      </c>
      <c r="C84" s="11">
        <v>4.8999999999999998E-3</v>
      </c>
      <c r="D84" t="s">
        <v>101</v>
      </c>
      <c r="E84" t="s">
        <v>101</v>
      </c>
      <c r="F84" t="s">
        <v>101</v>
      </c>
      <c r="G84" t="s">
        <v>101</v>
      </c>
      <c r="H84">
        <v>69.150000000000006</v>
      </c>
      <c r="I84">
        <v>68.06</v>
      </c>
      <c r="J84">
        <v>68.510000000000005</v>
      </c>
      <c r="K84" s="127">
        <v>24761308.800000001</v>
      </c>
      <c r="L84" s="11">
        <v>0.50680000000000003</v>
      </c>
      <c r="M84">
        <v>2.3874</v>
      </c>
    </row>
    <row r="85" spans="1:13" x14ac:dyDescent="0.3">
      <c r="A85" t="s">
        <v>196</v>
      </c>
      <c r="B85">
        <v>28.5</v>
      </c>
      <c r="C85" s="4">
        <v>0</v>
      </c>
      <c r="D85" t="s">
        <v>101</v>
      </c>
      <c r="E85" t="s">
        <v>101</v>
      </c>
      <c r="F85" t="s">
        <v>101</v>
      </c>
      <c r="G85" t="s">
        <v>101</v>
      </c>
      <c r="H85">
        <v>28.5</v>
      </c>
      <c r="I85">
        <v>27.9</v>
      </c>
      <c r="J85">
        <v>28.5</v>
      </c>
      <c r="K85" s="127">
        <v>5121868.37</v>
      </c>
      <c r="L85" s="11">
        <v>0.48080000000000001</v>
      </c>
      <c r="M85">
        <v>2.9588000000000001</v>
      </c>
    </row>
    <row r="86" spans="1:13" x14ac:dyDescent="0.3">
      <c r="A86" t="s">
        <v>197</v>
      </c>
      <c r="B86" s="127">
        <v>17715</v>
      </c>
      <c r="C86" s="11">
        <v>-5.0000000000000001E-4</v>
      </c>
      <c r="D86" t="s">
        <v>101</v>
      </c>
      <c r="E86" t="s">
        <v>101</v>
      </c>
      <c r="F86" t="s">
        <v>101</v>
      </c>
      <c r="G86" t="s">
        <v>101</v>
      </c>
      <c r="H86" s="127">
        <v>17765</v>
      </c>
      <c r="I86" s="127">
        <v>17601</v>
      </c>
      <c r="J86" s="127">
        <v>17725</v>
      </c>
      <c r="K86" s="127">
        <v>1004743632.26</v>
      </c>
      <c r="L86" s="11">
        <v>0</v>
      </c>
      <c r="M86">
        <v>0</v>
      </c>
    </row>
    <row r="87" spans="1:13" x14ac:dyDescent="0.3">
      <c r="A87" t="s">
        <v>198</v>
      </c>
      <c r="B87" s="127">
        <v>15350</v>
      </c>
      <c r="C87" s="11">
        <v>5.1999999999999998E-3</v>
      </c>
      <c r="D87" t="s">
        <v>101</v>
      </c>
      <c r="E87" t="s">
        <v>101</v>
      </c>
      <c r="F87" t="s">
        <v>101</v>
      </c>
      <c r="G87" t="s">
        <v>101</v>
      </c>
      <c r="H87" s="127">
        <v>15550</v>
      </c>
      <c r="I87" s="127">
        <v>15260</v>
      </c>
      <c r="J87" s="127">
        <v>15270</v>
      </c>
      <c r="K87" s="127">
        <v>58856446.799999997</v>
      </c>
      <c r="L87" s="11">
        <v>0</v>
      </c>
      <c r="M87">
        <v>0</v>
      </c>
    </row>
    <row r="88" spans="1:13" x14ac:dyDescent="0.3">
      <c r="A88" t="s">
        <v>199</v>
      </c>
      <c r="B88">
        <v>104</v>
      </c>
      <c r="C88" s="11">
        <v>-2.3400000000000001E-2</v>
      </c>
      <c r="D88" t="s">
        <v>101</v>
      </c>
      <c r="E88" t="s">
        <v>101</v>
      </c>
      <c r="F88" t="s">
        <v>101</v>
      </c>
      <c r="G88" t="s">
        <v>101</v>
      </c>
      <c r="H88">
        <v>105</v>
      </c>
      <c r="I88">
        <v>104</v>
      </c>
      <c r="J88">
        <v>106.5</v>
      </c>
      <c r="K88" s="127">
        <v>10468</v>
      </c>
      <c r="L88" s="11">
        <v>0</v>
      </c>
      <c r="M88">
        <v>0</v>
      </c>
    </row>
    <row r="89" spans="1:13" x14ac:dyDescent="0.3">
      <c r="A89" t="s">
        <v>200</v>
      </c>
      <c r="B89">
        <v>500</v>
      </c>
      <c r="C89" s="4">
        <v>0</v>
      </c>
      <c r="D89" t="s">
        <v>101</v>
      </c>
      <c r="E89" t="s">
        <v>101</v>
      </c>
      <c r="F89" t="s">
        <v>101</v>
      </c>
      <c r="G89" t="s">
        <v>101</v>
      </c>
      <c r="H89">
        <v>500</v>
      </c>
      <c r="I89">
        <v>500</v>
      </c>
      <c r="J89">
        <v>500</v>
      </c>
      <c r="K89">
        <v>0</v>
      </c>
      <c r="L89" s="11">
        <v>0</v>
      </c>
      <c r="M89">
        <v>0</v>
      </c>
    </row>
    <row r="90" spans="1:13" x14ac:dyDescent="0.3">
      <c r="A90" t="s">
        <v>201</v>
      </c>
      <c r="B90">
        <v>1.36</v>
      </c>
      <c r="C90" s="11">
        <v>-2.8500000000000001E-2</v>
      </c>
      <c r="D90" t="s">
        <v>101</v>
      </c>
      <c r="E90" t="s">
        <v>101</v>
      </c>
      <c r="F90" t="s">
        <v>101</v>
      </c>
      <c r="G90" t="s">
        <v>101</v>
      </c>
      <c r="H90">
        <v>1.47</v>
      </c>
      <c r="I90">
        <v>1.34</v>
      </c>
      <c r="J90">
        <v>1.4</v>
      </c>
      <c r="K90" s="127">
        <v>397352.28</v>
      </c>
      <c r="L90" s="11">
        <v>0</v>
      </c>
      <c r="M90">
        <v>0</v>
      </c>
    </row>
    <row r="91" spans="1:13" x14ac:dyDescent="0.3">
      <c r="A91" t="s">
        <v>202</v>
      </c>
      <c r="B91">
        <v>210</v>
      </c>
      <c r="C91" s="4">
        <v>0</v>
      </c>
      <c r="D91" t="s">
        <v>101</v>
      </c>
      <c r="E91" t="s">
        <v>101</v>
      </c>
      <c r="F91" t="s">
        <v>101</v>
      </c>
      <c r="G91" t="s">
        <v>101</v>
      </c>
      <c r="H91">
        <v>0</v>
      </c>
      <c r="I91">
        <v>0</v>
      </c>
      <c r="J91">
        <v>210</v>
      </c>
      <c r="K91">
        <v>0</v>
      </c>
      <c r="L91" s="11">
        <v>0</v>
      </c>
      <c r="M91">
        <v>0</v>
      </c>
    </row>
    <row r="92" spans="1:13" x14ac:dyDescent="0.3">
      <c r="A92" t="s">
        <v>203</v>
      </c>
      <c r="B92">
        <v>207.72</v>
      </c>
      <c r="C92" s="4">
        <v>0</v>
      </c>
      <c r="D92" t="s">
        <v>101</v>
      </c>
      <c r="E92" t="s">
        <v>101</v>
      </c>
      <c r="F92" t="s">
        <v>101</v>
      </c>
      <c r="G92" t="s">
        <v>101</v>
      </c>
      <c r="H92">
        <v>207.9</v>
      </c>
      <c r="I92">
        <v>207.35</v>
      </c>
      <c r="J92">
        <v>207.72</v>
      </c>
      <c r="K92">
        <v>0</v>
      </c>
      <c r="L92" s="11">
        <v>0</v>
      </c>
      <c r="M92">
        <v>0</v>
      </c>
    </row>
    <row r="93" spans="1:13" x14ac:dyDescent="0.3">
      <c r="A93" t="s">
        <v>204</v>
      </c>
      <c r="B93">
        <v>359.35</v>
      </c>
      <c r="C93" s="11">
        <v>-4.0000000000000002E-4</v>
      </c>
      <c r="D93" t="s">
        <v>101</v>
      </c>
      <c r="E93" t="s">
        <v>101</v>
      </c>
      <c r="F93" t="s">
        <v>101</v>
      </c>
      <c r="G93" t="s">
        <v>101</v>
      </c>
      <c r="H93">
        <v>361</v>
      </c>
      <c r="I93">
        <v>356</v>
      </c>
      <c r="J93">
        <v>359.5</v>
      </c>
      <c r="K93" s="127">
        <v>50231522.789999999</v>
      </c>
      <c r="L93" s="11">
        <v>0</v>
      </c>
      <c r="M93">
        <v>0</v>
      </c>
    </row>
    <row r="94" spans="1:13" x14ac:dyDescent="0.3">
      <c r="A94" t="s">
        <v>205</v>
      </c>
      <c r="B94">
        <v>325.25</v>
      </c>
      <c r="C94" s="11">
        <v>-1E-4</v>
      </c>
      <c r="D94" t="s">
        <v>101</v>
      </c>
      <c r="E94" t="s">
        <v>101</v>
      </c>
      <c r="F94" t="s">
        <v>101</v>
      </c>
      <c r="G94" t="s">
        <v>101</v>
      </c>
      <c r="H94">
        <v>327.9</v>
      </c>
      <c r="I94">
        <v>324.14999999999998</v>
      </c>
      <c r="J94">
        <v>325.3</v>
      </c>
      <c r="K94" s="127">
        <v>339534073.13999999</v>
      </c>
      <c r="L94" s="11">
        <v>0</v>
      </c>
      <c r="M94">
        <v>0</v>
      </c>
    </row>
    <row r="95" spans="1:13" x14ac:dyDescent="0.3">
      <c r="A95" t="s">
        <v>206</v>
      </c>
      <c r="B95">
        <v>113.5</v>
      </c>
      <c r="C95" s="11">
        <v>-3.5000000000000001E-3</v>
      </c>
      <c r="D95" t="s">
        <v>101</v>
      </c>
      <c r="E95" t="s">
        <v>101</v>
      </c>
      <c r="F95" t="s">
        <v>101</v>
      </c>
      <c r="G95" t="s">
        <v>101</v>
      </c>
      <c r="H95">
        <v>114</v>
      </c>
      <c r="I95">
        <v>114</v>
      </c>
      <c r="J95">
        <v>113.9</v>
      </c>
      <c r="K95" s="127">
        <v>29545.38</v>
      </c>
      <c r="L95" s="11">
        <v>0</v>
      </c>
      <c r="M95">
        <v>0</v>
      </c>
    </row>
    <row r="96" spans="1:13" x14ac:dyDescent="0.3">
      <c r="A96" t="s">
        <v>207</v>
      </c>
      <c r="B96">
        <v>242.5</v>
      </c>
      <c r="C96" s="11">
        <v>-5.1000000000000004E-3</v>
      </c>
      <c r="D96" t="s">
        <v>101</v>
      </c>
      <c r="E96" t="s">
        <v>101</v>
      </c>
      <c r="F96" t="s">
        <v>101</v>
      </c>
      <c r="G96" t="s">
        <v>101</v>
      </c>
      <c r="H96">
        <v>247.5</v>
      </c>
      <c r="I96">
        <v>238</v>
      </c>
      <c r="J96">
        <v>243.75</v>
      </c>
      <c r="K96" s="127">
        <v>27888599.390000001</v>
      </c>
      <c r="L96" s="11">
        <v>0</v>
      </c>
      <c r="M96">
        <v>0</v>
      </c>
    </row>
    <row r="97" spans="1:13" x14ac:dyDescent="0.3">
      <c r="A97" t="s">
        <v>208</v>
      </c>
      <c r="B97">
        <v>232</v>
      </c>
      <c r="C97" s="11">
        <v>-1.23E-2</v>
      </c>
      <c r="D97" t="s">
        <v>101</v>
      </c>
      <c r="E97" t="s">
        <v>101</v>
      </c>
      <c r="F97" t="s">
        <v>101</v>
      </c>
      <c r="G97" t="s">
        <v>101</v>
      </c>
      <c r="H97">
        <v>239.9</v>
      </c>
      <c r="I97">
        <v>226</v>
      </c>
      <c r="J97">
        <v>234.9</v>
      </c>
      <c r="K97" s="127">
        <v>5910557.9900000002</v>
      </c>
      <c r="L97" s="11">
        <v>0</v>
      </c>
      <c r="M97">
        <v>0</v>
      </c>
    </row>
    <row r="98" spans="1:13" x14ac:dyDescent="0.3">
      <c r="A98" t="s">
        <v>209</v>
      </c>
      <c r="B98">
        <v>119.45</v>
      </c>
      <c r="C98" s="4">
        <v>0</v>
      </c>
      <c r="D98" t="s">
        <v>101</v>
      </c>
      <c r="E98" t="s">
        <v>101</v>
      </c>
      <c r="F98" t="s">
        <v>101</v>
      </c>
      <c r="G98" t="s">
        <v>101</v>
      </c>
      <c r="H98">
        <v>119.45</v>
      </c>
      <c r="I98">
        <v>119.45</v>
      </c>
      <c r="J98">
        <v>119.45</v>
      </c>
      <c r="K98">
        <v>0</v>
      </c>
      <c r="L98" s="11">
        <v>0</v>
      </c>
      <c r="M98">
        <v>0</v>
      </c>
    </row>
  </sheetData>
  <sheetProtection algorithmName="SHA-512" hashValue="sxKu+/i/SuBznJVn3ziqt0DRfjGdGxBYFDQrsGD9n8PgryYKCDpdm5bBIaCqaR6IwApUv9Icbq7TLTpYV1naEw==" saltValue="VQMMjJghHM9a7IGK8nStjQ==" spinCount="100000"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2AD2-60A9-443D-9DF4-E40609B69D4D}">
  <dimension ref="A1:T33"/>
  <sheetViews>
    <sheetView workbookViewId="0">
      <selection activeCell="J13" sqref="J13"/>
    </sheetView>
  </sheetViews>
  <sheetFormatPr baseColWidth="10" defaultRowHeight="14.4" x14ac:dyDescent="0.3"/>
  <cols>
    <col min="3" max="3" width="18.33203125" customWidth="1"/>
    <col min="4" max="4" width="19.33203125" customWidth="1"/>
    <col min="5" max="5" width="22.5546875" customWidth="1"/>
    <col min="6" max="6" width="19.6640625" customWidth="1"/>
    <col min="7" max="7" width="15" customWidth="1"/>
    <col min="8" max="8" width="14.88671875" customWidth="1"/>
    <col min="10" max="10" width="15.6640625" customWidth="1"/>
    <col min="11" max="11" width="12.33203125" bestFit="1" customWidth="1"/>
    <col min="12" max="12" width="17.44140625" customWidth="1"/>
    <col min="16" max="16" width="14.88671875" customWidth="1"/>
    <col min="17" max="17" width="14.5546875" customWidth="1"/>
    <col min="20" max="20" width="35" customWidth="1"/>
  </cols>
  <sheetData>
    <row r="1" spans="1:18" ht="28.8" x14ac:dyDescent="0.3">
      <c r="G1" t="s">
        <v>58</v>
      </c>
      <c r="K1" s="45"/>
      <c r="L1" s="46" t="s">
        <v>60</v>
      </c>
      <c r="M1" s="14"/>
      <c r="N1" s="14" t="s">
        <v>61</v>
      </c>
      <c r="O1" s="14"/>
      <c r="P1" s="14" t="s">
        <v>62</v>
      </c>
      <c r="Q1" s="14"/>
      <c r="R1" s="47" t="s">
        <v>63</v>
      </c>
    </row>
    <row r="2" spans="1:18" x14ac:dyDescent="0.3">
      <c r="B2" t="s">
        <v>20</v>
      </c>
      <c r="C2" t="s">
        <v>21</v>
      </c>
      <c r="D2" t="s">
        <v>22</v>
      </c>
      <c r="E2" t="s">
        <v>50</v>
      </c>
      <c r="F2" t="s">
        <v>53</v>
      </c>
      <c r="G2" t="s">
        <v>51</v>
      </c>
      <c r="K2" s="22"/>
      <c r="R2" s="12"/>
    </row>
    <row r="3" spans="1:18" x14ac:dyDescent="0.3">
      <c r="A3" t="s">
        <v>24</v>
      </c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-J13</f>
        <v>-27</v>
      </c>
      <c r="H3" s="26" t="s">
        <v>52</v>
      </c>
      <c r="K3" s="48"/>
      <c r="R3" s="12"/>
    </row>
    <row r="4" spans="1:18" x14ac:dyDescent="0.3">
      <c r="B4" s="17">
        <v>44386</v>
      </c>
      <c r="C4" s="25">
        <v>100</v>
      </c>
      <c r="D4" s="18">
        <v>0</v>
      </c>
      <c r="E4" s="16">
        <v>0</v>
      </c>
      <c r="F4" s="16">
        <v>0.85</v>
      </c>
      <c r="G4">
        <v>0.85</v>
      </c>
      <c r="K4" s="22"/>
      <c r="L4">
        <f>(G4)/(1+$L$27)^1</f>
        <v>0.67862424004421684</v>
      </c>
      <c r="N4">
        <f>L4*1</f>
        <v>0.67862424004421684</v>
      </c>
      <c r="P4">
        <v>2</v>
      </c>
      <c r="R4" s="12">
        <f>L4*P4</f>
        <v>1.3572484800884337</v>
      </c>
    </row>
    <row r="5" spans="1:18" x14ac:dyDescent="0.3">
      <c r="B5" s="17">
        <v>44570</v>
      </c>
      <c r="C5" s="25">
        <v>100</v>
      </c>
      <c r="D5" s="18">
        <v>0</v>
      </c>
      <c r="E5" s="16">
        <v>0</v>
      </c>
      <c r="F5" s="16">
        <v>0.5</v>
      </c>
      <c r="G5">
        <v>0.5</v>
      </c>
      <c r="K5" s="22"/>
      <c r="R5" s="12"/>
    </row>
    <row r="6" spans="1:18" x14ac:dyDescent="0.3">
      <c r="B6" s="17">
        <v>44751</v>
      </c>
      <c r="C6" s="25">
        <v>100</v>
      </c>
      <c r="D6" s="18">
        <v>0</v>
      </c>
      <c r="E6" s="16">
        <v>0</v>
      </c>
      <c r="F6" s="16">
        <v>0.5</v>
      </c>
      <c r="G6">
        <v>0.5</v>
      </c>
      <c r="K6" s="22"/>
      <c r="L6">
        <f>(G5+G6)/((1+$L$27)^2)</f>
        <v>0.63741295387625041</v>
      </c>
      <c r="N6">
        <f>L6*2</f>
        <v>1.2748259077525008</v>
      </c>
      <c r="P6">
        <v>6</v>
      </c>
      <c r="R6" s="12">
        <f>L6*P6</f>
        <v>3.8244777232575027</v>
      </c>
    </row>
    <row r="7" spans="1:18" x14ac:dyDescent="0.3">
      <c r="B7" s="17">
        <v>44935</v>
      </c>
      <c r="C7" s="25">
        <v>100</v>
      </c>
      <c r="D7" s="18">
        <v>0</v>
      </c>
      <c r="E7" s="16">
        <v>0</v>
      </c>
      <c r="F7" s="16">
        <v>0.5</v>
      </c>
      <c r="G7">
        <v>0.5</v>
      </c>
      <c r="K7" s="22"/>
      <c r="R7" s="12"/>
    </row>
    <row r="8" spans="1:18" x14ac:dyDescent="0.3">
      <c r="B8" s="17">
        <v>45116</v>
      </c>
      <c r="C8" s="25">
        <v>100</v>
      </c>
      <c r="D8" s="18">
        <v>0</v>
      </c>
      <c r="E8" s="16">
        <v>0</v>
      </c>
      <c r="F8" s="16">
        <v>0.5</v>
      </c>
      <c r="G8">
        <v>0.5</v>
      </c>
      <c r="K8" s="22"/>
      <c r="L8">
        <f>(G7+G8)/((1+$L$27)^3)</f>
        <v>0.50889868402189398</v>
      </c>
      <c r="N8">
        <f>L8*3</f>
        <v>1.5266960520656818</v>
      </c>
      <c r="P8">
        <v>12</v>
      </c>
      <c r="R8" s="12">
        <f>L8*P8</f>
        <v>6.1067842082627273</v>
      </c>
    </row>
    <row r="9" spans="1:18" x14ac:dyDescent="0.3">
      <c r="B9" s="17">
        <v>45300</v>
      </c>
      <c r="C9" s="25">
        <v>100</v>
      </c>
      <c r="D9" s="18">
        <v>0</v>
      </c>
      <c r="E9" s="16">
        <v>0</v>
      </c>
      <c r="F9" s="16">
        <v>0.5</v>
      </c>
      <c r="G9">
        <v>0.5</v>
      </c>
      <c r="K9" s="22"/>
      <c r="R9" s="12"/>
    </row>
    <row r="10" spans="1:18" x14ac:dyDescent="0.3">
      <c r="B10" s="17">
        <v>45482</v>
      </c>
      <c r="C10" s="25">
        <v>100</v>
      </c>
      <c r="D10" s="18">
        <v>0</v>
      </c>
      <c r="E10" s="16">
        <v>0</v>
      </c>
      <c r="F10" s="16">
        <v>0.5</v>
      </c>
      <c r="G10">
        <v>0.5</v>
      </c>
      <c r="K10" s="22"/>
      <c r="L10">
        <f>(G9+G10)/((1+$L$27)^4)</f>
        <v>0.4062952737692469</v>
      </c>
      <c r="N10">
        <f>L10*4</f>
        <v>1.6251810950769876</v>
      </c>
      <c r="P10">
        <v>20</v>
      </c>
      <c r="R10" s="12">
        <f>L10*P10</f>
        <v>8.125905475384938</v>
      </c>
    </row>
    <row r="11" spans="1:18" x14ac:dyDescent="0.3">
      <c r="B11" s="17">
        <v>45666</v>
      </c>
      <c r="C11" s="25">
        <v>100</v>
      </c>
      <c r="D11" s="18">
        <v>0.1</v>
      </c>
      <c r="E11" s="16">
        <v>10</v>
      </c>
      <c r="F11" s="16">
        <v>0.5</v>
      </c>
      <c r="G11">
        <v>10.5</v>
      </c>
      <c r="K11" s="22"/>
      <c r="R11" s="12"/>
    </row>
    <row r="12" spans="1:18" x14ac:dyDescent="0.3">
      <c r="B12" s="17">
        <v>45847</v>
      </c>
      <c r="C12" s="25">
        <v>90</v>
      </c>
      <c r="D12" s="18">
        <v>0.1</v>
      </c>
      <c r="E12" s="16">
        <v>10</v>
      </c>
      <c r="F12" s="16">
        <v>0.45</v>
      </c>
      <c r="G12">
        <v>10.45</v>
      </c>
      <c r="I12" s="39" t="s">
        <v>57</v>
      </c>
      <c r="K12" s="22"/>
      <c r="L12">
        <f>(G11+G12)/(1+$L$27)^5</f>
        <v>6.7957319508584657</v>
      </c>
      <c r="N12">
        <f>L12*5</f>
        <v>33.97865975429233</v>
      </c>
      <c r="P12">
        <v>30</v>
      </c>
      <c r="R12" s="12">
        <f>L12*P12</f>
        <v>203.87195852575397</v>
      </c>
    </row>
    <row r="13" spans="1:18" x14ac:dyDescent="0.3">
      <c r="B13" s="17">
        <v>46031</v>
      </c>
      <c r="C13" s="25">
        <v>80</v>
      </c>
      <c r="D13" s="18">
        <v>0.1</v>
      </c>
      <c r="E13" s="16">
        <v>10</v>
      </c>
      <c r="F13" s="16">
        <v>0.4</v>
      </c>
      <c r="G13">
        <v>10.4</v>
      </c>
      <c r="I13" s="39"/>
      <c r="J13" s="76">
        <f>LOOKUP("AL29D",Extraer!A3:A98,Extraer!B3:B98)</f>
        <v>27</v>
      </c>
      <c r="K13" s="22"/>
      <c r="R13" s="12"/>
    </row>
    <row r="14" spans="1:18" x14ac:dyDescent="0.3">
      <c r="B14" s="17">
        <v>46212</v>
      </c>
      <c r="C14" s="25">
        <v>70</v>
      </c>
      <c r="D14" s="18">
        <v>0.1</v>
      </c>
      <c r="E14" s="16">
        <v>10</v>
      </c>
      <c r="F14" s="16">
        <v>0.35</v>
      </c>
      <c r="G14">
        <v>10.35</v>
      </c>
      <c r="I14" s="39"/>
      <c r="J14" s="77"/>
      <c r="K14" s="22"/>
      <c r="L14">
        <f>(G13+G14)/(1+$L$27)^6</f>
        <v>5.373790814933721</v>
      </c>
      <c r="N14">
        <f>L14*6</f>
        <v>32.242744889602328</v>
      </c>
      <c r="P14">
        <v>42</v>
      </c>
      <c r="R14" s="12">
        <f>L14*P14</f>
        <v>225.69921422721629</v>
      </c>
    </row>
    <row r="15" spans="1:18" x14ac:dyDescent="0.3">
      <c r="B15" s="17">
        <v>46396</v>
      </c>
      <c r="C15" s="25">
        <v>60</v>
      </c>
      <c r="D15" s="18">
        <v>0.1</v>
      </c>
      <c r="E15" s="16">
        <v>10</v>
      </c>
      <c r="F15" s="16">
        <v>0.3</v>
      </c>
      <c r="G15">
        <v>10.3</v>
      </c>
      <c r="I15" s="39"/>
      <c r="J15" s="76"/>
      <c r="K15" s="22"/>
      <c r="R15" s="12"/>
    </row>
    <row r="16" spans="1:18" x14ac:dyDescent="0.3">
      <c r="B16" s="17">
        <v>46577</v>
      </c>
      <c r="C16" s="25">
        <v>50</v>
      </c>
      <c r="D16" s="18">
        <v>0.1</v>
      </c>
      <c r="E16" s="16">
        <v>10</v>
      </c>
      <c r="F16" s="16">
        <v>0.25</v>
      </c>
      <c r="G16">
        <v>10.25</v>
      </c>
      <c r="K16" s="22"/>
      <c r="L16">
        <f>(G15+G16)/(1+$L$27)^7</f>
        <v>4.248982324489714</v>
      </c>
      <c r="N16">
        <f>L16*7</f>
        <v>29.742876271427999</v>
      </c>
      <c r="P16">
        <v>56</v>
      </c>
      <c r="R16" s="12">
        <f>L16*P16</f>
        <v>237.94301017142399</v>
      </c>
    </row>
    <row r="17" spans="2:20" x14ac:dyDescent="0.3">
      <c r="B17" s="17">
        <v>46761</v>
      </c>
      <c r="C17" s="25">
        <v>40</v>
      </c>
      <c r="D17" s="18">
        <v>0.1</v>
      </c>
      <c r="E17" s="16">
        <v>10</v>
      </c>
      <c r="F17" s="16">
        <v>0.2</v>
      </c>
      <c r="G17">
        <v>10.199999999999999</v>
      </c>
      <c r="K17" s="22"/>
      <c r="R17" s="12"/>
    </row>
    <row r="18" spans="2:20" x14ac:dyDescent="0.3">
      <c r="B18" s="17">
        <v>46943</v>
      </c>
      <c r="C18" s="25">
        <v>30</v>
      </c>
      <c r="D18" s="18">
        <v>0.1</v>
      </c>
      <c r="E18" s="16">
        <v>10</v>
      </c>
      <c r="F18" s="16">
        <v>0.15</v>
      </c>
      <c r="G18">
        <v>10.15</v>
      </c>
      <c r="K18" s="22"/>
      <c r="L18">
        <f>(G17+G18)/(1+$L$27)^8</f>
        <v>3.3592935370650756</v>
      </c>
      <c r="N18">
        <f>L18*8</f>
        <v>26.874348296520605</v>
      </c>
      <c r="P18">
        <v>72</v>
      </c>
      <c r="R18" s="12">
        <f>L18*P18</f>
        <v>241.86913466868543</v>
      </c>
    </row>
    <row r="19" spans="2:20" x14ac:dyDescent="0.3">
      <c r="B19" s="17">
        <v>47127</v>
      </c>
      <c r="C19" s="25">
        <v>20</v>
      </c>
      <c r="D19" s="18">
        <v>0.1</v>
      </c>
      <c r="E19" s="16">
        <v>10</v>
      </c>
      <c r="F19" s="16">
        <v>0.1</v>
      </c>
      <c r="G19">
        <v>10.1</v>
      </c>
      <c r="K19" s="22"/>
      <c r="R19" s="12"/>
    </row>
    <row r="20" spans="2:20" x14ac:dyDescent="0.3">
      <c r="B20" s="17">
        <v>47308</v>
      </c>
      <c r="C20" s="25">
        <v>10</v>
      </c>
      <c r="D20" s="18">
        <v>0.1</v>
      </c>
      <c r="E20" s="16">
        <v>10</v>
      </c>
      <c r="F20" s="16">
        <v>0.05</v>
      </c>
      <c r="G20">
        <v>10.050000000000001</v>
      </c>
      <c r="K20" s="22"/>
      <c r="L20">
        <f>(G19+G20)/(1+$L$27)^9</f>
        <v>2.6556389754054721</v>
      </c>
      <c r="N20">
        <f>L20*9</f>
        <v>23.90075077864925</v>
      </c>
      <c r="P20">
        <v>90</v>
      </c>
      <c r="R20" s="12">
        <f>L20*P20</f>
        <v>239.00750778649248</v>
      </c>
    </row>
    <row r="21" spans="2:20" x14ac:dyDescent="0.3">
      <c r="B21" t="s">
        <v>23</v>
      </c>
      <c r="D21" s="11">
        <v>1</v>
      </c>
      <c r="E21">
        <v>100</v>
      </c>
      <c r="F21">
        <v>6.6</v>
      </c>
      <c r="G21">
        <v>106.6</v>
      </c>
      <c r="K21" s="22"/>
      <c r="R21" s="12"/>
    </row>
    <row r="22" spans="2:20" x14ac:dyDescent="0.3">
      <c r="K22" s="22"/>
      <c r="R22" s="12"/>
    </row>
    <row r="23" spans="2:20" x14ac:dyDescent="0.3">
      <c r="K23" s="49" t="s">
        <v>59</v>
      </c>
      <c r="L23" s="50">
        <f>SUM(L4:L20)</f>
        <v>24.664668754464056</v>
      </c>
      <c r="M23" s="42"/>
      <c r="N23" s="42"/>
      <c r="O23" s="42"/>
      <c r="P23" s="42"/>
      <c r="Q23" s="50" t="s">
        <v>64</v>
      </c>
      <c r="R23" s="51">
        <f>1/(J13*((1+L27)^2))*SUM(R4,R6,R8,R10,R12,R14,R16,R18,R20)</f>
        <v>27.569414384736621</v>
      </c>
    </row>
    <row r="26" spans="2:20" x14ac:dyDescent="0.3">
      <c r="P26" s="147" t="s">
        <v>65</v>
      </c>
      <c r="Q26" s="147"/>
      <c r="R26" s="147"/>
      <c r="S26" s="147"/>
    </row>
    <row r="27" spans="2:20" x14ac:dyDescent="0.3">
      <c r="H27" s="27" t="s">
        <v>38</v>
      </c>
      <c r="I27" s="28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"fin")))))))))))))))))</f>
        <v>102.3519666570749</v>
      </c>
      <c r="K27" s="27" t="s">
        <v>40</v>
      </c>
      <c r="L27" s="30">
        <f>XIRR(G3:G20,B3:B20)</f>
        <v>0.25253409743309019</v>
      </c>
      <c r="P27" s="138" t="s">
        <v>66</v>
      </c>
      <c r="Q27" s="138"/>
      <c r="R27" s="146">
        <f>+(-2%)*-L31</f>
        <v>8.9799999203758404E-2</v>
      </c>
      <c r="S27" s="146"/>
      <c r="T27" t="s">
        <v>67</v>
      </c>
    </row>
    <row r="29" spans="2:20" x14ac:dyDescent="0.3">
      <c r="K29" s="27" t="s">
        <v>11</v>
      </c>
      <c r="L29" s="27">
        <f>(((G4/((1+L27)^1))*1)+(((G5+G6)/((1+L27)^2))*2)+(((G7+G8)/((1+L27)^3))*3)+(((G9+G10)/((1+L27)^4))*4)+(((G11+G12)/((1+L27)^5))*5)+(((G13+G14)/((1+L27)^6))*6)+(((G15+G16)/((1+L27)^7))*7)+(((G17+G18)/((1+L27)^8))*8)+(((G19+G20)/((1+L27)^9))*9))/J13</f>
        <v>5.6238780476085886</v>
      </c>
      <c r="P29" s="148" t="s">
        <v>68</v>
      </c>
      <c r="Q29" s="148"/>
      <c r="R29" s="148"/>
      <c r="S29" s="148"/>
      <c r="T29" t="s">
        <v>69</v>
      </c>
    </row>
    <row r="30" spans="2:20" x14ac:dyDescent="0.3">
      <c r="H30" s="27" t="s">
        <v>37</v>
      </c>
      <c r="I30" s="29">
        <f ca="1">IF(B11&gt;NOW(),C11,IF(B12&gt;NOW(),C12,IF(B13&gt;NOW(),C13,IF(B14&gt;NOW(),C14,IF(B15&gt;NOW(),C15,IF(B16&gt;NOW(),C16,IF(B17&gt;NOW(),C17,IF(B18&gt;NOW(),C18,IF(B19&gt;NOW(),C19,IF(B20&gt;NOW(),C20,"fin"))))))))))</f>
        <v>100</v>
      </c>
      <c r="P30" s="138" t="s">
        <v>66</v>
      </c>
      <c r="Q30" s="138"/>
      <c r="R30" s="146">
        <f>(1/2)*R23*(-2%)^2</f>
        <v>5.5138828769473241E-3</v>
      </c>
      <c r="S30" s="146"/>
    </row>
    <row r="31" spans="2:20" x14ac:dyDescent="0.3">
      <c r="K31" s="27" t="s">
        <v>12</v>
      </c>
      <c r="L31" s="27">
        <f>L29/(1+L27)</f>
        <v>4.4899999601879204</v>
      </c>
      <c r="P31" s="138" t="s">
        <v>70</v>
      </c>
      <c r="Q31" s="138"/>
      <c r="R31" s="146">
        <f>R27+R30</f>
        <v>9.5313882080705722E-2</v>
      </c>
      <c r="S31" s="138"/>
      <c r="T31" t="s">
        <v>71</v>
      </c>
    </row>
    <row r="33" spans="8:20" x14ac:dyDescent="0.3">
      <c r="H33" s="27" t="s">
        <v>2</v>
      </c>
      <c r="I33" s="28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"fin")))))))))))))))))</f>
        <v>1.9666570749010655E-3</v>
      </c>
      <c r="L33" s="11"/>
      <c r="P33" s="138" t="s">
        <v>72</v>
      </c>
      <c r="Q33" s="138"/>
      <c r="R33" s="138"/>
      <c r="S33" s="138"/>
      <c r="T33" s="138"/>
    </row>
  </sheetData>
  <sheetProtection algorithmName="SHA-512" hashValue="Pgkk3g9SNiwETbhOVIex9uzmuj1d5ZBJis4Mk9xy/pO4BogZsN609+mpuHDJT2LfI9gDJ3mFkgmrSiFbNI18mQ==" saltValue="SwBeFJbd+LmlRvgjw4IPvg==" spinCount="100000" sheet="1" objects="1" scenarios="1" selectLockedCells="1"/>
  <mergeCells count="9">
    <mergeCell ref="R31:S31"/>
    <mergeCell ref="P31:Q31"/>
    <mergeCell ref="P33:T33"/>
    <mergeCell ref="P26:S26"/>
    <mergeCell ref="P27:Q27"/>
    <mergeCell ref="R27:S27"/>
    <mergeCell ref="P29:S29"/>
    <mergeCell ref="P30:Q30"/>
    <mergeCell ref="R30:S30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86DA-C061-4CB9-BCB0-4CF3AD52EA73}">
  <dimension ref="B1:V43"/>
  <sheetViews>
    <sheetView topLeftCell="A3" workbookViewId="0">
      <selection activeCell="L6" sqref="L6"/>
    </sheetView>
  </sheetViews>
  <sheetFormatPr baseColWidth="10" defaultRowHeight="14.4" x14ac:dyDescent="0.3"/>
  <cols>
    <col min="3" max="3" width="16.6640625" customWidth="1"/>
    <col min="7" max="7" width="16.109375" customWidth="1"/>
    <col min="8" max="9" width="13.88671875" customWidth="1"/>
    <col min="10" max="10" width="17.44140625" customWidth="1"/>
    <col min="12" max="12" width="12.6640625" bestFit="1" customWidth="1"/>
    <col min="16" max="16" width="11.6640625" customWidth="1"/>
  </cols>
  <sheetData>
    <row r="1" spans="2:22" x14ac:dyDescent="0.3">
      <c r="H1" s="138" t="s">
        <v>10</v>
      </c>
      <c r="I1" s="138"/>
    </row>
    <row r="2" spans="2:22" x14ac:dyDescent="0.3"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13</v>
      </c>
      <c r="H2" t="s">
        <v>51</v>
      </c>
    </row>
    <row r="3" spans="2:22" ht="43.2" x14ac:dyDescent="0.3">
      <c r="B3" s="6" t="s">
        <v>5</v>
      </c>
      <c r="C3" s="7">
        <v>44078</v>
      </c>
      <c r="D3" s="6"/>
      <c r="E3" s="6"/>
      <c r="F3" s="6"/>
      <c r="G3" s="6"/>
      <c r="H3">
        <f>-L5</f>
        <v>-24</v>
      </c>
      <c r="I3" s="1">
        <f ca="1">NOW()</f>
        <v>44935.711929861114</v>
      </c>
      <c r="J3" t="s">
        <v>8</v>
      </c>
      <c r="O3" s="45"/>
      <c r="P3" s="46" t="s">
        <v>60</v>
      </c>
      <c r="Q3" s="14"/>
      <c r="R3" s="14" t="s">
        <v>61</v>
      </c>
      <c r="S3" s="14"/>
      <c r="T3" s="14" t="s">
        <v>62</v>
      </c>
      <c r="U3" s="14"/>
      <c r="V3" s="47" t="s">
        <v>63</v>
      </c>
    </row>
    <row r="4" spans="2:22" x14ac:dyDescent="0.3">
      <c r="B4" s="6" t="s">
        <v>5</v>
      </c>
      <c r="C4" s="7">
        <v>44386</v>
      </c>
      <c r="D4" s="20">
        <v>100</v>
      </c>
      <c r="E4" s="6">
        <v>100</v>
      </c>
      <c r="F4" s="6">
        <v>0.10589999999999999</v>
      </c>
      <c r="G4" s="6">
        <v>0</v>
      </c>
      <c r="H4">
        <v>0.10589999999999999</v>
      </c>
      <c r="I4" s="1">
        <v>44386</v>
      </c>
      <c r="K4" s="39" t="s">
        <v>57</v>
      </c>
      <c r="O4" s="22"/>
      <c r="P4">
        <f ca="1">H4/((1+H30)^1)</f>
        <v>7.2267414107828401E-2</v>
      </c>
      <c r="R4">
        <f ca="1">P4*1</f>
        <v>7.2267414107828401E-2</v>
      </c>
      <c r="T4">
        <v>2</v>
      </c>
      <c r="V4" s="12">
        <f ca="1">P4*R4</f>
        <v>5.2225791418323555E-3</v>
      </c>
    </row>
    <row r="5" spans="2:22" x14ac:dyDescent="0.3">
      <c r="B5" s="6" t="s">
        <v>5</v>
      </c>
      <c r="C5" s="7">
        <v>44570</v>
      </c>
      <c r="D5" s="20">
        <v>100</v>
      </c>
      <c r="E5" s="6">
        <v>100</v>
      </c>
      <c r="F5" s="6">
        <v>0.25</v>
      </c>
      <c r="G5" s="6">
        <v>0</v>
      </c>
      <c r="H5">
        <v>0.25</v>
      </c>
      <c r="I5" s="1">
        <v>44570</v>
      </c>
      <c r="K5" s="39"/>
      <c r="L5" s="39">
        <f>LOOKUP("AL30D",Extraer!A3:A98,Extraer!B3:B98)</f>
        <v>24</v>
      </c>
      <c r="O5" s="22"/>
      <c r="V5" s="12"/>
    </row>
    <row r="6" spans="2:22" x14ac:dyDescent="0.3">
      <c r="B6" s="6" t="s">
        <v>5</v>
      </c>
      <c r="C6" s="7">
        <v>44751</v>
      </c>
      <c r="D6" s="20">
        <v>100</v>
      </c>
      <c r="E6" s="6">
        <v>100</v>
      </c>
      <c r="F6" s="6">
        <v>0.25</v>
      </c>
      <c r="G6" s="6">
        <v>0</v>
      </c>
      <c r="H6">
        <v>0.25</v>
      </c>
      <c r="I6" s="1">
        <v>44751</v>
      </c>
      <c r="K6" s="39"/>
      <c r="L6" s="40"/>
      <c r="O6" s="22"/>
      <c r="P6">
        <f ca="1">(H5+H6)/(1+$H$30)^2</f>
        <v>0.23284296130885659</v>
      </c>
      <c r="R6">
        <f ca="1">P6*2</f>
        <v>0.46568592261771319</v>
      </c>
      <c r="T6">
        <v>6</v>
      </c>
      <c r="V6" s="12">
        <f ca="1">P6*T6</f>
        <v>1.3970577678531395</v>
      </c>
    </row>
    <row r="7" spans="2:22" x14ac:dyDescent="0.3">
      <c r="B7" s="6" t="s">
        <v>5</v>
      </c>
      <c r="C7" s="7">
        <v>44935</v>
      </c>
      <c r="D7" s="20">
        <v>100</v>
      </c>
      <c r="E7" s="6">
        <v>100</v>
      </c>
      <c r="F7" s="6">
        <v>0.25</v>
      </c>
      <c r="G7" s="6">
        <v>0</v>
      </c>
      <c r="H7">
        <v>0.25</v>
      </c>
      <c r="I7" s="1">
        <v>44935</v>
      </c>
      <c r="K7" s="39"/>
      <c r="L7" s="39"/>
      <c r="O7" s="22"/>
      <c r="V7" s="12"/>
    </row>
    <row r="8" spans="2:22" x14ac:dyDescent="0.3">
      <c r="B8" s="6" t="s">
        <v>5</v>
      </c>
      <c r="C8" s="7">
        <v>45116</v>
      </c>
      <c r="D8" s="20">
        <v>100</v>
      </c>
      <c r="E8" s="6">
        <v>100</v>
      </c>
      <c r="F8" s="6">
        <v>0.25</v>
      </c>
      <c r="G8" s="6">
        <v>0</v>
      </c>
      <c r="H8">
        <v>0.25</v>
      </c>
      <c r="I8" s="1">
        <v>45116</v>
      </c>
      <c r="O8" s="22"/>
      <c r="P8">
        <f ca="1">(H7+H8)/(1+$H$30)^3</f>
        <v>0.15889479421152225</v>
      </c>
      <c r="R8">
        <f ca="1">P8*3</f>
        <v>0.47668438263456675</v>
      </c>
      <c r="T8">
        <v>12</v>
      </c>
      <c r="V8" s="12">
        <f ca="1">P8*T8</f>
        <v>1.906737530538267</v>
      </c>
    </row>
    <row r="9" spans="2:22" x14ac:dyDescent="0.3">
      <c r="B9" s="6" t="s">
        <v>5</v>
      </c>
      <c r="C9" s="7">
        <v>45300</v>
      </c>
      <c r="D9" s="20">
        <v>100</v>
      </c>
      <c r="E9" s="6">
        <v>100</v>
      </c>
      <c r="F9" s="6">
        <v>0.375</v>
      </c>
      <c r="G9" s="6">
        <v>0</v>
      </c>
      <c r="H9">
        <v>0.375</v>
      </c>
      <c r="I9" s="1">
        <v>45300</v>
      </c>
      <c r="O9" s="22"/>
      <c r="V9" s="12"/>
    </row>
    <row r="10" spans="2:22" x14ac:dyDescent="0.3">
      <c r="B10" s="6" t="s">
        <v>5</v>
      </c>
      <c r="C10" s="7">
        <v>45482</v>
      </c>
      <c r="D10" s="20">
        <v>100</v>
      </c>
      <c r="E10" s="6">
        <v>100</v>
      </c>
      <c r="F10" s="6">
        <v>0.375</v>
      </c>
      <c r="G10" s="6">
        <v>4</v>
      </c>
      <c r="H10">
        <v>4.375</v>
      </c>
      <c r="I10" s="1">
        <v>45482</v>
      </c>
      <c r="N10" s="4"/>
      <c r="O10" s="22"/>
      <c r="P10">
        <f ca="1">(H9+H10)/(1+$H$30)^4</f>
        <v>1.030101047990476</v>
      </c>
      <c r="R10">
        <f ca="1">P10*4</f>
        <v>4.1204041919619039</v>
      </c>
      <c r="T10">
        <v>20</v>
      </c>
      <c r="V10" s="12">
        <f ca="1">P10*T10</f>
        <v>20.602020959809519</v>
      </c>
    </row>
    <row r="11" spans="2:22" x14ac:dyDescent="0.3">
      <c r="B11" s="6" t="s">
        <v>5</v>
      </c>
      <c r="C11" s="7">
        <v>45666</v>
      </c>
      <c r="D11" s="20">
        <v>96</v>
      </c>
      <c r="E11" s="6">
        <v>96</v>
      </c>
      <c r="F11" s="6">
        <v>0.36</v>
      </c>
      <c r="G11" s="6">
        <v>8</v>
      </c>
      <c r="H11">
        <v>8.36</v>
      </c>
      <c r="I11" s="1">
        <v>45666</v>
      </c>
      <c r="O11" s="22"/>
      <c r="V11" s="12"/>
    </row>
    <row r="12" spans="2:22" x14ac:dyDescent="0.3">
      <c r="B12" s="6" t="s">
        <v>5</v>
      </c>
      <c r="C12" s="7">
        <v>45847</v>
      </c>
      <c r="D12" s="20">
        <v>88</v>
      </c>
      <c r="E12" s="6">
        <v>88</v>
      </c>
      <c r="F12" s="6">
        <v>0.33</v>
      </c>
      <c r="G12" s="6">
        <v>8</v>
      </c>
      <c r="H12">
        <v>8.33</v>
      </c>
      <c r="I12" s="1">
        <v>45847</v>
      </c>
      <c r="O12" s="22"/>
      <c r="P12">
        <f ca="1">(H11+H12)/(1+$H$30)^5</f>
        <v>2.469955397930752</v>
      </c>
      <c r="R12">
        <f ca="1">P12*5</f>
        <v>12.34977698965376</v>
      </c>
      <c r="T12">
        <v>30</v>
      </c>
      <c r="V12" s="12">
        <f ca="1">P12*T12</f>
        <v>74.098661937922557</v>
      </c>
    </row>
    <row r="13" spans="2:22" x14ac:dyDescent="0.3">
      <c r="B13" s="6" t="s">
        <v>5</v>
      </c>
      <c r="C13" s="7">
        <v>46031</v>
      </c>
      <c r="D13" s="20">
        <v>80</v>
      </c>
      <c r="E13" s="6">
        <v>80</v>
      </c>
      <c r="F13" s="6">
        <v>0.3</v>
      </c>
      <c r="G13" s="6">
        <v>8</v>
      </c>
      <c r="H13">
        <v>8.3000000000000007</v>
      </c>
      <c r="I13" s="1">
        <v>46031</v>
      </c>
      <c r="O13" s="22"/>
      <c r="V13" s="12"/>
    </row>
    <row r="14" spans="2:22" x14ac:dyDescent="0.3">
      <c r="B14" s="6" t="s">
        <v>5</v>
      </c>
      <c r="C14" s="7">
        <v>46212</v>
      </c>
      <c r="D14" s="20">
        <v>72</v>
      </c>
      <c r="E14" s="6">
        <v>72</v>
      </c>
      <c r="F14" s="6">
        <v>0.27</v>
      </c>
      <c r="G14" s="6">
        <v>8</v>
      </c>
      <c r="H14">
        <v>8.27</v>
      </c>
      <c r="I14" s="1">
        <v>46212</v>
      </c>
      <c r="O14" s="22"/>
      <c r="P14">
        <f ca="1">(H13+H14)/(1+H30)^6</f>
        <v>1.6734079869921585</v>
      </c>
      <c r="R14">
        <f ca="1">P14*6</f>
        <v>10.040447921952952</v>
      </c>
      <c r="T14">
        <v>42</v>
      </c>
      <c r="V14" s="12">
        <f ca="1">P14*T14</f>
        <v>70.283135453670653</v>
      </c>
    </row>
    <row r="15" spans="2:22" x14ac:dyDescent="0.3">
      <c r="B15" s="6" t="s">
        <v>5</v>
      </c>
      <c r="C15" s="7">
        <v>46396</v>
      </c>
      <c r="D15" s="20">
        <v>64</v>
      </c>
      <c r="E15" s="6">
        <v>64</v>
      </c>
      <c r="F15" s="6">
        <v>0.24</v>
      </c>
      <c r="G15" s="6">
        <v>8</v>
      </c>
      <c r="H15">
        <v>8.24</v>
      </c>
      <c r="I15" s="1">
        <v>46396</v>
      </c>
      <c r="L15" s="4"/>
      <c r="O15" s="22"/>
      <c r="V15" s="12"/>
    </row>
    <row r="16" spans="2:22" x14ac:dyDescent="0.3">
      <c r="B16" s="6" t="s">
        <v>5</v>
      </c>
      <c r="C16" s="7">
        <v>46577</v>
      </c>
      <c r="D16" s="20">
        <v>56</v>
      </c>
      <c r="E16" s="6">
        <v>56</v>
      </c>
      <c r="F16" s="6">
        <v>0.21</v>
      </c>
      <c r="G16" s="6">
        <v>8</v>
      </c>
      <c r="H16">
        <v>8.2100000000000009</v>
      </c>
      <c r="I16" s="1">
        <v>46577</v>
      </c>
      <c r="O16" s="22"/>
      <c r="P16">
        <f ca="1">(H15+H16)/(1+$H$30)^7</f>
        <v>1.1336833965967184</v>
      </c>
      <c r="R16">
        <f ca="1">P16*7</f>
        <v>7.9357837761770282</v>
      </c>
      <c r="T16">
        <v>56</v>
      </c>
      <c r="V16" s="12">
        <f ca="1">P16*T16</f>
        <v>63.486270209416226</v>
      </c>
    </row>
    <row r="17" spans="2:22" x14ac:dyDescent="0.3">
      <c r="B17" s="6" t="s">
        <v>5</v>
      </c>
      <c r="C17" s="7">
        <v>46761</v>
      </c>
      <c r="D17" s="20">
        <v>48</v>
      </c>
      <c r="E17" s="6">
        <v>48</v>
      </c>
      <c r="F17" s="6">
        <v>0.42</v>
      </c>
      <c r="G17" s="6">
        <v>8</v>
      </c>
      <c r="H17">
        <v>8.42</v>
      </c>
      <c r="I17" s="1">
        <v>46761</v>
      </c>
      <c r="O17" s="22"/>
      <c r="V17" s="12"/>
    </row>
    <row r="18" spans="2:22" x14ac:dyDescent="0.3">
      <c r="B18" s="6" t="s">
        <v>5</v>
      </c>
      <c r="C18" s="7">
        <v>46943</v>
      </c>
      <c r="D18" s="20">
        <v>40</v>
      </c>
      <c r="E18" s="6">
        <v>40</v>
      </c>
      <c r="F18" s="6">
        <v>0.35</v>
      </c>
      <c r="G18" s="6">
        <v>8</v>
      </c>
      <c r="H18">
        <v>8.35</v>
      </c>
      <c r="I18" s="1">
        <v>46943</v>
      </c>
      <c r="O18" s="22"/>
      <c r="P18">
        <f ca="1">(H17+H18)/(1+$H$30)^8</f>
        <v>0.78868848732728913</v>
      </c>
      <c r="R18">
        <f ca="1">P18*8</f>
        <v>6.3095078986183131</v>
      </c>
      <c r="T18">
        <v>72</v>
      </c>
      <c r="V18" s="12">
        <f ca="1">P18*T18</f>
        <v>56.785571087564819</v>
      </c>
    </row>
    <row r="19" spans="2:22" x14ac:dyDescent="0.3">
      <c r="B19" s="6" t="s">
        <v>5</v>
      </c>
      <c r="C19" s="7">
        <v>47127</v>
      </c>
      <c r="D19" s="20">
        <v>32</v>
      </c>
      <c r="E19" s="6">
        <v>32</v>
      </c>
      <c r="F19" s="6">
        <v>0.28000000000000003</v>
      </c>
      <c r="G19" s="6">
        <v>8</v>
      </c>
      <c r="H19">
        <v>8.2799999999999994</v>
      </c>
      <c r="I19" s="1">
        <v>47127</v>
      </c>
      <c r="O19" s="22"/>
      <c r="V19" s="12"/>
    </row>
    <row r="20" spans="2:22" x14ac:dyDescent="0.3">
      <c r="B20" s="6" t="s">
        <v>5</v>
      </c>
      <c r="C20" s="7">
        <v>47308</v>
      </c>
      <c r="D20" s="20">
        <v>24</v>
      </c>
      <c r="E20" s="6">
        <v>24</v>
      </c>
      <c r="F20" s="6">
        <v>0.21</v>
      </c>
      <c r="G20" s="6">
        <v>8</v>
      </c>
      <c r="H20">
        <v>8.2100000000000009</v>
      </c>
      <c r="I20" s="1">
        <v>47308</v>
      </c>
      <c r="O20" s="22"/>
      <c r="P20">
        <f ca="1">(H19+H20)/(1+$H$30)^9</f>
        <v>0.529224144150375</v>
      </c>
      <c r="R20">
        <f ca="1">P20*9</f>
        <v>4.7630172973533753</v>
      </c>
      <c r="T20">
        <v>90</v>
      </c>
      <c r="V20" s="12">
        <f ca="1">P20*T20</f>
        <v>47.630172973533753</v>
      </c>
    </row>
    <row r="21" spans="2:22" x14ac:dyDescent="0.3">
      <c r="B21" s="6" t="s">
        <v>5</v>
      </c>
      <c r="C21" s="7">
        <v>47492</v>
      </c>
      <c r="D21" s="20">
        <v>16</v>
      </c>
      <c r="E21" s="6">
        <v>16</v>
      </c>
      <c r="F21" s="6">
        <v>0.14000000000000001</v>
      </c>
      <c r="G21" s="6">
        <v>8</v>
      </c>
      <c r="H21">
        <v>8.14</v>
      </c>
      <c r="I21" s="1">
        <v>47492</v>
      </c>
      <c r="O21" s="22"/>
      <c r="V21" s="12"/>
    </row>
    <row r="22" spans="2:22" x14ac:dyDescent="0.3">
      <c r="B22" s="6" t="s">
        <v>5</v>
      </c>
      <c r="C22" s="7">
        <v>47673</v>
      </c>
      <c r="D22" s="20">
        <v>8</v>
      </c>
      <c r="E22" s="6">
        <v>8</v>
      </c>
      <c r="F22" s="6">
        <v>7.0000000000000007E-2</v>
      </c>
      <c r="G22" s="6">
        <v>8</v>
      </c>
      <c r="H22">
        <v>8.07</v>
      </c>
      <c r="I22" s="1">
        <v>47673</v>
      </c>
      <c r="O22" s="22"/>
      <c r="P22">
        <f ca="1">(H21+H22)/(1+$H$30)^10</f>
        <v>0.35501652060215994</v>
      </c>
      <c r="R22">
        <f ca="1">P22*10</f>
        <v>3.5501652060215996</v>
      </c>
      <c r="T22">
        <v>110</v>
      </c>
      <c r="V22" s="12">
        <f ca="1">P22*T22</f>
        <v>39.051817266237592</v>
      </c>
    </row>
    <row r="23" spans="2:22" x14ac:dyDescent="0.3">
      <c r="O23" s="22"/>
      <c r="V23" s="12"/>
    </row>
    <row r="24" spans="2:22" x14ac:dyDescent="0.3">
      <c r="O24" s="52" t="s">
        <v>77</v>
      </c>
      <c r="P24" s="53">
        <f ca="1">SUM(P4,P6,P8,P10,P12,P14,P16,P18,P20,P22)</f>
        <v>8.4440821512181365</v>
      </c>
      <c r="Q24" s="42"/>
      <c r="R24" s="42"/>
      <c r="S24" s="42"/>
      <c r="T24" s="42"/>
      <c r="U24" s="53" t="s">
        <v>64</v>
      </c>
      <c r="V24" s="54">
        <f ca="1">1/(L5*((1+H30)^2))*SUM(V4,V6,V8,V10,V12,V14,V16,V18,V20,V22)</f>
        <v>7.2811287786536294</v>
      </c>
    </row>
    <row r="25" spans="2:22" x14ac:dyDescent="0.3">
      <c r="B25" s="27" t="s">
        <v>6</v>
      </c>
      <c r="C25" s="34">
        <f ca="1">IF(C4&gt;=NOW(),((NOW()-C3)/(C4-C3))*F4,IF(C5&gt;=NOW(),((NOW()-C4)/(C5-C4))*F5,IF(C6&gt;=NOW(),((NOW()-C5)/(C6-C5))*F6,IF(C7&gt;=NOW(),((NOW()-C6)/(C7-C6))*F7,IF(C8&gt;=NOW(),((NOW()-C7)/(C8-C7))*F8,IF(C9&gt;=NOW(),((NOW()-C8)/(C9-C8))*F9,IF(C10&gt;=NOW(),((NOW()-C9)/(C10-C9))*F10,IF(C11&gt;=NOW(),((NOW()-C10)/(C11-C10))*F11,IF(C12&gt;=NOW(),((NOW()-C11)/(C12-C11))*F12,IF(C13&gt;=NOW(),((NOW()-C12)/(C13-C12))*F13,IF(C14&gt;=NOW(),((NOW()-C13)/(C14-C13))*F14,IF(C15&gt;=NOW(),((NOW()-C14)/(C15-C14))*F15,IF(C16&gt;=NOW(),((NOW()-C15)/(C16-C15))*F16,IF(C17&gt;=NOW(),((NOW()-C16)/(C17-C16))*F17,IF(C18&gt;=NOW(),((NOW()-C17)/(C18-C17))*F18,IF(C19&gt;=NOW(),((NOW()-C18)/(C19-C18))*F19,IF(C20&gt;=NOW(),((NOW()-C19)/(C20-C19))*F20,IF(C21&gt;=NOW(),((NOW()-C20)/(C21-C20))*F21,IF(C22&gt;=NOW(),((NOW()-C21)/(C22-C21))*F22,"fin")))))))))))))))))))</f>
        <v>9.8332853745053276E-4</v>
      </c>
      <c r="E25" s="27" t="s">
        <v>19</v>
      </c>
      <c r="F25" s="27">
        <f ca="1">IF(NOW()&lt;C10,D10,IF(NOW()&lt;C11,D11,IF(NOW()&lt;C12,D12,IF(NOW()&lt;C13,D13,IF(NOW()&lt;C14,D14,IF(NOW()&lt;C15,D15,IF(NOW()&lt;C16,D16,IF(NOW()&lt;C17,D17,IF(NOW()&lt;C18,D18,IF(NOW()&lt;C19,D19,IF(NOW()&lt;C20,D20,IF(NOW()&lt;C21,D21,IF(NOW()&lt;C22,D22,"fin")))))))))))))</f>
        <v>100</v>
      </c>
    </row>
    <row r="26" spans="2:22" x14ac:dyDescent="0.3">
      <c r="E26" s="1"/>
    </row>
    <row r="27" spans="2:22" x14ac:dyDescent="0.3">
      <c r="B27" s="27" t="s">
        <v>7</v>
      </c>
      <c r="C27" s="28">
        <f ca="1">IF(NOW()&lt;C4,D4+((NOW()-C3)/300)*F4,IF(NOW()&lt;C5,D5+((NOW()-C4)/180)*F5+F4,IF(NOW()&lt;C6,D6+((NOW()-C5)/180)*F6+SUM(F4:F5),IF(NOW()&lt;C7,D7+((NOW()-C6)/180)*F7+SUM(F4:F6),IF(NOW()&lt;C8,D8+((NOW()-C7)/180)*F8+SUM(F4:F7),IF(NOW()&lt;C9,D9+((NOW()-C8)/180)*F9+SUM(F4:F8),IF(NOW()&lt;C10,D10+((NOW()-C9)/180)*F10+SUM(F4:F9),IF(NOW()&lt;C11,D11+((NOW()-C10)/180)*F11+SUM(F4:F10),IF(NOW()&lt;C12,D12+((NOW()-C11)/180)*F12+SUM(F4:F11),IF(NOW()&lt;C13,D13+((NOW()-C12)/180)*F13+SUM(F4:F12),IF(NOW()&lt;C14,D14+((NOW()-C13)/180)*F14+SUM(F4:F13),IF(NOW()&lt;C15,D15+((NOW()-C14)/180)*F15+SUM(F4:F14),IF(NOW()&lt;C16,D16+((NOW()-C15)/180)*F16+SUM(F4:F15),IF(NOW()&lt;C17,D17+((NOW()-C16)/180)*F17+SUM(F4:F16),IF(NOW()&lt;C18,D18+((NOW()-C17)/180)*F18+SUM(F4:F17),IF(NOW()&lt;C19,D19+((NOW()-C18)/180)*F19+SUM(F4:F18),IF(NOW()&lt;C20,D20+((NOW()-C19)/180)*F20+SUM(F4:F19),IF(NOW()&lt;C21,D21+((NOW()-C20)/180)*F21+SUM(F4:F20),IF(NOW()&lt;C22,D22+((NOW()-C21)/180)*F22+SUM(F4:F21),"fin")))))))))))))))))))</f>
        <v>100.85688879147378</v>
      </c>
      <c r="E27" s="1"/>
    </row>
    <row r="28" spans="2:22" x14ac:dyDescent="0.3">
      <c r="E28" s="1"/>
    </row>
    <row r="29" spans="2:22" x14ac:dyDescent="0.3">
      <c r="B29" s="27" t="s">
        <v>11</v>
      </c>
      <c r="C29" s="27">
        <f ca="1">(((H4/((1+H30)^1))*1)+(((H5+H6)/((1+H30)^2))*2)+(((H7+H8)/((1+H30)^3))*3)+(((H9+H10)/((1+H30)^4))*4)+(((H11+H12)/((1+H30)^5))*5)+(((H13+H14)/((1+H30)^6))*6)+(((H15+H16)/((1+H30)^7))*7)+(((H17+H18)/((1+H30)^8))*8)+(((H19+H20)/((1+H30)^9))*9)+(((H21+H22)/((1+H30)^10))*10))/L5</f>
        <v>2.08682254171246</v>
      </c>
      <c r="E29" s="1"/>
      <c r="H29" s="27" t="s">
        <v>9</v>
      </c>
    </row>
    <row r="30" spans="2:22" x14ac:dyDescent="0.3">
      <c r="B30" s="27" t="s">
        <v>12</v>
      </c>
      <c r="C30" s="27">
        <f ca="1">C29/(1+H30)</f>
        <v>1.4240724154059052</v>
      </c>
      <c r="F30" s="8"/>
      <c r="H30" s="35">
        <f ca="1">XIRR(H3:H22,I3:I22)</f>
        <v>0.46539074778556822</v>
      </c>
      <c r="I30" s="5"/>
    </row>
    <row r="31" spans="2:22" x14ac:dyDescent="0.3">
      <c r="B31" s="4"/>
      <c r="E31" s="1"/>
      <c r="F31" s="9"/>
    </row>
    <row r="32" spans="2:22" x14ac:dyDescent="0.3">
      <c r="E32" s="1"/>
      <c r="F32" s="10"/>
    </row>
    <row r="33" spans="5:6" x14ac:dyDescent="0.3">
      <c r="E33" s="1"/>
      <c r="F33" s="10"/>
    </row>
    <row r="34" spans="5:6" x14ac:dyDescent="0.3">
      <c r="E34" s="1"/>
      <c r="F34" s="10"/>
    </row>
    <row r="35" spans="5:6" x14ac:dyDescent="0.3">
      <c r="E35" s="1"/>
      <c r="F35" s="10"/>
    </row>
    <row r="36" spans="5:6" x14ac:dyDescent="0.3">
      <c r="E36" s="1"/>
      <c r="F36" s="10"/>
    </row>
    <row r="39" spans="5:6" x14ac:dyDescent="0.3">
      <c r="E39" s="1"/>
    </row>
    <row r="40" spans="5:6" x14ac:dyDescent="0.3">
      <c r="E40" s="1"/>
    </row>
    <row r="41" spans="5:6" x14ac:dyDescent="0.3">
      <c r="E41" s="1"/>
    </row>
    <row r="42" spans="5:6" x14ac:dyDescent="0.3">
      <c r="E42" s="1"/>
    </row>
    <row r="43" spans="5:6" x14ac:dyDescent="0.3">
      <c r="E43" s="1"/>
    </row>
  </sheetData>
  <sheetProtection algorithmName="SHA-512" hashValue="a5jaPxg0jVT37xoktT+Xhmn+2dope6FfDjQswxhYA9BHx80k24+c9q+MsN+Pa9voi9KUQTgBdPmxUAFYQZXXCQ==" saltValue="Vpw4c8ml1nMxCRuyT7hdFw==" spinCount="100000" sheet="1" objects="1" scenarios="1" selectLockedCells="1"/>
  <mergeCells count="1">
    <mergeCell ref="H1:I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13EF-DD77-455A-83E7-ED20EBEE8DF9}">
  <dimension ref="B2:T34"/>
  <sheetViews>
    <sheetView workbookViewId="0">
      <selection activeCell="K4" sqref="K4"/>
    </sheetView>
  </sheetViews>
  <sheetFormatPr baseColWidth="10" defaultRowHeight="14.4" x14ac:dyDescent="0.3"/>
  <cols>
    <col min="3" max="3" width="20.44140625" customWidth="1"/>
    <col min="4" max="4" width="20.33203125" customWidth="1"/>
    <col min="5" max="5" width="23.6640625" customWidth="1"/>
    <col min="6" max="6" width="16.88671875" customWidth="1"/>
    <col min="7" max="7" width="21.109375" customWidth="1"/>
    <col min="8" max="8" width="12.6640625" customWidth="1"/>
    <col min="9" max="9" width="12.5546875" customWidth="1"/>
    <col min="10" max="10" width="13.33203125" customWidth="1"/>
    <col min="11" max="11" width="12.33203125" bestFit="1" customWidth="1"/>
  </cols>
  <sheetData>
    <row r="2" spans="2:20" ht="43.2" x14ac:dyDescent="0.3">
      <c r="B2" s="16" t="s">
        <v>20</v>
      </c>
      <c r="C2" s="16" t="s">
        <v>21</v>
      </c>
      <c r="D2" s="16" t="s">
        <v>22</v>
      </c>
      <c r="E2" s="16" t="s">
        <v>50</v>
      </c>
      <c r="F2" s="16" t="s">
        <v>53</v>
      </c>
      <c r="G2" t="s">
        <v>54</v>
      </c>
      <c r="J2" s="39" t="s">
        <v>26</v>
      </c>
      <c r="M2" s="45"/>
      <c r="N2" s="46" t="s">
        <v>60</v>
      </c>
      <c r="O2" s="14"/>
      <c r="P2" s="14" t="s">
        <v>61</v>
      </c>
      <c r="Q2" s="14"/>
      <c r="R2" s="14" t="s">
        <v>62</v>
      </c>
      <c r="S2" s="14"/>
      <c r="T2" s="47" t="s">
        <v>63</v>
      </c>
    </row>
    <row r="3" spans="2:20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-K3</f>
        <v>-28.8</v>
      </c>
      <c r="H3" s="26" t="s">
        <v>52</v>
      </c>
      <c r="J3" s="39"/>
      <c r="K3" s="39">
        <f>LOOKUP("AL35D",Extraer!A3:A98,Extraer!B3:B98)</f>
        <v>28.8</v>
      </c>
      <c r="M3" s="22"/>
      <c r="T3" s="12"/>
    </row>
    <row r="4" spans="2:20" x14ac:dyDescent="0.3">
      <c r="B4" s="17">
        <v>44386</v>
      </c>
      <c r="C4" s="25">
        <v>100</v>
      </c>
      <c r="D4" s="18">
        <v>0</v>
      </c>
      <c r="E4" s="16">
        <v>0</v>
      </c>
      <c r="F4" s="16">
        <v>0.11</v>
      </c>
      <c r="G4">
        <v>0.11</v>
      </c>
      <c r="J4" s="39"/>
      <c r="K4" s="40"/>
      <c r="M4" s="22"/>
      <c r="N4">
        <f>G4/(1+$J$15)^1</f>
        <v>9.3804083376970201E-2</v>
      </c>
      <c r="P4">
        <f>N4*1</f>
        <v>9.3804083376970201E-2</v>
      </c>
      <c r="R4">
        <v>2</v>
      </c>
      <c r="T4" s="12">
        <f>N4*R4</f>
        <v>0.1876081667539404</v>
      </c>
    </row>
    <row r="5" spans="2:20" x14ac:dyDescent="0.3">
      <c r="B5" s="17">
        <v>44570</v>
      </c>
      <c r="C5" s="25">
        <v>100</v>
      </c>
      <c r="D5" s="18">
        <v>0</v>
      </c>
      <c r="E5" s="16">
        <v>0</v>
      </c>
      <c r="F5" s="16">
        <v>0.56000000000000005</v>
      </c>
      <c r="G5">
        <v>0.56000000000000005</v>
      </c>
      <c r="J5" s="39"/>
      <c r="K5" s="39"/>
      <c r="M5" s="22"/>
      <c r="T5" s="12"/>
    </row>
    <row r="6" spans="2:20" x14ac:dyDescent="0.3">
      <c r="B6" s="17">
        <v>44751</v>
      </c>
      <c r="C6" s="25">
        <v>100</v>
      </c>
      <c r="D6" s="18">
        <v>0</v>
      </c>
      <c r="E6" s="16">
        <v>0</v>
      </c>
      <c r="F6" s="16">
        <v>0.56000000000000005</v>
      </c>
      <c r="G6">
        <v>0.56000000000000005</v>
      </c>
      <c r="M6" s="22"/>
      <c r="N6">
        <f>(G5+G6)/(1+$J$15)^2</f>
        <v>0.81447196571709168</v>
      </c>
      <c r="P6">
        <f>N6*2</f>
        <v>1.6289439314341834</v>
      </c>
      <c r="R6">
        <v>6</v>
      </c>
      <c r="T6" s="12">
        <f t="shared" ref="T6:T30" si="0">N6*R6</f>
        <v>4.8868317943025499</v>
      </c>
    </row>
    <row r="7" spans="2:20" x14ac:dyDescent="0.3">
      <c r="B7" s="17">
        <v>44935</v>
      </c>
      <c r="C7" s="25">
        <v>100</v>
      </c>
      <c r="D7" s="18">
        <v>0</v>
      </c>
      <c r="E7" s="16">
        <v>0</v>
      </c>
      <c r="F7" s="16">
        <v>0.75</v>
      </c>
      <c r="G7">
        <v>0.75</v>
      </c>
      <c r="M7" s="22"/>
      <c r="T7" s="12"/>
    </row>
    <row r="8" spans="2:20" x14ac:dyDescent="0.3">
      <c r="B8" s="17">
        <v>45116</v>
      </c>
      <c r="C8" s="25">
        <v>100</v>
      </c>
      <c r="D8" s="18">
        <v>0</v>
      </c>
      <c r="E8" s="16">
        <v>0</v>
      </c>
      <c r="F8" s="16">
        <v>0.75</v>
      </c>
      <c r="G8">
        <v>0.75</v>
      </c>
      <c r="M8" s="22"/>
      <c r="N8">
        <f>(G7+G8)/(1+$J$15)^3</f>
        <v>0.93020449894883361</v>
      </c>
      <c r="P8">
        <f>N8*3</f>
        <v>2.7906134968465008</v>
      </c>
      <c r="R8">
        <v>12</v>
      </c>
      <c r="T8" s="12">
        <f t="shared" si="0"/>
        <v>11.162453987386003</v>
      </c>
    </row>
    <row r="9" spans="2:20" x14ac:dyDescent="0.3">
      <c r="B9" s="17">
        <v>45300</v>
      </c>
      <c r="C9" s="25">
        <v>100</v>
      </c>
      <c r="D9" s="18">
        <v>0</v>
      </c>
      <c r="E9" s="16">
        <v>0</v>
      </c>
      <c r="F9" s="16">
        <v>1.81</v>
      </c>
      <c r="G9">
        <v>1.81</v>
      </c>
      <c r="I9" s="27" t="s">
        <v>2</v>
      </c>
      <c r="J9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"fin")))))))))))))))))))))))))))))</f>
        <v>2.9499856123515983E-3</v>
      </c>
      <c r="M9" s="22"/>
      <c r="T9" s="12"/>
    </row>
    <row r="10" spans="2:20" x14ac:dyDescent="0.3">
      <c r="B10" s="17">
        <v>45482</v>
      </c>
      <c r="C10" s="25">
        <v>100</v>
      </c>
      <c r="D10" s="18">
        <v>0</v>
      </c>
      <c r="E10" s="16">
        <v>0</v>
      </c>
      <c r="F10" s="16">
        <v>1.81</v>
      </c>
      <c r="G10">
        <v>1.81</v>
      </c>
      <c r="M10" s="22"/>
      <c r="N10">
        <f>(G9+G10)/(1+$J$15)^4</f>
        <v>1.9143652664536104</v>
      </c>
      <c r="P10">
        <f>N10*4</f>
        <v>7.6574610658144415</v>
      </c>
      <c r="R10">
        <v>20</v>
      </c>
      <c r="T10" s="12">
        <f t="shared" si="0"/>
        <v>38.287305329072211</v>
      </c>
    </row>
    <row r="11" spans="2:20" x14ac:dyDescent="0.3">
      <c r="B11" s="17">
        <v>45666</v>
      </c>
      <c r="C11" s="25">
        <v>100</v>
      </c>
      <c r="D11" s="18">
        <v>0</v>
      </c>
      <c r="E11" s="16">
        <v>0</v>
      </c>
      <c r="F11" s="16">
        <v>2.06</v>
      </c>
      <c r="G11">
        <v>2.06</v>
      </c>
      <c r="I11" s="27" t="s">
        <v>37</v>
      </c>
      <c r="J11" s="27">
        <f ca="1">IF(B23&gt;NOW(),C23,IF(B24&gt;NOW(),C24,IF(B25&gt;NOW(),C25,IF(B26&gt;NOW(),C26,IF(B27&gt;NOW(),C27,IF(B28&gt;NOW(),C28,IF(B29&gt;NOW(),C29,IF(B30&gt;NOW(),C30,IF(B31&gt;NOW(),C31,IF(B32&gt;NOW(),C32,"fin"))))))))))</f>
        <v>100</v>
      </c>
      <c r="M11" s="22"/>
      <c r="T11" s="12"/>
    </row>
    <row r="12" spans="2:20" x14ac:dyDescent="0.3">
      <c r="B12" s="17">
        <v>45847</v>
      </c>
      <c r="C12" s="25">
        <v>100</v>
      </c>
      <c r="D12" s="18">
        <v>0</v>
      </c>
      <c r="E12" s="16">
        <v>0</v>
      </c>
      <c r="F12" s="16">
        <v>2.06</v>
      </c>
      <c r="G12">
        <v>2.06</v>
      </c>
      <c r="M12" s="22"/>
      <c r="N12">
        <f>(G11+G12)/(1+$J$15)^5</f>
        <v>1.8579863128120739</v>
      </c>
      <c r="P12">
        <f>N12*5</f>
        <v>9.2899315640603692</v>
      </c>
      <c r="R12">
        <v>30</v>
      </c>
      <c r="T12" s="12">
        <f t="shared" si="0"/>
        <v>55.739589384362219</v>
      </c>
    </row>
    <row r="13" spans="2:20" x14ac:dyDescent="0.3">
      <c r="B13" s="17">
        <v>46031</v>
      </c>
      <c r="C13" s="25">
        <v>100</v>
      </c>
      <c r="D13" s="18">
        <v>0</v>
      </c>
      <c r="E13" s="16">
        <v>0</v>
      </c>
      <c r="F13" s="16">
        <v>2.06</v>
      </c>
      <c r="G13">
        <v>2.06</v>
      </c>
      <c r="I13" s="27" t="s">
        <v>46</v>
      </c>
      <c r="J13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"Fin")))))))))))))))))))))))))))))</f>
        <v>101.98294998561235</v>
      </c>
      <c r="M13" s="22"/>
      <c r="T13" s="12"/>
    </row>
    <row r="14" spans="2:20" x14ac:dyDescent="0.3">
      <c r="B14" s="17">
        <v>46212</v>
      </c>
      <c r="C14" s="25">
        <v>100</v>
      </c>
      <c r="D14" s="18">
        <v>0</v>
      </c>
      <c r="E14" s="16">
        <v>0</v>
      </c>
      <c r="F14" s="16">
        <v>2.06</v>
      </c>
      <c r="G14">
        <v>2.06</v>
      </c>
      <c r="M14" s="22"/>
      <c r="N14">
        <f>(G13+G14)/(1+$J$15)^6</f>
        <v>1.5844245727299384</v>
      </c>
      <c r="P14">
        <f>N14*6</f>
        <v>9.5065474363796305</v>
      </c>
      <c r="R14">
        <v>42</v>
      </c>
      <c r="T14" s="12">
        <f t="shared" si="0"/>
        <v>66.54583205465741</v>
      </c>
    </row>
    <row r="15" spans="2:20" x14ac:dyDescent="0.3">
      <c r="B15" s="17">
        <v>46396</v>
      </c>
      <c r="C15" s="25">
        <v>100</v>
      </c>
      <c r="D15" s="18">
        <v>0</v>
      </c>
      <c r="E15" s="16">
        <v>0</v>
      </c>
      <c r="F15" s="16">
        <v>2.06</v>
      </c>
      <c r="G15">
        <v>2.06</v>
      </c>
      <c r="I15" s="27" t="s">
        <v>47</v>
      </c>
      <c r="J15" s="30">
        <f>XIRR(G3:G32,B3:B32)</f>
        <v>0.17265684008598325</v>
      </c>
      <c r="M15" s="22"/>
      <c r="T15" s="12"/>
    </row>
    <row r="16" spans="2:20" x14ac:dyDescent="0.3">
      <c r="B16" s="17">
        <v>46577</v>
      </c>
      <c r="C16" s="25">
        <v>100</v>
      </c>
      <c r="D16" s="18">
        <v>0</v>
      </c>
      <c r="E16" s="16">
        <v>0</v>
      </c>
      <c r="F16" s="16">
        <v>2.06</v>
      </c>
      <c r="G16">
        <v>2.06</v>
      </c>
      <c r="M16" s="22"/>
      <c r="N16">
        <f>(G15+G16)/(1+$J$15)^7</f>
        <v>1.3511408611352684</v>
      </c>
      <c r="P16">
        <f>N16*7</f>
        <v>9.4579860279468786</v>
      </c>
      <c r="R16">
        <v>56</v>
      </c>
      <c r="T16" s="12">
        <f t="shared" si="0"/>
        <v>75.663888223575029</v>
      </c>
    </row>
    <row r="17" spans="2:20" x14ac:dyDescent="0.3">
      <c r="B17" s="17">
        <v>46761</v>
      </c>
      <c r="C17" s="25">
        <v>100</v>
      </c>
      <c r="D17" s="18">
        <v>0</v>
      </c>
      <c r="E17" s="16">
        <v>0</v>
      </c>
      <c r="F17" s="16">
        <v>2.38</v>
      </c>
      <c r="G17">
        <v>2.38</v>
      </c>
      <c r="I17" s="27" t="s">
        <v>48</v>
      </c>
      <c r="J17" s="27">
        <f>(((G4/((1+J15)^1))*1)+(((G5+G6)/((1+J15)^2))*2)+(((G7+G8)/((1+J15)^3))*3)+(((G9+G10)/((1+J15)^4))*4)+(((G11+G12)/((1+J15)^5))*5)+(((G13+G14)/((1+J15)^6))*6)+(((G15+G16)/((1+J15)^7))*7)+(((G17+G18)/((1+J15)^8))*8)+(((G19+G20)/((1+J15)^9))*9)+(((G21+G22)/((1+J15)^10))*10)+(((G23+G24)/((1+J15)^11))*11)+(((G25+G26)/((1+J15)^12))*12)+(((G27+G28)/((1+J15)^13))*13)+(((G29+G30)/((1+J15)^14))*14)+(((G31+G32)/((1+J15)^15))*15))/K3</f>
        <v>9.0255141211598389</v>
      </c>
      <c r="M17" s="22"/>
      <c r="T17" s="12"/>
    </row>
    <row r="18" spans="2:20" x14ac:dyDescent="0.3">
      <c r="B18" s="17">
        <v>46943</v>
      </c>
      <c r="C18" s="25">
        <v>100</v>
      </c>
      <c r="D18" s="18">
        <v>0</v>
      </c>
      <c r="E18" s="16">
        <v>0</v>
      </c>
      <c r="F18" s="16">
        <v>2.38</v>
      </c>
      <c r="G18">
        <v>2.38</v>
      </c>
      <c r="M18" s="22"/>
      <c r="N18">
        <f>(G17+G18)/(1+$J$15)^8</f>
        <v>1.3311880908246885</v>
      </c>
      <c r="P18">
        <f>N18*8</f>
        <v>10.649504726597508</v>
      </c>
      <c r="R18">
        <v>72</v>
      </c>
      <c r="T18" s="12">
        <f t="shared" si="0"/>
        <v>95.845542539377576</v>
      </c>
    </row>
    <row r="19" spans="2:20" x14ac:dyDescent="0.3">
      <c r="B19" s="17">
        <v>47127</v>
      </c>
      <c r="C19" s="25">
        <v>100</v>
      </c>
      <c r="D19" s="18">
        <v>0</v>
      </c>
      <c r="E19" s="16">
        <v>0</v>
      </c>
      <c r="F19" s="16">
        <v>2.5</v>
      </c>
      <c r="G19">
        <v>2.5</v>
      </c>
      <c r="I19" s="27" t="s">
        <v>49</v>
      </c>
      <c r="J19" s="27">
        <f>J17/(1+J15)</f>
        <v>7.6966370831027229</v>
      </c>
      <c r="M19" s="22"/>
      <c r="T19" s="12"/>
    </row>
    <row r="20" spans="2:20" x14ac:dyDescent="0.3">
      <c r="B20" s="17">
        <v>47308</v>
      </c>
      <c r="C20" s="25">
        <v>100</v>
      </c>
      <c r="D20" s="18">
        <v>0</v>
      </c>
      <c r="E20" s="16">
        <v>0</v>
      </c>
      <c r="F20" s="16">
        <v>2.5</v>
      </c>
      <c r="G20">
        <v>2.5</v>
      </c>
      <c r="M20" s="22"/>
      <c r="N20">
        <f>(G19+G20)/(1+$J$15)^9</f>
        <v>1.192426266827243</v>
      </c>
      <c r="P20">
        <f>N20*9</f>
        <v>10.731836401445186</v>
      </c>
      <c r="R20">
        <v>90</v>
      </c>
      <c r="T20" s="12">
        <f t="shared" si="0"/>
        <v>107.31836401445186</v>
      </c>
    </row>
    <row r="21" spans="2:20" x14ac:dyDescent="0.3">
      <c r="B21" s="17">
        <v>47492</v>
      </c>
      <c r="C21" s="25">
        <v>100</v>
      </c>
      <c r="D21" s="18">
        <v>0</v>
      </c>
      <c r="E21" s="16">
        <v>0</v>
      </c>
      <c r="F21" s="16">
        <v>2.5</v>
      </c>
      <c r="G21">
        <v>2.5</v>
      </c>
      <c r="M21" s="22"/>
      <c r="T21" s="12"/>
    </row>
    <row r="22" spans="2:20" x14ac:dyDescent="0.3">
      <c r="B22" s="17">
        <v>47673</v>
      </c>
      <c r="C22" s="25">
        <v>100</v>
      </c>
      <c r="D22" s="18">
        <v>0</v>
      </c>
      <c r="E22" s="16">
        <v>0</v>
      </c>
      <c r="F22" s="16">
        <v>2.5</v>
      </c>
      <c r="G22">
        <v>2.5</v>
      </c>
      <c r="M22" s="22"/>
      <c r="N22">
        <f>(G21+G22)/(1+$J$15)^10</f>
        <v>1.0168586632213821</v>
      </c>
      <c r="P22">
        <f>N22*10</f>
        <v>10.16858663221382</v>
      </c>
      <c r="R22">
        <v>110</v>
      </c>
      <c r="T22" s="12">
        <f t="shared" si="0"/>
        <v>111.85445295435203</v>
      </c>
    </row>
    <row r="23" spans="2:20" x14ac:dyDescent="0.3">
      <c r="B23" s="17">
        <v>47857</v>
      </c>
      <c r="C23" s="25">
        <v>100</v>
      </c>
      <c r="D23" s="18">
        <v>0.1</v>
      </c>
      <c r="E23" s="16">
        <v>10</v>
      </c>
      <c r="F23" s="16">
        <v>2.5</v>
      </c>
      <c r="G23">
        <v>12.5</v>
      </c>
      <c r="M23" s="22"/>
      <c r="T23" s="12"/>
    </row>
    <row r="24" spans="2:20" x14ac:dyDescent="0.3">
      <c r="B24" s="17">
        <v>48038</v>
      </c>
      <c r="C24" s="25">
        <v>90</v>
      </c>
      <c r="D24" s="18">
        <v>0.1</v>
      </c>
      <c r="E24" s="16">
        <v>10</v>
      </c>
      <c r="F24" s="16">
        <v>2.25</v>
      </c>
      <c r="G24">
        <v>12.25</v>
      </c>
      <c r="M24" s="22"/>
      <c r="N24">
        <f>(G23+G24)/(1+$J$15)^11</f>
        <v>4.2923472672335841</v>
      </c>
      <c r="P24">
        <f>N24*11</f>
        <v>47.215819939569428</v>
      </c>
      <c r="R24">
        <v>132</v>
      </c>
      <c r="T24" s="12">
        <f t="shared" si="0"/>
        <v>566.58983927483314</v>
      </c>
    </row>
    <row r="25" spans="2:20" x14ac:dyDescent="0.3">
      <c r="B25" s="17">
        <v>48222</v>
      </c>
      <c r="C25" s="25">
        <v>80</v>
      </c>
      <c r="D25" s="18">
        <v>0.1</v>
      </c>
      <c r="E25" s="16">
        <v>10</v>
      </c>
      <c r="F25" s="16">
        <v>2</v>
      </c>
      <c r="G25">
        <v>12</v>
      </c>
      <c r="M25" s="22"/>
      <c r="T25" s="12"/>
    </row>
    <row r="26" spans="2:20" x14ac:dyDescent="0.3">
      <c r="B26" s="17">
        <v>48404</v>
      </c>
      <c r="C26" s="25">
        <v>70</v>
      </c>
      <c r="D26" s="18">
        <v>0.1</v>
      </c>
      <c r="E26" s="16">
        <v>10</v>
      </c>
      <c r="F26" s="16">
        <v>1.75</v>
      </c>
      <c r="G26">
        <v>11.75</v>
      </c>
      <c r="M26" s="22"/>
      <c r="N26">
        <f>(G25+G26)/(1+$J$15)^12</f>
        <v>3.5124675472136353</v>
      </c>
      <c r="P26">
        <f>N26*12</f>
        <v>42.149610566563624</v>
      </c>
      <c r="R26">
        <v>156</v>
      </c>
      <c r="T26" s="12">
        <f t="shared" si="0"/>
        <v>547.94493736532706</v>
      </c>
    </row>
    <row r="27" spans="2:20" x14ac:dyDescent="0.3">
      <c r="B27" s="17">
        <v>48588</v>
      </c>
      <c r="C27" s="25">
        <v>60</v>
      </c>
      <c r="D27" s="18">
        <v>0.1</v>
      </c>
      <c r="E27" s="16">
        <v>10</v>
      </c>
      <c r="F27" s="16">
        <v>1.5</v>
      </c>
      <c r="G27">
        <v>11.5</v>
      </c>
      <c r="M27" s="22"/>
      <c r="T27" s="12"/>
    </row>
    <row r="28" spans="2:20" x14ac:dyDescent="0.3">
      <c r="B28" s="17">
        <v>48769</v>
      </c>
      <c r="C28" s="25">
        <v>50</v>
      </c>
      <c r="D28" s="18">
        <v>0.1</v>
      </c>
      <c r="E28" s="16">
        <v>10</v>
      </c>
      <c r="F28" s="16">
        <v>1.25</v>
      </c>
      <c r="G28">
        <v>11.25</v>
      </c>
      <c r="M28" s="22"/>
      <c r="N28">
        <f>(G27+G28)/(1+$J$15)^13</f>
        <v>2.8691890600816672</v>
      </c>
      <c r="P28">
        <f>N28*13</f>
        <v>37.299457781061676</v>
      </c>
      <c r="R28">
        <v>182</v>
      </c>
      <c r="T28" s="12">
        <f t="shared" si="0"/>
        <v>522.19240893486347</v>
      </c>
    </row>
    <row r="29" spans="2:20" x14ac:dyDescent="0.3">
      <c r="B29" s="17">
        <v>48953</v>
      </c>
      <c r="C29" s="25">
        <v>40</v>
      </c>
      <c r="D29" s="18">
        <v>0.1</v>
      </c>
      <c r="E29" s="16">
        <v>10</v>
      </c>
      <c r="F29" s="16">
        <v>1</v>
      </c>
      <c r="G29">
        <v>11</v>
      </c>
      <c r="M29" s="22"/>
      <c r="T29" s="12"/>
    </row>
    <row r="30" spans="2:20" x14ac:dyDescent="0.3">
      <c r="B30" s="17">
        <v>49134</v>
      </c>
      <c r="C30" s="25">
        <v>30</v>
      </c>
      <c r="D30" s="18">
        <v>0.1</v>
      </c>
      <c r="E30" s="16">
        <v>10</v>
      </c>
      <c r="F30" s="16">
        <v>0.75</v>
      </c>
      <c r="G30">
        <v>10.75</v>
      </c>
      <c r="M30" s="22"/>
      <c r="N30">
        <f>(G29+G30)/(1+$J$15)^14</f>
        <v>2.3391931602406255</v>
      </c>
      <c r="P30">
        <f>N30*14</f>
        <v>32.748704243368756</v>
      </c>
      <c r="R30">
        <v>210</v>
      </c>
      <c r="T30" s="12">
        <f t="shared" si="0"/>
        <v>491.23056365053134</v>
      </c>
    </row>
    <row r="31" spans="2:20" x14ac:dyDescent="0.3">
      <c r="B31" s="17">
        <v>49318</v>
      </c>
      <c r="C31" s="25">
        <v>20</v>
      </c>
      <c r="D31" s="18">
        <v>0.1</v>
      </c>
      <c r="E31" s="16">
        <v>10</v>
      </c>
      <c r="F31" s="16">
        <v>0.5</v>
      </c>
      <c r="G31">
        <v>10.5</v>
      </c>
      <c r="M31" s="22"/>
      <c r="T31" s="12"/>
    </row>
    <row r="32" spans="2:20" x14ac:dyDescent="0.3">
      <c r="B32" s="17">
        <v>49499</v>
      </c>
      <c r="C32" s="25">
        <v>10</v>
      </c>
      <c r="D32" s="18">
        <v>0.1</v>
      </c>
      <c r="E32" s="16">
        <v>10</v>
      </c>
      <c r="F32" s="16">
        <v>0.25</v>
      </c>
      <c r="G32">
        <v>10.25</v>
      </c>
      <c r="M32" s="22"/>
      <c r="N32">
        <f>(G31+G32)/(1+$J$15)^15</f>
        <v>1.9030665861816252</v>
      </c>
      <c r="P32">
        <f>N32*15</f>
        <v>28.545998792724376</v>
      </c>
      <c r="R32">
        <v>240</v>
      </c>
      <c r="T32" s="12">
        <f>N32*R32</f>
        <v>456.73598068359001</v>
      </c>
    </row>
    <row r="33" spans="2:20" x14ac:dyDescent="0.3">
      <c r="B33" t="s">
        <v>23</v>
      </c>
      <c r="D33" s="11">
        <v>1</v>
      </c>
      <c r="E33">
        <v>100</v>
      </c>
      <c r="F33">
        <v>47.23</v>
      </c>
      <c r="G33">
        <v>147.22999999999999</v>
      </c>
      <c r="M33" s="22"/>
      <c r="T33" s="12"/>
    </row>
    <row r="34" spans="2:20" x14ac:dyDescent="0.3">
      <c r="M34" s="82" t="s">
        <v>102</v>
      </c>
      <c r="N34" s="83">
        <f>SUM(N4,N6,N8,N10,N12,N14,N16,N18,N20,N22,N24,N26,N28,N30,N32)</f>
        <v>27.00313420299824</v>
      </c>
      <c r="O34" s="42"/>
      <c r="P34" s="42"/>
      <c r="Q34" s="42"/>
      <c r="R34" s="42"/>
      <c r="S34" s="83" t="s">
        <v>64</v>
      </c>
      <c r="T34" s="84">
        <f>1/(K3*((1+J15)^2))*SUM(T4,T6,T8,T10,T12,T14,T16,T18,T20,T22,T24,T26,T28,T30,T32)</f>
        <v>79.593464800325123</v>
      </c>
    </row>
  </sheetData>
  <sheetProtection algorithmName="SHA-512" hashValue="HmwZBdYsWu9S5/cR0DJhNFeIq45zFKK0pHAl4i4OfgQ0NA4sCy/QbGsXXBYpIO/GCEAFKFUVaX23cB4Fo4wutA==" saltValue="EDZNMd+IC68cRKaFFwH7Ew==" spinCount="100000" sheet="1" objects="1" scenarios="1" selectLockedCells="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5ED2-73E4-43E7-8385-C1118F27C30A}">
  <dimension ref="B2:T39"/>
  <sheetViews>
    <sheetView topLeftCell="E1" workbookViewId="0">
      <selection activeCell="J4" sqref="J4"/>
    </sheetView>
  </sheetViews>
  <sheetFormatPr baseColWidth="10" defaultRowHeight="14.4" x14ac:dyDescent="0.3"/>
  <cols>
    <col min="3" max="3" width="16.5546875" customWidth="1"/>
    <col min="4" max="4" width="17.44140625" customWidth="1"/>
    <col min="5" max="5" width="19" customWidth="1"/>
    <col min="6" max="6" width="16.33203125" customWidth="1"/>
    <col min="7" max="7" width="15.44140625" customWidth="1"/>
    <col min="10" max="10" width="12.33203125" bestFit="1" customWidth="1"/>
  </cols>
  <sheetData>
    <row r="2" spans="2:20" ht="43.2" x14ac:dyDescent="0.3">
      <c r="B2" t="s">
        <v>20</v>
      </c>
      <c r="C2" t="s">
        <v>21</v>
      </c>
      <c r="D2" t="s">
        <v>22</v>
      </c>
      <c r="E2" t="s">
        <v>50</v>
      </c>
      <c r="F2" t="s">
        <v>79</v>
      </c>
      <c r="G2" t="s">
        <v>51</v>
      </c>
      <c r="I2" s="39" t="s">
        <v>86</v>
      </c>
      <c r="M2" s="45"/>
      <c r="N2" s="46" t="s">
        <v>60</v>
      </c>
      <c r="O2" s="14"/>
      <c r="P2" s="14" t="s">
        <v>61</v>
      </c>
      <c r="Q2" s="14"/>
      <c r="R2" s="14" t="s">
        <v>62</v>
      </c>
      <c r="S2" s="14"/>
      <c r="T2" s="47" t="s">
        <v>63</v>
      </c>
    </row>
    <row r="3" spans="2:20" x14ac:dyDescent="0.3">
      <c r="B3" s="56">
        <v>44078</v>
      </c>
      <c r="C3" s="58">
        <v>100</v>
      </c>
      <c r="D3" s="57">
        <v>0</v>
      </c>
      <c r="E3" s="58">
        <v>0</v>
      </c>
      <c r="F3" s="58">
        <v>0</v>
      </c>
      <c r="G3" s="55">
        <f>-J3</f>
        <v>-33.049999999999997</v>
      </c>
      <c r="H3" s="55" t="s">
        <v>87</v>
      </c>
      <c r="I3" s="39"/>
      <c r="J3" s="39">
        <f>LOOKUP("AE38D",Extraer!A3:A98,Extraer!B3:B98)</f>
        <v>33.049999999999997</v>
      </c>
      <c r="M3" s="22"/>
      <c r="T3" s="12"/>
    </row>
    <row r="4" spans="2:20" x14ac:dyDescent="0.3">
      <c r="B4" s="56">
        <v>44386</v>
      </c>
      <c r="C4" s="58">
        <v>100</v>
      </c>
      <c r="D4" s="57">
        <v>0</v>
      </c>
      <c r="E4" s="58">
        <v>0</v>
      </c>
      <c r="F4" s="58">
        <v>0.11</v>
      </c>
      <c r="G4">
        <v>0.11</v>
      </c>
      <c r="I4" s="39"/>
      <c r="J4" s="40"/>
      <c r="M4" s="22"/>
      <c r="N4">
        <f>G4/(1+K13)^1</f>
        <v>9.3313233023619824E-2</v>
      </c>
      <c r="P4">
        <f>N4*1</f>
        <v>9.3313233023619824E-2</v>
      </c>
      <c r="R4">
        <v>2</v>
      </c>
      <c r="T4" s="12">
        <f>N4*R4</f>
        <v>0.18662646604723965</v>
      </c>
    </row>
    <row r="5" spans="2:20" x14ac:dyDescent="0.3">
      <c r="B5" s="56">
        <v>44570</v>
      </c>
      <c r="C5" s="58">
        <v>100</v>
      </c>
      <c r="D5" s="57">
        <v>0</v>
      </c>
      <c r="E5" s="58">
        <v>0</v>
      </c>
      <c r="F5" s="58">
        <v>1</v>
      </c>
      <c r="G5">
        <v>1</v>
      </c>
      <c r="I5" s="39"/>
      <c r="J5" s="39"/>
      <c r="M5" s="22"/>
      <c r="T5" s="12"/>
    </row>
    <row r="6" spans="2:20" x14ac:dyDescent="0.3">
      <c r="B6" s="56">
        <v>44751</v>
      </c>
      <c r="C6" s="58">
        <v>100</v>
      </c>
      <c r="D6" s="57">
        <v>0</v>
      </c>
      <c r="E6" s="58">
        <v>0</v>
      </c>
      <c r="F6" s="58">
        <v>1</v>
      </c>
      <c r="G6">
        <v>1</v>
      </c>
      <c r="M6" s="22"/>
      <c r="N6">
        <f>(G5+G6)/(1+K13)^2</f>
        <v>1.4392329681521279</v>
      </c>
      <c r="P6">
        <f>N6*2</f>
        <v>2.8784659363042557</v>
      </c>
      <c r="R6">
        <v>6</v>
      </c>
      <c r="T6" s="12">
        <f t="shared" ref="T6:T37" si="0">N6*R6</f>
        <v>8.6353978089127672</v>
      </c>
    </row>
    <row r="7" spans="2:20" x14ac:dyDescent="0.3">
      <c r="B7" s="56">
        <v>44935</v>
      </c>
      <c r="C7" s="58">
        <v>100</v>
      </c>
      <c r="D7" s="57">
        <v>0</v>
      </c>
      <c r="E7" s="58">
        <v>0</v>
      </c>
      <c r="F7" s="58">
        <v>1.94</v>
      </c>
      <c r="G7">
        <v>1.94</v>
      </c>
      <c r="J7" s="27" t="s">
        <v>41</v>
      </c>
      <c r="K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"fin"))))))))))))))))))))))))))))))))))</f>
        <v>7.6306294506161337E-3</v>
      </c>
      <c r="M7" s="22"/>
      <c r="T7" s="12"/>
    </row>
    <row r="8" spans="2:20" x14ac:dyDescent="0.3">
      <c r="B8" s="56">
        <v>45116</v>
      </c>
      <c r="C8" s="58">
        <v>100</v>
      </c>
      <c r="D8" s="57">
        <v>0</v>
      </c>
      <c r="E8" s="58">
        <v>0</v>
      </c>
      <c r="F8" s="58">
        <v>1.94</v>
      </c>
      <c r="G8">
        <v>1.94</v>
      </c>
      <c r="M8" s="22"/>
      <c r="N8">
        <f>(G7+G8)/(1+K13)^3</f>
        <v>2.3685544889542154</v>
      </c>
      <c r="P8">
        <f>N8*3</f>
        <v>7.1056634668626462</v>
      </c>
      <c r="R8">
        <v>12</v>
      </c>
      <c r="T8" s="12">
        <f t="shared" si="0"/>
        <v>28.422653867450585</v>
      </c>
    </row>
    <row r="9" spans="2:20" x14ac:dyDescent="0.3">
      <c r="B9" s="56">
        <v>45300</v>
      </c>
      <c r="C9" s="58">
        <v>100</v>
      </c>
      <c r="D9" s="57">
        <v>0</v>
      </c>
      <c r="E9" s="58">
        <v>0</v>
      </c>
      <c r="F9" s="58">
        <v>2.13</v>
      </c>
      <c r="G9">
        <v>2.13</v>
      </c>
      <c r="J9" s="27" t="s">
        <v>45</v>
      </c>
      <c r="K9">
        <f ca="1">IF(B16&gt;NOW(),C16,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"fin"))))))))))))))))))))))</f>
        <v>100</v>
      </c>
      <c r="M9" s="22"/>
      <c r="T9" s="12"/>
    </row>
    <row r="10" spans="2:20" x14ac:dyDescent="0.3">
      <c r="B10" s="56">
        <v>45482</v>
      </c>
      <c r="C10" s="58">
        <v>100</v>
      </c>
      <c r="D10" s="57">
        <v>0</v>
      </c>
      <c r="E10" s="58">
        <v>0</v>
      </c>
      <c r="F10" s="58">
        <v>2.13</v>
      </c>
      <c r="G10">
        <v>2.13</v>
      </c>
      <c r="M10" s="22"/>
      <c r="N10">
        <f>(G9+G10)/(1+K13)^4</f>
        <v>2.2060319864960229</v>
      </c>
      <c r="P10">
        <f>N10*4</f>
        <v>8.8241279459840918</v>
      </c>
      <c r="R10">
        <v>20</v>
      </c>
      <c r="T10" s="12">
        <f t="shared" si="0"/>
        <v>44.120639729920455</v>
      </c>
    </row>
    <row r="11" spans="2:20" x14ac:dyDescent="0.3">
      <c r="B11" s="56">
        <v>45666</v>
      </c>
      <c r="C11" s="58">
        <v>100</v>
      </c>
      <c r="D11" s="57">
        <v>0</v>
      </c>
      <c r="E11" s="58">
        <v>0</v>
      </c>
      <c r="F11" s="58">
        <v>2.5</v>
      </c>
      <c r="G11">
        <v>2.5</v>
      </c>
      <c r="J11" s="27" t="s">
        <v>46</v>
      </c>
      <c r="K11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NOW()&lt;B35,C35+((NOW()-B34)/(B35-B34))*F35+SUM(F4:F34),IF(NOW()&lt;B36,C36+((NOW()-B35)/(B36-B35))*F36+SUM(F4:F35),IF(NOW()&lt;B37,C37+((NOW()-B36)/(B37-B36))*F37+SUM(F4:F36),"fin"))))))))))))))))))))))))))))))))))</f>
        <v>104.05763062945061</v>
      </c>
      <c r="M11" s="22"/>
      <c r="T11" s="12"/>
    </row>
    <row r="12" spans="2:20" x14ac:dyDescent="0.3">
      <c r="B12" s="56">
        <v>45847</v>
      </c>
      <c r="C12" s="58">
        <v>100</v>
      </c>
      <c r="D12" s="57">
        <v>0</v>
      </c>
      <c r="E12" s="58">
        <v>0</v>
      </c>
      <c r="F12" s="58">
        <v>2.5</v>
      </c>
      <c r="G12">
        <v>2.5</v>
      </c>
      <c r="M12" s="22"/>
      <c r="N12">
        <f>(G11+G12)/(1+K13)^5</f>
        <v>2.1964572856750144</v>
      </c>
      <c r="P12">
        <f>N12*5</f>
        <v>10.982286428375073</v>
      </c>
      <c r="R12">
        <v>30</v>
      </c>
      <c r="T12" s="12">
        <f t="shared" si="0"/>
        <v>65.893718570250428</v>
      </c>
    </row>
    <row r="13" spans="2:20" x14ac:dyDescent="0.3">
      <c r="B13" s="56">
        <v>46031</v>
      </c>
      <c r="C13" s="58">
        <v>100</v>
      </c>
      <c r="D13" s="57">
        <v>0</v>
      </c>
      <c r="E13" s="58">
        <v>0</v>
      </c>
      <c r="F13" s="58">
        <v>2.5</v>
      </c>
      <c r="G13">
        <v>2.5</v>
      </c>
      <c r="J13" s="27" t="s">
        <v>47</v>
      </c>
      <c r="K13" s="11">
        <f>XIRR(G3:G37,B3:B37)</f>
        <v>0.17882530093193058</v>
      </c>
      <c r="M13" s="22"/>
      <c r="T13" s="12"/>
    </row>
    <row r="14" spans="2:20" x14ac:dyDescent="0.3">
      <c r="B14" s="56">
        <v>46212</v>
      </c>
      <c r="C14" s="58">
        <v>100</v>
      </c>
      <c r="D14" s="57">
        <v>0</v>
      </c>
      <c r="E14" s="58">
        <v>0</v>
      </c>
      <c r="F14" s="58">
        <v>2.5</v>
      </c>
      <c r="G14">
        <v>2.5</v>
      </c>
      <c r="M14" s="22"/>
      <c r="N14">
        <f>(G13+G14)/(1+K13)^6</f>
        <v>1.8632593684056376</v>
      </c>
      <c r="P14">
        <f>N14*6</f>
        <v>11.179556210433825</v>
      </c>
      <c r="R14">
        <v>42</v>
      </c>
      <c r="T14" s="12">
        <f t="shared" si="0"/>
        <v>78.256893473036783</v>
      </c>
    </row>
    <row r="15" spans="2:20" x14ac:dyDescent="0.3">
      <c r="B15" s="56">
        <v>46396</v>
      </c>
      <c r="C15" s="58">
        <v>100</v>
      </c>
      <c r="D15" s="57">
        <v>0</v>
      </c>
      <c r="E15" s="58">
        <v>0</v>
      </c>
      <c r="F15" s="58">
        <v>2.5</v>
      </c>
      <c r="G15">
        <v>2.5</v>
      </c>
      <c r="J15" s="27" t="s">
        <v>48</v>
      </c>
      <c r="K15">
        <f>(((G4/((1+K13)^1))*1)+(((G5+G6)/((1+K13)^2))*2)+(((G7+G8)/((1+K13)^3))*3)+(((G9+G10)/((1+K13)^4))*4)+(((G11+G12)/((1+K13)^5))*5)+(((G13+G14)/((1+K13)^6))*6)+(((G15+G16)/((1+K13)^7))*7)+(((G17+G18)/((1+K13)^8))*8)+(((G19+G20)/((1+K13)^9))*9)+(((G21+G22)/((1+K13)^10))*10)+(((G23+G24)/((1+K13)^11))*11)+(((G25+G26)/((1+K13)^12))*12)+(((G27+G28)/((1+K13)^13))*13)+(((G29+G30)/((1+K13)^14))*14)+(((G31+G32)/((1+K13)^15))*15)+(((G33+G34)/((1+K13)^16))*16)+(((G35+G36)/((1+K13)^17))*17)+(((G37)/((1+K13)^18))*18))/J3</f>
        <v>7.8155771030126315</v>
      </c>
      <c r="M15" s="22"/>
      <c r="T15" s="12"/>
    </row>
    <row r="16" spans="2:20" x14ac:dyDescent="0.3">
      <c r="B16" s="56">
        <v>46577</v>
      </c>
      <c r="C16" s="58">
        <v>100</v>
      </c>
      <c r="D16" s="57">
        <v>4.5499999999999999E-2</v>
      </c>
      <c r="E16" s="58">
        <v>4.55</v>
      </c>
      <c r="F16" s="58">
        <v>2.5</v>
      </c>
      <c r="G16">
        <v>7.05</v>
      </c>
      <c r="M16" s="22"/>
      <c r="N16">
        <f>(G15+G16)/(1+K13)^7</f>
        <v>3.0189591204407535</v>
      </c>
      <c r="P16">
        <f>N16*7</f>
        <v>21.132713843085273</v>
      </c>
      <c r="R16">
        <v>56</v>
      </c>
      <c r="T16" s="12">
        <f t="shared" si="0"/>
        <v>169.06171074468219</v>
      </c>
    </row>
    <row r="17" spans="2:20" x14ac:dyDescent="0.3">
      <c r="B17" s="56">
        <v>46761</v>
      </c>
      <c r="C17" s="58">
        <v>95.45</v>
      </c>
      <c r="D17" s="57">
        <v>4.5499999999999999E-2</v>
      </c>
      <c r="E17" s="58">
        <v>4.55</v>
      </c>
      <c r="F17" s="58">
        <v>2.39</v>
      </c>
      <c r="G17">
        <v>6.93</v>
      </c>
      <c r="J17" s="27" t="s">
        <v>49</v>
      </c>
      <c r="K17">
        <f>K15/(1+K13)</f>
        <v>6.6299706129771385</v>
      </c>
      <c r="M17" s="22"/>
      <c r="T17" s="12"/>
    </row>
    <row r="18" spans="2:20" x14ac:dyDescent="0.3">
      <c r="B18" s="56">
        <v>46943</v>
      </c>
      <c r="C18" s="58">
        <v>90.91</v>
      </c>
      <c r="D18" s="57">
        <v>4.5499999999999999E-2</v>
      </c>
      <c r="E18" s="58">
        <v>4.55</v>
      </c>
      <c r="F18" s="58">
        <v>2.27</v>
      </c>
      <c r="G18">
        <v>6.82</v>
      </c>
      <c r="M18" s="22"/>
      <c r="N18">
        <f>(G17+G18)/(1+K13)^8</f>
        <v>3.6872884279380944</v>
      </c>
      <c r="P18">
        <f>N18*8</f>
        <v>29.498307423504755</v>
      </c>
      <c r="R18">
        <v>72</v>
      </c>
      <c r="T18" s="12">
        <f t="shared" si="0"/>
        <v>265.48476681154278</v>
      </c>
    </row>
    <row r="19" spans="2:20" x14ac:dyDescent="0.3">
      <c r="B19" s="56">
        <v>47127</v>
      </c>
      <c r="C19" s="58">
        <v>86.36</v>
      </c>
      <c r="D19" s="57">
        <v>4.5499999999999999E-2</v>
      </c>
      <c r="E19" s="58">
        <v>4.55</v>
      </c>
      <c r="F19" s="58">
        <v>2.16</v>
      </c>
      <c r="G19">
        <v>6.7</v>
      </c>
      <c r="M19" s="22"/>
      <c r="T19" s="12"/>
    </row>
    <row r="20" spans="2:20" x14ac:dyDescent="0.3">
      <c r="B20" s="56">
        <v>47308</v>
      </c>
      <c r="C20" s="58">
        <v>81.819999999999993</v>
      </c>
      <c r="D20" s="57">
        <v>4.5499999999999999E-2</v>
      </c>
      <c r="E20" s="58">
        <v>4.55</v>
      </c>
      <c r="F20" s="58">
        <v>2.0499999999999998</v>
      </c>
      <c r="G20">
        <v>6.59</v>
      </c>
      <c r="M20" s="22"/>
      <c r="N20">
        <f>(G19+G20)/(1+K13)^9</f>
        <v>3.0232909548209754</v>
      </c>
      <c r="P20">
        <f>N20*9</f>
        <v>27.209618593388779</v>
      </c>
      <c r="R20">
        <v>90</v>
      </c>
      <c r="T20" s="12">
        <f t="shared" si="0"/>
        <v>272.0961859338878</v>
      </c>
    </row>
    <row r="21" spans="2:20" x14ac:dyDescent="0.3">
      <c r="B21" s="56">
        <v>47492</v>
      </c>
      <c r="C21" s="58">
        <v>77.27</v>
      </c>
      <c r="D21" s="57">
        <v>4.5499999999999999E-2</v>
      </c>
      <c r="E21" s="58">
        <v>4.55</v>
      </c>
      <c r="F21" s="58">
        <v>1.93</v>
      </c>
      <c r="G21">
        <v>6.48</v>
      </c>
      <c r="M21" s="22"/>
      <c r="T21" s="12"/>
    </row>
    <row r="22" spans="2:20" x14ac:dyDescent="0.3">
      <c r="B22" s="56">
        <v>47673</v>
      </c>
      <c r="C22" s="58">
        <v>72.73</v>
      </c>
      <c r="D22" s="57">
        <v>4.5499999999999999E-2</v>
      </c>
      <c r="E22" s="58">
        <v>4.55</v>
      </c>
      <c r="F22" s="58">
        <v>1.82</v>
      </c>
      <c r="G22">
        <v>6.36</v>
      </c>
      <c r="M22" s="22"/>
      <c r="N22">
        <f>(G21+G22)/(1+K13)^10</f>
        <v>2.477824478563436</v>
      </c>
      <c r="P22">
        <f>N22*10</f>
        <v>24.77824478563436</v>
      </c>
      <c r="R22">
        <v>110</v>
      </c>
      <c r="T22" s="12">
        <f t="shared" si="0"/>
        <v>272.56069264197794</v>
      </c>
    </row>
    <row r="23" spans="2:20" x14ac:dyDescent="0.3">
      <c r="B23" s="56">
        <v>47857</v>
      </c>
      <c r="C23" s="58">
        <v>68.180000000000007</v>
      </c>
      <c r="D23" s="57">
        <v>4.5499999999999999E-2</v>
      </c>
      <c r="E23" s="58">
        <v>4.55</v>
      </c>
      <c r="F23" s="58">
        <v>1.7</v>
      </c>
      <c r="G23">
        <v>6.25</v>
      </c>
      <c r="M23" s="22"/>
      <c r="T23" s="12"/>
    </row>
    <row r="24" spans="2:20" x14ac:dyDescent="0.3">
      <c r="B24" s="56">
        <v>48038</v>
      </c>
      <c r="C24" s="58">
        <v>63.64</v>
      </c>
      <c r="D24" s="57">
        <v>4.5499999999999999E-2</v>
      </c>
      <c r="E24" s="58">
        <v>4.55</v>
      </c>
      <c r="F24" s="58">
        <v>1.59</v>
      </c>
      <c r="G24">
        <v>6.14</v>
      </c>
      <c r="M24" s="22"/>
      <c r="N24">
        <f>(G23+G24)/(1+K13)^11</f>
        <v>2.0282775011131124</v>
      </c>
      <c r="P24">
        <f>N24*11</f>
        <v>22.311052512244238</v>
      </c>
      <c r="R24">
        <v>132</v>
      </c>
      <c r="T24" s="12">
        <f t="shared" si="0"/>
        <v>267.73263014693083</v>
      </c>
    </row>
    <row r="25" spans="2:20" x14ac:dyDescent="0.3">
      <c r="B25" s="56">
        <v>48222</v>
      </c>
      <c r="C25" s="58">
        <v>59.09</v>
      </c>
      <c r="D25" s="57">
        <v>4.5499999999999999E-2</v>
      </c>
      <c r="E25" s="58">
        <v>4.55</v>
      </c>
      <c r="F25" s="58">
        <v>1.48</v>
      </c>
      <c r="G25">
        <v>6.02</v>
      </c>
      <c r="M25" s="22"/>
      <c r="T25" s="12"/>
    </row>
    <row r="26" spans="2:20" x14ac:dyDescent="0.3">
      <c r="B26" s="56">
        <v>48404</v>
      </c>
      <c r="C26" s="58">
        <v>54.55</v>
      </c>
      <c r="D26" s="57">
        <v>4.5499999999999999E-2</v>
      </c>
      <c r="E26" s="58">
        <v>4.55</v>
      </c>
      <c r="F26" s="58">
        <v>1.36</v>
      </c>
      <c r="G26">
        <v>5.91</v>
      </c>
      <c r="M26" s="22"/>
      <c r="N26">
        <f>(G25+G26)/(1+K13)^12</f>
        <v>1.6567121681695962</v>
      </c>
      <c r="P26">
        <f>N26*12</f>
        <v>19.880546018035155</v>
      </c>
      <c r="R26">
        <v>156</v>
      </c>
      <c r="T26" s="12">
        <f t="shared" si="0"/>
        <v>258.44709823445703</v>
      </c>
    </row>
    <row r="27" spans="2:20" x14ac:dyDescent="0.3">
      <c r="B27" s="56">
        <v>48588</v>
      </c>
      <c r="C27" s="58">
        <v>50</v>
      </c>
      <c r="D27" s="57">
        <v>4.5499999999999999E-2</v>
      </c>
      <c r="E27" s="58">
        <v>4.55</v>
      </c>
      <c r="F27" s="58">
        <v>1.25</v>
      </c>
      <c r="G27">
        <v>5.8</v>
      </c>
      <c r="M27" s="22"/>
      <c r="T27" s="12"/>
    </row>
    <row r="28" spans="2:20" x14ac:dyDescent="0.3">
      <c r="B28" s="56">
        <v>48769</v>
      </c>
      <c r="C28" s="58">
        <v>45.45</v>
      </c>
      <c r="D28" s="57">
        <v>4.5499999999999999E-2</v>
      </c>
      <c r="E28" s="58">
        <v>4.55</v>
      </c>
      <c r="F28" s="58">
        <v>1.1399999999999999</v>
      </c>
      <c r="G28">
        <v>5.68</v>
      </c>
      <c r="M28" s="22"/>
      <c r="N28">
        <f>(G27+G28)/(1+K13)^13</f>
        <v>1.3523809918044229</v>
      </c>
      <c r="P28">
        <f>N28*13</f>
        <v>17.5809528934575</v>
      </c>
      <c r="R28">
        <v>182</v>
      </c>
      <c r="T28" s="12">
        <f t="shared" si="0"/>
        <v>246.13334050840498</v>
      </c>
    </row>
    <row r="29" spans="2:20" x14ac:dyDescent="0.3">
      <c r="B29" s="56">
        <v>48953</v>
      </c>
      <c r="C29" s="58">
        <v>40.909999999999997</v>
      </c>
      <c r="D29" s="57">
        <v>4.5499999999999999E-2</v>
      </c>
      <c r="E29" s="58">
        <v>4.55</v>
      </c>
      <c r="F29" s="58">
        <v>1.02</v>
      </c>
      <c r="G29">
        <v>5.57</v>
      </c>
      <c r="M29" s="22"/>
      <c r="T29" s="12"/>
    </row>
    <row r="30" spans="2:20" x14ac:dyDescent="0.3">
      <c r="B30" s="56">
        <v>49134</v>
      </c>
      <c r="C30" s="58">
        <v>36.36</v>
      </c>
      <c r="D30" s="57">
        <v>4.5499999999999999E-2</v>
      </c>
      <c r="E30" s="58">
        <v>4.55</v>
      </c>
      <c r="F30" s="58">
        <v>0.91</v>
      </c>
      <c r="G30">
        <v>5.45</v>
      </c>
      <c r="M30" s="22"/>
      <c r="N30">
        <f>(G29+G30)/(1+K13)^14</f>
        <v>1.1012586076394215</v>
      </c>
      <c r="P30">
        <f>N30*14</f>
        <v>15.417620506951902</v>
      </c>
      <c r="R30">
        <v>210</v>
      </c>
      <c r="T30" s="12">
        <f t="shared" si="0"/>
        <v>231.26430760427851</v>
      </c>
    </row>
    <row r="31" spans="2:20" x14ac:dyDescent="0.3">
      <c r="B31" s="56">
        <v>49318</v>
      </c>
      <c r="C31" s="58">
        <v>31.82</v>
      </c>
      <c r="D31" s="57">
        <v>4.5499999999999999E-2</v>
      </c>
      <c r="E31" s="58">
        <v>4.55</v>
      </c>
      <c r="F31" s="58">
        <v>0.8</v>
      </c>
      <c r="G31">
        <v>5.34</v>
      </c>
      <c r="M31" s="22"/>
      <c r="T31" s="12"/>
    </row>
    <row r="32" spans="2:20" x14ac:dyDescent="0.3">
      <c r="B32" s="56">
        <v>49499</v>
      </c>
      <c r="C32" s="58">
        <v>27.27</v>
      </c>
      <c r="D32" s="57">
        <v>4.5499999999999999E-2</v>
      </c>
      <c r="E32" s="58">
        <v>4.55</v>
      </c>
      <c r="F32" s="58">
        <v>0.68</v>
      </c>
      <c r="G32">
        <v>5.23</v>
      </c>
      <c r="M32" s="22"/>
      <c r="N32">
        <f>(G31+G32)/(1+K13)^15</f>
        <v>0.89605209647861872</v>
      </c>
      <c r="P32">
        <f>N32*15</f>
        <v>13.440781447179281</v>
      </c>
      <c r="R32">
        <v>240</v>
      </c>
      <c r="T32" s="12">
        <f t="shared" si="0"/>
        <v>215.0525031548685</v>
      </c>
    </row>
    <row r="33" spans="2:20" x14ac:dyDescent="0.3">
      <c r="B33" s="56">
        <v>49683</v>
      </c>
      <c r="C33" s="58">
        <v>22.73</v>
      </c>
      <c r="D33" s="57">
        <v>4.5499999999999999E-2</v>
      </c>
      <c r="E33" s="58">
        <v>4.55</v>
      </c>
      <c r="F33" s="58">
        <v>0.56999999999999995</v>
      </c>
      <c r="G33">
        <v>5.1100000000000003</v>
      </c>
      <c r="M33" s="22"/>
      <c r="T33" s="12"/>
    </row>
    <row r="34" spans="2:20" x14ac:dyDescent="0.3">
      <c r="B34" s="56">
        <v>49865</v>
      </c>
      <c r="C34" s="58">
        <v>18.18</v>
      </c>
      <c r="D34" s="57">
        <v>4.5499999999999999E-2</v>
      </c>
      <c r="E34" s="58">
        <v>4.55</v>
      </c>
      <c r="F34" s="58">
        <v>0.45</v>
      </c>
      <c r="G34">
        <v>5</v>
      </c>
      <c r="M34" s="22"/>
      <c r="N34">
        <f>(G33+G34)/(1+K13)^16</f>
        <v>0.72704280363715967</v>
      </c>
      <c r="P34">
        <f>N34*16</f>
        <v>11.632684858194555</v>
      </c>
      <c r="R34">
        <v>272</v>
      </c>
      <c r="T34" s="12">
        <f t="shared" si="0"/>
        <v>197.75564258930743</v>
      </c>
    </row>
    <row r="35" spans="2:20" x14ac:dyDescent="0.3">
      <c r="B35" s="56">
        <v>50049</v>
      </c>
      <c r="C35" s="58">
        <v>13.64</v>
      </c>
      <c r="D35" s="57">
        <v>4.5499999999999999E-2</v>
      </c>
      <c r="E35" s="58">
        <v>4.55</v>
      </c>
      <c r="F35" s="58">
        <v>0.34</v>
      </c>
      <c r="G35">
        <v>4.8899999999999997</v>
      </c>
      <c r="M35" s="22"/>
      <c r="T35" s="12"/>
    </row>
    <row r="36" spans="2:20" x14ac:dyDescent="0.3">
      <c r="B36" s="56">
        <v>50230</v>
      </c>
      <c r="C36" s="58">
        <v>9.09</v>
      </c>
      <c r="D36" s="57">
        <v>4.5499999999999999E-2</v>
      </c>
      <c r="E36" s="58">
        <v>4.55</v>
      </c>
      <c r="F36" s="58">
        <v>0.23</v>
      </c>
      <c r="G36">
        <v>4.7699999999999996</v>
      </c>
      <c r="M36" s="22"/>
      <c r="N36">
        <f>(G35+G36)/(1+K13)^17</f>
        <v>0.58930008325785621</v>
      </c>
      <c r="P36">
        <f>N36*17</f>
        <v>10.018101415383555</v>
      </c>
      <c r="R36">
        <v>306</v>
      </c>
      <c r="T36" s="12">
        <f t="shared" si="0"/>
        <v>180.32582547690399</v>
      </c>
    </row>
    <row r="37" spans="2:20" x14ac:dyDescent="0.3">
      <c r="B37" s="56">
        <v>50414</v>
      </c>
      <c r="C37" s="58">
        <v>4.55</v>
      </c>
      <c r="D37" s="57">
        <v>4.5499999999999999E-2</v>
      </c>
      <c r="E37" s="58">
        <v>4.55</v>
      </c>
      <c r="F37" s="58">
        <v>0.11</v>
      </c>
      <c r="G37">
        <v>4.66</v>
      </c>
      <c r="M37" s="22"/>
      <c r="N37">
        <f>G37/(1+K13)^18</f>
        <v>0.24115476314025572</v>
      </c>
      <c r="P37">
        <f>N37*18</f>
        <v>4.3407857365246025</v>
      </c>
      <c r="R37">
        <v>342</v>
      </c>
      <c r="T37" s="12">
        <f t="shared" si="0"/>
        <v>82.474928993967453</v>
      </c>
    </row>
    <row r="38" spans="2:20" x14ac:dyDescent="0.3">
      <c r="B38" t="s">
        <v>23</v>
      </c>
      <c r="D38" s="11">
        <v>1</v>
      </c>
      <c r="E38">
        <v>100</v>
      </c>
      <c r="F38">
        <v>51.48</v>
      </c>
      <c r="G38">
        <v>151.47999999999999</v>
      </c>
      <c r="M38" s="22"/>
      <c r="T38" s="12"/>
    </row>
    <row r="39" spans="2:20" x14ac:dyDescent="0.3">
      <c r="M39" s="82" t="s">
        <v>102</v>
      </c>
      <c r="N39" s="83">
        <f>SUM(N4,N6,N8,N10,N12,N14,N16,N18,N20,N22,N24,N26,N28,N30,N32,N34,N36,N37)</f>
        <v>30.966391327710348</v>
      </c>
      <c r="O39" s="42"/>
      <c r="P39" s="42"/>
      <c r="Q39" s="42"/>
      <c r="R39" s="42"/>
      <c r="S39" s="83" t="s">
        <v>64</v>
      </c>
      <c r="T39" s="84">
        <f>1/(J3*((1+K13)^2))*SUM(T4,T6,T8,T10,T12,T14,T16,T18,T20,T22,T24,T26,T28,T30,T32,T34,T36,T37)</f>
        <v>62.79291925804754</v>
      </c>
    </row>
  </sheetData>
  <sheetProtection algorithmName="SHA-512" hashValue="w4DLYm2W4r1MRAB2zTFFnB3PBZGP72ZKk1yWdhkGfcxLzB15tfVd1Bg6dnxHdWYya035xcsdvSaCZgk1ia1XGw==" saltValue="3TxmuS1fhtBcK5OgPs9e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0B6D-51DE-46CD-96DB-578A6BE5650F}">
  <dimension ref="B1:S46"/>
  <sheetViews>
    <sheetView topLeftCell="E1" workbookViewId="0">
      <selection activeCell="J3" sqref="J3"/>
    </sheetView>
  </sheetViews>
  <sheetFormatPr baseColWidth="10" defaultRowHeight="14.4" x14ac:dyDescent="0.3"/>
  <cols>
    <col min="3" max="3" width="18.6640625" customWidth="1"/>
    <col min="4" max="4" width="18.109375" customWidth="1"/>
    <col min="5" max="5" width="24.5546875" customWidth="1"/>
    <col min="6" max="6" width="17.33203125" customWidth="1"/>
    <col min="7" max="7" width="14.109375" customWidth="1"/>
    <col min="8" max="8" width="13.109375" customWidth="1"/>
    <col min="9" max="9" width="12.88671875" customWidth="1"/>
    <col min="10" max="10" width="12.33203125" bestFit="1" customWidth="1"/>
  </cols>
  <sheetData>
    <row r="1" spans="2:19" x14ac:dyDescent="0.3">
      <c r="I1" s="39" t="s">
        <v>26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39">
        <f>LOOKUP("AL41D",Extraer!A3:A98,Extraer!B3:B98)</f>
        <v>32.5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-J2</f>
        <v>-32.5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25">
        <v>100</v>
      </c>
      <c r="D4" s="18">
        <v>0</v>
      </c>
      <c r="E4" s="16">
        <v>0</v>
      </c>
      <c r="F4" s="16">
        <v>0.11</v>
      </c>
      <c r="G4">
        <v>0.11</v>
      </c>
      <c r="I4" s="39"/>
      <c r="J4" s="39"/>
      <c r="L4" s="22"/>
      <c r="M4">
        <f>G4/(1+J13)^1</f>
        <v>9.5061317847927082E-2</v>
      </c>
      <c r="O4">
        <f>M4*1</f>
        <v>9.5061317847927082E-2</v>
      </c>
      <c r="Q4">
        <v>2</v>
      </c>
      <c r="S4" s="12">
        <f>M4*Q4</f>
        <v>0.19012263569585416</v>
      </c>
    </row>
    <row r="5" spans="2:19" x14ac:dyDescent="0.3">
      <c r="B5" s="17">
        <v>44570</v>
      </c>
      <c r="C5" s="25">
        <v>100</v>
      </c>
      <c r="D5" s="18">
        <v>0</v>
      </c>
      <c r="E5" s="16">
        <v>0</v>
      </c>
      <c r="F5" s="16">
        <v>1.25</v>
      </c>
      <c r="G5">
        <v>1.25</v>
      </c>
      <c r="L5" s="22"/>
      <c r="S5" s="12"/>
    </row>
    <row r="6" spans="2:19" x14ac:dyDescent="0.3">
      <c r="B6" s="17">
        <v>44751</v>
      </c>
      <c r="C6" s="25">
        <v>100</v>
      </c>
      <c r="D6" s="18">
        <v>0</v>
      </c>
      <c r="E6" s="16">
        <v>0</v>
      </c>
      <c r="F6" s="16">
        <v>1.25</v>
      </c>
      <c r="G6">
        <v>1.25</v>
      </c>
      <c r="L6" s="22"/>
      <c r="M6">
        <f>(G5+G6)/(1+J13)^2</f>
        <v>1.8670773039224422</v>
      </c>
      <c r="O6">
        <f>M6*2</f>
        <v>3.7341546078448844</v>
      </c>
      <c r="Q6">
        <v>6</v>
      </c>
      <c r="S6" s="12">
        <f t="shared" ref="S6:S44" si="0">M6*Q6</f>
        <v>11.202463823534654</v>
      </c>
    </row>
    <row r="7" spans="2:19" x14ac:dyDescent="0.3">
      <c r="B7" s="17">
        <v>44935</v>
      </c>
      <c r="C7" s="25">
        <v>100</v>
      </c>
      <c r="D7" s="18">
        <v>0</v>
      </c>
      <c r="E7" s="16">
        <v>0</v>
      </c>
      <c r="F7" s="16">
        <v>1.75</v>
      </c>
      <c r="G7">
        <v>1.75</v>
      </c>
      <c r="I7" s="27" t="s">
        <v>41</v>
      </c>
      <c r="J7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IF(B21&gt;=NOW(),((NOW()-B20)/(B21-B20))*F21,IF(B22&gt;=NOW(),((NOW()-B21)/(B22-B21))*F22,IF(B23&gt;=NOW(),((NOW()-B22)/(B23-B22))*F23,IF(B24&gt;=NOW(),((NOW()-B23)/(B24-B23))*F24,IF(B25&gt;=NOW(),((NOW()-B24)/(B25-B24))*F25,IF(B26&gt;=NOW(),((NOW()-B25)/(B26-B25))*F26,IF(B27&gt;=NOW(),((NOW()-B26)/(B27-B26))*F27,IF(B28&gt;=NOW(),((NOW()-B27)/(B28-B27))*F28,IF(B29&gt;=NOW(),((NOW()-B28)/(B29-B28))*F29,IF(B30&gt;=NOW(),((NOW()-B29)/(B30-B29))*F30,IF(B31&gt;=NOW(),((NOW()-B30)/(B31-B30))*F31,IF(B32&gt;=NOW(),((NOW()-B31)/(B32-B31))*F32,IF(B33&gt;=NOW(),((NOW()-B32)/(B33-B32))*F33,IF(B34&gt;=NOW(),((NOW()-B33)/(B34-B33))*F34,IF(B35&gt;=NOW(),((NOW()-B34)/(B35-B34))*F35,IF(B36&gt;=NOW(),((NOW()-B35)/(B36-B35))*F36,IF(B37&gt;=NOW(),((NOW()-B36)/(B37-B36))*F37,IF(B38&gt;=NOW(),((NOW()-B37)/(B38-B37))*F38,IF(B39&gt;=NOW(),((NOW()-B38)/(B39-B38))*F39,IF(B40&gt;=NOW(),((NOW()-B39)/(B40-B39))*F40,IF(B41&gt;=NOW(),((NOW()-B40)/(B41-B40))*F41,IF(B42&gt;=NOW(),((NOW()-B41)/(B42-B41))*F42,IF(B43&gt;=NOW(),((NOW()-B42)/(B43-B42))*F43,IF(B44&gt;=NOW(),((NOW()-B43)/(B44-B43))*F44,"fin")))))))))))))))))))))))))))))))))))))))))</f>
        <v>6.8832997621537297E-3</v>
      </c>
      <c r="L7" s="22"/>
      <c r="S7" s="12"/>
    </row>
    <row r="8" spans="2:19" x14ac:dyDescent="0.3">
      <c r="B8" s="17">
        <v>45116</v>
      </c>
      <c r="C8" s="25">
        <v>100</v>
      </c>
      <c r="D8" s="18">
        <v>0</v>
      </c>
      <c r="E8" s="16">
        <v>0</v>
      </c>
      <c r="F8" s="16">
        <v>1.75</v>
      </c>
      <c r="G8">
        <v>1.75</v>
      </c>
      <c r="L8" s="22"/>
      <c r="M8">
        <f>(G7+G8)/(1+J13)^3</f>
        <v>2.2589232786250073</v>
      </c>
      <c r="O8">
        <f>M8*3</f>
        <v>6.7767698358750224</v>
      </c>
      <c r="Q8">
        <v>12</v>
      </c>
      <c r="S8" s="12">
        <f t="shared" si="0"/>
        <v>27.107079343500089</v>
      </c>
    </row>
    <row r="9" spans="2:19" x14ac:dyDescent="0.3">
      <c r="B9" s="17">
        <v>45300</v>
      </c>
      <c r="C9" s="25">
        <v>100</v>
      </c>
      <c r="D9" s="18">
        <v>0</v>
      </c>
      <c r="E9" s="16">
        <v>0</v>
      </c>
      <c r="F9" s="16">
        <v>1.75</v>
      </c>
      <c r="G9">
        <v>1.75</v>
      </c>
      <c r="I9" s="27" t="s">
        <v>45</v>
      </c>
      <c r="J9" s="27">
        <f ca="1">IF(B17&gt;NOW(),C17,IF(B18&gt;NOW(),C18,IF(B19&gt;NOW(),C19,IF(B20&gt;NOW(),C20,IF(B21&gt;NOW(),C21,IF(B22&gt;NOW(),C22,IF(B23&gt;NOW(),C23,IF(B24&gt;NOW(),C24,IF(B25&gt;NOW(),C25,IF(B26&gt;NOW(),C26,IF(B27&gt;NOW(),C27,IF(B28&gt;NOW(),C28,IF(B29&gt;NOW(),C29,IF(B30&gt;NOW(),C30,IF(B31&gt;NOW(),C31,IF(B32&gt;NOW(),C32,IF(B33&gt;NOW(),C33,IF(B34&gt;NOW(),C34,IF(B35&gt;NOW(),C35,IF(B36&gt;NOW(),C36,IF(B37&gt;NOW(),C37,IF(B38&gt;NOW(),C38,IF(B39&gt;NOW(),C39,IF(B40&gt;NOW(),C40,IF(B41&gt;NOW(),C41,IF(B42&gt;NOW(),C42,IF(B43&gt;NOW(),C43,IF(B44&gt;NOW(),C44,"fin"))))))))))))))))))))))))))))</f>
        <v>100</v>
      </c>
      <c r="L9" s="22"/>
      <c r="S9" s="12"/>
    </row>
    <row r="10" spans="2:19" x14ac:dyDescent="0.3">
      <c r="B10" s="17">
        <v>45482</v>
      </c>
      <c r="C10" s="25">
        <v>100</v>
      </c>
      <c r="D10" s="18">
        <v>0</v>
      </c>
      <c r="E10" s="16">
        <v>0</v>
      </c>
      <c r="F10" s="16">
        <v>1.75</v>
      </c>
      <c r="G10">
        <v>1.75</v>
      </c>
      <c r="L10" s="22"/>
      <c r="M10">
        <f>(G9+G10)/(1+J13)^4</f>
        <v>1.9521474889404853</v>
      </c>
      <c r="O10">
        <f>M10*4</f>
        <v>7.8085899557619411</v>
      </c>
      <c r="Q10">
        <v>20</v>
      </c>
      <c r="S10" s="12">
        <f t="shared" si="0"/>
        <v>39.042949778809707</v>
      </c>
    </row>
    <row r="11" spans="2:19" x14ac:dyDescent="0.3">
      <c r="B11" s="17">
        <v>45666</v>
      </c>
      <c r="C11" s="25">
        <v>100</v>
      </c>
      <c r="D11" s="18">
        <v>0</v>
      </c>
      <c r="E11" s="16">
        <v>0</v>
      </c>
      <c r="F11" s="16">
        <v>1.75</v>
      </c>
      <c r="G11">
        <v>1.75</v>
      </c>
      <c r="I11" s="27" t="s">
        <v>46</v>
      </c>
      <c r="J11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IF(NOW()&lt;B21,C21+((NOW()-B20)/(B21-B20))*F21+SUM(F4:F20),IF(B22&lt;NOW(),C22+((NOW()-B21)/(B22-B21))*F22+SUM(F4:F21),IF(NOW()&lt;B23,C23+((NOW()-B22)/(B23-B22))*F23+SUM(F4:F22),IF(NOW()&lt;B24,C24+((NOW()-B23)/(B24-B23))*F24+SUM(F4:F23),IF(NOW()&lt;B25,C25+((NOW()-B24)/(B25-B24))*F25+SUM(F4:F24),IF(NOW()&lt;B26,C26+((NOW()-B25)/(B26-B25))*F26+SUM(F4:F25),IF(NOW()&lt;B27,C27+((NOW()-B26)/(B27-B26))*F27+SUM(F4:F26),IF(NOW()&lt;B28,C28+((NOW()-B27)/(B28-B27))*F28+SUM(F4:F27),IF(NOW()&lt;B29,C29+((NOW()-B28)/(B29-B28))*F29+SUM(F4:F28),IF(NOW()&lt;B30,C30+((NOW()-B29)/(B30-B29))*F30+SUM(F4:F29),IF(NOW()&lt;B31,C31+((NOW()-B30)/(B31-B30))*F31+SUM(F4:F30),IF(NOW()&lt;B32,C32+((NOW()-B31)/(B32-B31))*F32+SUM(F4:F31),IF(NOW()&lt;B33,C33+((NOW()-B32)/(B33-B32))*F33+SUM(F4:F32),IF(NOW()&lt;B34,C34+((NOW()-B33)/(B34-B33))*F34+SUM(F4:F33),IF(B35&lt;NOW(),C35+((NOW()-B34)/(B35-B34))*F35+SUM(F4:F34),IF(NOW()&lt;B36,C36+((NOW()-B35)/(B36-B35))*F36+SUM(F4:F35),IF(NOW()&lt;B37,C37+((NOW()-B36)/(B37-B36))*F37+SUM(F4:F36),IF(NOW()&lt;B38,C38+((NOW()-B37)/(B38-B37))*F38+SUM(F4:F37),IF(NOW()&lt;B39,C39+((NOW()-B38)/(B39-B38))*F39+SUM(F4:F38),IF(NOW()&lt;B40,C40+((NOW()-B39)/(B40-B39))*F40+SUM(F4:F39),IF(NOW()&lt;B41,C41+((NOW()-B40)/(B41-B40))*F41+SUM(F4:F40),IF(NOW()&lt;B42,C42+((NOW()-B41)/(B42-B41))*F42+SUM(F4:F41),IF(NOW()&lt;B43,C43+((NOW()-B42)/(B43-B42))*F43+SUM(F4:F42),IF(NOW()&lt;B44,C44+((NOW()-B43)/(B44-B43))*F44+SUM(F4:F43),"Fin")))))))))))))))))))))))))))))))))))))))))</f>
        <v>104.36688329976215</v>
      </c>
      <c r="L11" s="22"/>
      <c r="S11" s="12"/>
    </row>
    <row r="12" spans="2:19" x14ac:dyDescent="0.3">
      <c r="B12" s="17">
        <v>45847</v>
      </c>
      <c r="C12" s="25">
        <v>100</v>
      </c>
      <c r="D12" s="18">
        <v>0</v>
      </c>
      <c r="E12" s="16">
        <v>0</v>
      </c>
      <c r="F12" s="16">
        <v>1.75</v>
      </c>
      <c r="G12">
        <v>1.75</v>
      </c>
      <c r="L12" s="22"/>
      <c r="M12">
        <f>(G11+G12)/(1+J13)^5</f>
        <v>1.6870337539291291</v>
      </c>
      <c r="O12">
        <f>M12*5</f>
        <v>8.4351687696456459</v>
      </c>
      <c r="Q12">
        <v>30</v>
      </c>
      <c r="S12" s="12">
        <f t="shared" si="0"/>
        <v>50.611012617873875</v>
      </c>
    </row>
    <row r="13" spans="2:19" x14ac:dyDescent="0.3">
      <c r="B13" s="17">
        <v>46031</v>
      </c>
      <c r="C13" s="25">
        <v>100</v>
      </c>
      <c r="D13" s="18">
        <v>0</v>
      </c>
      <c r="E13" s="16">
        <v>0</v>
      </c>
      <c r="F13" s="16">
        <v>1.75</v>
      </c>
      <c r="G13">
        <v>1.75</v>
      </c>
      <c r="I13" s="27" t="s">
        <v>47</v>
      </c>
      <c r="J13" s="30">
        <f>XIRR(G3:G44,B3:B44)</f>
        <v>0.15714785456657412</v>
      </c>
      <c r="L13" s="22"/>
      <c r="S13" s="12"/>
    </row>
    <row r="14" spans="2:19" x14ac:dyDescent="0.3">
      <c r="B14" s="17">
        <v>46212</v>
      </c>
      <c r="C14" s="25">
        <v>100</v>
      </c>
      <c r="D14" s="18">
        <v>0</v>
      </c>
      <c r="E14" s="16">
        <v>0</v>
      </c>
      <c r="F14" s="16">
        <v>1.75</v>
      </c>
      <c r="G14">
        <v>1.75</v>
      </c>
      <c r="L14" s="22"/>
      <c r="M14">
        <f>(G13+G14)/(1+J13)^6</f>
        <v>1.4579241082039864</v>
      </c>
      <c r="O14">
        <f>M14*6</f>
        <v>8.7475446492239186</v>
      </c>
      <c r="Q14">
        <v>42</v>
      </c>
      <c r="S14" s="12">
        <f t="shared" si="0"/>
        <v>61.23281254456743</v>
      </c>
    </row>
    <row r="15" spans="2:19" x14ac:dyDescent="0.3">
      <c r="B15" s="17">
        <v>46396</v>
      </c>
      <c r="C15" s="25">
        <v>100</v>
      </c>
      <c r="D15" s="18">
        <v>0</v>
      </c>
      <c r="E15" s="16">
        <v>0</v>
      </c>
      <c r="F15" s="16">
        <v>1.75</v>
      </c>
      <c r="G15">
        <v>1.75</v>
      </c>
      <c r="I15" s="27" t="s">
        <v>48</v>
      </c>
      <c r="J15" s="27">
        <f>(((G4/((1+J13)^1))*1)+(((G5+G6)/((1+J13)^2))*2)+(((G7+G8)/((1+J13)^3))*3)+(((G9+G10)/((1+J13)^4))*4)+(((G11+G12)/((1+J13)^5))*5)+(((G13+G14)/((1+J13)^6))*6)+(((G15+G16)/((1+J13)^7))*7)+(((G17+G18)/((1+J13)^8))*8)+(((G19+G20)/((1+J13)^9))*9)+(((G21+G22)/((1+J13)^10))*10)+(((G23+G24)/((1+J13)^11))*11)+(((G25+G26)/((1+J13)^12))*12)+(((G27+G28)/((1+J13)^13))*13)+(((G29+G30)/((1+J13)^14))*14)+(((G31+G32)/((1+J13)^15))*15)+(((G33+G34)/((1+J13)^16))*16)+(((G35+G36)/((1+J13)^17))*17)+(((G37+G38)/((1+J13)^18))*18)+(((G39+G40)/((1+J13)^19))*19)+(((G41+G42)/((1+J13)^20))*20)+(((G43+G44)/((1+J13)^21))*21))/J2</f>
        <v>8.750314719637128</v>
      </c>
      <c r="L15" s="22"/>
      <c r="S15" s="12"/>
    </row>
    <row r="16" spans="2:19" x14ac:dyDescent="0.3">
      <c r="B16" s="17">
        <v>46577</v>
      </c>
      <c r="C16" s="25">
        <v>100</v>
      </c>
      <c r="D16" s="18">
        <v>0</v>
      </c>
      <c r="E16" s="16">
        <v>0</v>
      </c>
      <c r="F16" s="16">
        <v>1.75</v>
      </c>
      <c r="G16">
        <v>1.75</v>
      </c>
      <c r="L16" s="22"/>
      <c r="M16">
        <f>(G15+G16)/(1+J13)^7</f>
        <v>1.259928973164862</v>
      </c>
      <c r="O16">
        <f>M16*7</f>
        <v>8.8195028121540346</v>
      </c>
      <c r="Q16">
        <v>56</v>
      </c>
      <c r="S16" s="12">
        <f t="shared" si="0"/>
        <v>70.556022497232277</v>
      </c>
    </row>
    <row r="17" spans="2:19" x14ac:dyDescent="0.3">
      <c r="B17" s="17">
        <v>46761</v>
      </c>
      <c r="C17" s="25">
        <v>100</v>
      </c>
      <c r="D17" s="18">
        <v>3.5700000000000003E-2</v>
      </c>
      <c r="E17" s="16">
        <v>3.57</v>
      </c>
      <c r="F17" s="16">
        <v>1.75</v>
      </c>
      <c r="G17">
        <v>5.32</v>
      </c>
      <c r="I17" s="27" t="s">
        <v>49</v>
      </c>
      <c r="J17" s="27">
        <f>J15/(1+J13)</f>
        <v>7.5619677166620001</v>
      </c>
      <c r="L17" s="22"/>
      <c r="S17" s="12"/>
    </row>
    <row r="18" spans="2:19" x14ac:dyDescent="0.3">
      <c r="B18" s="17">
        <v>46943</v>
      </c>
      <c r="C18" s="25">
        <v>96.43</v>
      </c>
      <c r="D18" s="18">
        <v>3.5700000000000003E-2</v>
      </c>
      <c r="E18" s="16">
        <v>3.57</v>
      </c>
      <c r="F18" s="16">
        <v>1.69</v>
      </c>
      <c r="G18">
        <v>5.26</v>
      </c>
      <c r="L18" s="22"/>
      <c r="M18">
        <f>(G17+G18)/(1+J13)^8</f>
        <v>3.291355794329867</v>
      </c>
      <c r="O18">
        <f>M18*8</f>
        <v>26.330846354638936</v>
      </c>
      <c r="Q18">
        <v>72</v>
      </c>
      <c r="S18" s="12">
        <f t="shared" si="0"/>
        <v>236.97761719175043</v>
      </c>
    </row>
    <row r="19" spans="2:19" x14ac:dyDescent="0.3">
      <c r="B19" s="17">
        <v>47127</v>
      </c>
      <c r="C19" s="25">
        <v>92.86</v>
      </c>
      <c r="D19" s="18">
        <v>3.5700000000000003E-2</v>
      </c>
      <c r="E19" s="16">
        <v>3.57</v>
      </c>
      <c r="F19" s="16">
        <v>1.63</v>
      </c>
      <c r="G19">
        <v>5.2</v>
      </c>
      <c r="L19" s="22"/>
      <c r="S19" s="12"/>
    </row>
    <row r="20" spans="2:19" x14ac:dyDescent="0.3">
      <c r="B20" s="17">
        <v>47308</v>
      </c>
      <c r="C20" s="25">
        <v>89.29</v>
      </c>
      <c r="D20" s="18">
        <v>3.5700000000000003E-2</v>
      </c>
      <c r="E20" s="16">
        <v>3.57</v>
      </c>
      <c r="F20" s="16">
        <v>1.56</v>
      </c>
      <c r="G20">
        <v>5.13</v>
      </c>
      <c r="L20" s="22"/>
      <c r="M20">
        <f>(G19+G20)/(1+J13)^9</f>
        <v>2.777158272493697</v>
      </c>
      <c r="O20">
        <f>M20*9</f>
        <v>24.994424452443273</v>
      </c>
      <c r="Q20">
        <v>90</v>
      </c>
      <c r="S20" s="12">
        <f t="shared" si="0"/>
        <v>249.94424452443272</v>
      </c>
    </row>
    <row r="21" spans="2:19" x14ac:dyDescent="0.3">
      <c r="B21" s="17">
        <v>47492</v>
      </c>
      <c r="C21" s="25">
        <v>85.71</v>
      </c>
      <c r="D21" s="18">
        <v>3.5700000000000003E-2</v>
      </c>
      <c r="E21" s="16">
        <v>3.57</v>
      </c>
      <c r="F21" s="16">
        <v>2.09</v>
      </c>
      <c r="G21">
        <v>5.66</v>
      </c>
      <c r="L21" s="22"/>
      <c r="S21" s="12"/>
    </row>
    <row r="22" spans="2:19" x14ac:dyDescent="0.3">
      <c r="B22" s="17">
        <v>47673</v>
      </c>
      <c r="C22" s="25">
        <v>82.14</v>
      </c>
      <c r="D22" s="18">
        <v>3.5700000000000003E-2</v>
      </c>
      <c r="E22" s="16">
        <v>3.57</v>
      </c>
      <c r="F22" s="16">
        <v>2</v>
      </c>
      <c r="G22">
        <v>5.57</v>
      </c>
      <c r="L22" s="22"/>
      <c r="M22">
        <f>(G21+G22)/(1+J13)^10</f>
        <v>2.6091029240689325</v>
      </c>
      <c r="O22">
        <f>M22*10</f>
        <v>26.091029240689323</v>
      </c>
      <c r="Q22">
        <v>110</v>
      </c>
      <c r="S22" s="12">
        <f t="shared" si="0"/>
        <v>287.00132164758259</v>
      </c>
    </row>
    <row r="23" spans="2:19" x14ac:dyDescent="0.3">
      <c r="B23" s="17">
        <v>47857</v>
      </c>
      <c r="C23" s="25">
        <v>78.569999999999993</v>
      </c>
      <c r="D23" s="18">
        <v>3.5700000000000003E-2</v>
      </c>
      <c r="E23" s="16">
        <v>3.57</v>
      </c>
      <c r="F23" s="16">
        <v>1.92</v>
      </c>
      <c r="G23">
        <v>5.49</v>
      </c>
      <c r="L23" s="22"/>
      <c r="S23" s="12"/>
    </row>
    <row r="24" spans="2:19" x14ac:dyDescent="0.3">
      <c r="B24" s="17">
        <v>48038</v>
      </c>
      <c r="C24" s="25">
        <v>75</v>
      </c>
      <c r="D24" s="18">
        <v>3.5700000000000003E-2</v>
      </c>
      <c r="E24" s="16">
        <v>3.57</v>
      </c>
      <c r="F24" s="16">
        <v>1.83</v>
      </c>
      <c r="G24">
        <v>5.4</v>
      </c>
      <c r="L24" s="22"/>
      <c r="M24">
        <f>(G23+G24)/(1+J13)^11</f>
        <v>2.1865050288445596</v>
      </c>
      <c r="O24">
        <f>M24*11</f>
        <v>24.051555317290156</v>
      </c>
      <c r="Q24">
        <v>132</v>
      </c>
      <c r="S24" s="12">
        <f t="shared" si="0"/>
        <v>288.61866380748188</v>
      </c>
    </row>
    <row r="25" spans="2:19" x14ac:dyDescent="0.3">
      <c r="B25" s="17">
        <v>48222</v>
      </c>
      <c r="C25" s="25">
        <v>71.430000000000007</v>
      </c>
      <c r="D25" s="18">
        <v>3.5700000000000003E-2</v>
      </c>
      <c r="E25" s="16">
        <v>3.57</v>
      </c>
      <c r="F25" s="16">
        <v>1.74</v>
      </c>
      <c r="G25">
        <v>5.31</v>
      </c>
      <c r="L25" s="22"/>
      <c r="S25" s="12"/>
    </row>
    <row r="26" spans="2:19" x14ac:dyDescent="0.3">
      <c r="B26" s="17">
        <v>48404</v>
      </c>
      <c r="C26" s="25">
        <v>67.86</v>
      </c>
      <c r="D26" s="18">
        <v>3.5700000000000003E-2</v>
      </c>
      <c r="E26" s="16">
        <v>3.57</v>
      </c>
      <c r="F26" s="16">
        <v>1.65</v>
      </c>
      <c r="G26">
        <v>5.23</v>
      </c>
      <c r="L26" s="22"/>
      <c r="M26">
        <f>(G25+G26)/(1+J13)^12</f>
        <v>1.8288342949939904</v>
      </c>
      <c r="O26">
        <f>M26*12</f>
        <v>21.946011539927884</v>
      </c>
      <c r="Q26">
        <v>156</v>
      </c>
      <c r="S26" s="12">
        <f t="shared" si="0"/>
        <v>285.29815001906252</v>
      </c>
    </row>
    <row r="27" spans="2:19" x14ac:dyDescent="0.3">
      <c r="B27" s="17">
        <v>48588</v>
      </c>
      <c r="C27" s="25">
        <v>64.290000000000006</v>
      </c>
      <c r="D27" s="18">
        <v>3.5700000000000003E-2</v>
      </c>
      <c r="E27" s="16">
        <v>3.57</v>
      </c>
      <c r="F27" s="16">
        <v>1.57</v>
      </c>
      <c r="G27">
        <v>5.14</v>
      </c>
      <c r="L27" s="22"/>
      <c r="S27" s="12"/>
    </row>
    <row r="28" spans="2:19" x14ac:dyDescent="0.3">
      <c r="B28" s="17">
        <v>48769</v>
      </c>
      <c r="C28" s="25">
        <v>60.71</v>
      </c>
      <c r="D28" s="18">
        <v>3.5700000000000003E-2</v>
      </c>
      <c r="E28" s="16">
        <v>3.57</v>
      </c>
      <c r="F28" s="16">
        <v>1.48</v>
      </c>
      <c r="G28">
        <v>5.05</v>
      </c>
      <c r="L28" s="22"/>
      <c r="M28">
        <f>(G27+G28)/(1+J13)^13</f>
        <v>1.5279849471585134</v>
      </c>
      <c r="O28">
        <f>M28*13</f>
        <v>19.863804313060676</v>
      </c>
      <c r="Q28">
        <v>182</v>
      </c>
      <c r="S28" s="12">
        <f t="shared" si="0"/>
        <v>278.09326038284945</v>
      </c>
    </row>
    <row r="29" spans="2:19" x14ac:dyDescent="0.3">
      <c r="B29" s="17">
        <v>48953</v>
      </c>
      <c r="C29" s="25">
        <v>57.14</v>
      </c>
      <c r="D29" s="18">
        <v>3.5700000000000003E-2</v>
      </c>
      <c r="E29" s="16">
        <v>3.57</v>
      </c>
      <c r="F29" s="16">
        <v>1.39</v>
      </c>
      <c r="G29">
        <v>4.96</v>
      </c>
      <c r="L29" s="22"/>
      <c r="S29" s="12"/>
    </row>
    <row r="30" spans="2:19" x14ac:dyDescent="0.3">
      <c r="B30" s="17">
        <v>49134</v>
      </c>
      <c r="C30" s="25">
        <v>53.57</v>
      </c>
      <c r="D30" s="18">
        <v>3.5700000000000003E-2</v>
      </c>
      <c r="E30" s="16">
        <v>3.57</v>
      </c>
      <c r="F30" s="16">
        <v>1.31</v>
      </c>
      <c r="G30">
        <v>4.88</v>
      </c>
      <c r="L30" s="22"/>
      <c r="M30">
        <f>(G29+G30)/(1+J13)^14</f>
        <v>1.2751202295032971</v>
      </c>
      <c r="O30">
        <f>M30*14</f>
        <v>17.851683213046158</v>
      </c>
      <c r="Q30">
        <v>210</v>
      </c>
      <c r="S30" s="12">
        <f t="shared" si="0"/>
        <v>267.77524819569237</v>
      </c>
    </row>
    <row r="31" spans="2:19" x14ac:dyDescent="0.3">
      <c r="B31" s="17">
        <v>49318</v>
      </c>
      <c r="C31" s="25">
        <v>50</v>
      </c>
      <c r="D31" s="18">
        <v>3.5700000000000003E-2</v>
      </c>
      <c r="E31" s="16">
        <v>3.57</v>
      </c>
      <c r="F31" s="16">
        <v>1.22</v>
      </c>
      <c r="G31">
        <v>4.79</v>
      </c>
      <c r="L31" s="22"/>
      <c r="S31" s="12"/>
    </row>
    <row r="32" spans="2:19" x14ac:dyDescent="0.3">
      <c r="B32" s="17">
        <v>49499</v>
      </c>
      <c r="C32" s="25">
        <v>46.43</v>
      </c>
      <c r="D32" s="18">
        <v>3.5700000000000003E-2</v>
      </c>
      <c r="E32" s="16">
        <v>3.57</v>
      </c>
      <c r="F32" s="16">
        <v>1.1299999999999999</v>
      </c>
      <c r="G32">
        <v>4.7</v>
      </c>
      <c r="L32" s="22"/>
      <c r="M32">
        <f>(G31+G32)/(1+J13)^15</f>
        <v>1.0627555834270768</v>
      </c>
      <c r="O32">
        <f>M32*15</f>
        <v>15.941333751406152</v>
      </c>
      <c r="Q32">
        <v>240</v>
      </c>
      <c r="S32" s="12">
        <f t="shared" si="0"/>
        <v>255.06134002249843</v>
      </c>
    </row>
    <row r="33" spans="2:19" x14ac:dyDescent="0.3">
      <c r="B33" s="17">
        <v>49683</v>
      </c>
      <c r="C33" s="25">
        <v>42.86</v>
      </c>
      <c r="D33" s="18">
        <v>3.5700000000000003E-2</v>
      </c>
      <c r="E33" s="16">
        <v>3.57</v>
      </c>
      <c r="F33" s="16">
        <v>1.04</v>
      </c>
      <c r="G33">
        <v>4.62</v>
      </c>
      <c r="L33" s="22"/>
      <c r="S33" s="12"/>
    </row>
    <row r="34" spans="2:19" x14ac:dyDescent="0.3">
      <c r="B34" s="17">
        <v>49865</v>
      </c>
      <c r="C34" s="25">
        <v>39.29</v>
      </c>
      <c r="D34" s="18">
        <v>3.5700000000000003E-2</v>
      </c>
      <c r="E34" s="16">
        <v>3.57</v>
      </c>
      <c r="F34" s="16">
        <v>0.96</v>
      </c>
      <c r="G34">
        <v>4.53</v>
      </c>
      <c r="L34" s="22"/>
      <c r="M34">
        <f>(G33+G34)/(1+J13)^16</f>
        <v>0.88552213693266368</v>
      </c>
      <c r="O34">
        <f>M34*16</f>
        <v>14.168354190922619</v>
      </c>
      <c r="Q34">
        <v>272</v>
      </c>
      <c r="S34" s="12">
        <f t="shared" si="0"/>
        <v>240.86202124568453</v>
      </c>
    </row>
    <row r="35" spans="2:19" x14ac:dyDescent="0.3">
      <c r="B35" s="17">
        <v>50049</v>
      </c>
      <c r="C35" s="25">
        <v>35.71</v>
      </c>
      <c r="D35" s="18">
        <v>3.5700000000000003E-2</v>
      </c>
      <c r="E35" s="16">
        <v>3.57</v>
      </c>
      <c r="F35" s="16">
        <v>0.87</v>
      </c>
      <c r="G35">
        <v>4.4400000000000004</v>
      </c>
      <c r="L35" s="22"/>
      <c r="S35" s="12"/>
    </row>
    <row r="36" spans="2:19" x14ac:dyDescent="0.3">
      <c r="B36" s="17">
        <v>50230</v>
      </c>
      <c r="C36" s="25">
        <v>32.14</v>
      </c>
      <c r="D36" s="18">
        <v>3.5700000000000003E-2</v>
      </c>
      <c r="E36" s="16">
        <v>3.57</v>
      </c>
      <c r="F36" s="16">
        <v>0.78</v>
      </c>
      <c r="G36">
        <v>4.3499999999999996</v>
      </c>
      <c r="L36" s="22"/>
      <c r="M36">
        <f>(G35+G36)/(1+J13)^17</f>
        <v>0.73515404133702367</v>
      </c>
      <c r="O36">
        <f>M36*17</f>
        <v>12.497618702729403</v>
      </c>
      <c r="Q36">
        <v>306</v>
      </c>
      <c r="S36" s="12">
        <f t="shared" si="0"/>
        <v>224.95713664912924</v>
      </c>
    </row>
    <row r="37" spans="2:19" x14ac:dyDescent="0.3">
      <c r="B37" s="17">
        <v>50414</v>
      </c>
      <c r="C37" s="25">
        <v>28.57</v>
      </c>
      <c r="D37" s="18">
        <v>3.5700000000000003E-2</v>
      </c>
      <c r="E37" s="16">
        <v>3.57</v>
      </c>
      <c r="F37" s="16">
        <v>0.7</v>
      </c>
      <c r="G37">
        <v>4.2699999999999996</v>
      </c>
      <c r="L37" s="22"/>
      <c r="S37" s="12"/>
    </row>
    <row r="38" spans="2:19" x14ac:dyDescent="0.3">
      <c r="B38" s="17">
        <v>50595</v>
      </c>
      <c r="C38" s="25">
        <v>25</v>
      </c>
      <c r="D38" s="18">
        <v>3.5700000000000003E-2</v>
      </c>
      <c r="E38" s="16">
        <v>3.57</v>
      </c>
      <c r="F38" s="16">
        <v>0.61</v>
      </c>
      <c r="G38">
        <v>4.18</v>
      </c>
      <c r="L38" s="22"/>
      <c r="M38">
        <f>(G37+G38)/(1+J13)^18</f>
        <v>0.61074135517803552</v>
      </c>
      <c r="O38">
        <f>M38*18</f>
        <v>10.993344393204639</v>
      </c>
      <c r="Q38">
        <v>342</v>
      </c>
      <c r="S38" s="12">
        <f t="shared" si="0"/>
        <v>208.87354347088814</v>
      </c>
    </row>
    <row r="39" spans="2:19" x14ac:dyDescent="0.3">
      <c r="B39" s="17">
        <v>50779</v>
      </c>
      <c r="C39" s="25">
        <v>21.43</v>
      </c>
      <c r="D39" s="18">
        <v>3.5700000000000003E-2</v>
      </c>
      <c r="E39" s="16">
        <v>3.57</v>
      </c>
      <c r="F39" s="16">
        <v>0.52</v>
      </c>
      <c r="G39">
        <v>4.09</v>
      </c>
      <c r="L39" s="22"/>
      <c r="S39" s="12"/>
    </row>
    <row r="40" spans="2:19" x14ac:dyDescent="0.3">
      <c r="B40" s="17">
        <v>50960</v>
      </c>
      <c r="C40" s="25">
        <v>17.86</v>
      </c>
      <c r="D40" s="18">
        <v>3.5700000000000003E-2</v>
      </c>
      <c r="E40" s="16">
        <v>3.57</v>
      </c>
      <c r="F40" s="16">
        <v>0.44</v>
      </c>
      <c r="G40">
        <v>4.01</v>
      </c>
      <c r="L40" s="22"/>
      <c r="M40">
        <f>(G39+G40)/(1+J13)^19</f>
        <v>0.50593739914832592</v>
      </c>
      <c r="O40">
        <f>M40*19</f>
        <v>9.6128105838181916</v>
      </c>
      <c r="Q40">
        <v>380</v>
      </c>
      <c r="S40" s="12">
        <f t="shared" si="0"/>
        <v>192.25621167636385</v>
      </c>
    </row>
    <row r="41" spans="2:19" x14ac:dyDescent="0.3">
      <c r="B41" s="17">
        <v>51144</v>
      </c>
      <c r="C41" s="25">
        <v>14.29</v>
      </c>
      <c r="D41" s="18">
        <v>3.5700000000000003E-2</v>
      </c>
      <c r="E41" s="16">
        <v>3.57</v>
      </c>
      <c r="F41" s="16">
        <v>0.35</v>
      </c>
      <c r="G41">
        <v>3.92</v>
      </c>
      <c r="L41" s="22"/>
      <c r="S41" s="12"/>
    </row>
    <row r="42" spans="2:19" x14ac:dyDescent="0.3">
      <c r="B42" s="17">
        <v>51326</v>
      </c>
      <c r="C42" s="25">
        <v>10.71</v>
      </c>
      <c r="D42" s="18">
        <v>3.5700000000000003E-2</v>
      </c>
      <c r="E42" s="16">
        <v>3.57</v>
      </c>
      <c r="F42" s="16">
        <v>0.26</v>
      </c>
      <c r="G42">
        <v>3.83</v>
      </c>
      <c r="L42" s="22"/>
      <c r="M42">
        <f>(G41+G42)/(1+J13)^20</f>
        <v>0.41833539653742136</v>
      </c>
      <c r="O42">
        <f>M42*20</f>
        <v>8.3667079307484276</v>
      </c>
      <c r="Q42">
        <v>420</v>
      </c>
      <c r="S42" s="12">
        <f t="shared" si="0"/>
        <v>175.70086654571696</v>
      </c>
    </row>
    <row r="43" spans="2:19" x14ac:dyDescent="0.3">
      <c r="B43" s="17">
        <v>51510</v>
      </c>
      <c r="C43" s="25">
        <v>7.14</v>
      </c>
      <c r="D43" s="18">
        <v>3.5700000000000003E-2</v>
      </c>
      <c r="E43" s="16">
        <v>3.57</v>
      </c>
      <c r="F43" s="16">
        <v>0.17</v>
      </c>
      <c r="G43">
        <v>3.75</v>
      </c>
      <c r="L43" s="22"/>
      <c r="S43" s="12"/>
    </row>
    <row r="44" spans="2:19" x14ac:dyDescent="0.3">
      <c r="B44" s="17">
        <v>51691</v>
      </c>
      <c r="C44" s="25">
        <v>3.57</v>
      </c>
      <c r="D44" s="18">
        <v>3.5700000000000003E-2</v>
      </c>
      <c r="E44" s="16">
        <v>3.57</v>
      </c>
      <c r="F44" s="16">
        <v>0.09</v>
      </c>
      <c r="G44">
        <v>3.66</v>
      </c>
      <c r="L44" s="22"/>
      <c r="M44">
        <f>(G43+G44)/(1+J13)^21</f>
        <v>0.34566249790130532</v>
      </c>
      <c r="O44">
        <f>M44*21</f>
        <v>7.2589124559274119</v>
      </c>
      <c r="Q44">
        <v>462</v>
      </c>
      <c r="S44" s="12">
        <f t="shared" si="0"/>
        <v>159.69607403040305</v>
      </c>
    </row>
    <row r="45" spans="2:19" x14ac:dyDescent="0.3">
      <c r="B45" t="s">
        <v>23</v>
      </c>
      <c r="D45" s="11">
        <v>1</v>
      </c>
      <c r="E45">
        <v>100</v>
      </c>
      <c r="F45">
        <v>52.85</v>
      </c>
      <c r="G45">
        <v>152.85</v>
      </c>
      <c r="L45" s="22"/>
      <c r="S45" s="12"/>
    </row>
    <row r="46" spans="2:19" x14ac:dyDescent="0.3">
      <c r="L46" s="52" t="s">
        <v>102</v>
      </c>
      <c r="M46" s="53">
        <f>SUM(M4,M6,M8,M10,M12,M14,M16,M18,M20,M22,M24,M26,M28,M30,M32,M34,M36,M38,M40,M42,M44)</f>
        <v>30.638266126488546</v>
      </c>
      <c r="N46" s="42"/>
      <c r="O46" s="42"/>
      <c r="P46" s="42"/>
      <c r="Q46" s="42"/>
      <c r="R46" s="53" t="s">
        <v>103</v>
      </c>
      <c r="S46" s="54">
        <f>1/(J2*((1+J13)^2))*SUM(S4,S6,S8,S10,S12,S14,S16,S18,S20,S22,S24,S26,S28,S30,S32,S34,S36,S38,S40,S42,S44)</f>
        <v>82.979996783127262</v>
      </c>
    </row>
  </sheetData>
  <sheetProtection algorithmName="SHA-512" hashValue="S2NmU4VMOae+tv2U0SeO51L02BNgaESEUMTi15ecc/IPzcpCPgvkp0UC7kmDcbbBia2lpSQI2xu/CYRP7mVOCQ==" saltValue="ep5RlV8NsNn/o8ZBlv+oJA==" spinCount="100000" sheet="1" objects="1" scenarios="1" selectLockedCells="1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17D1-EBC9-46A0-908C-4A55494C6875}">
  <dimension ref="B1:S21"/>
  <sheetViews>
    <sheetView workbookViewId="0">
      <selection activeCell="J3" sqref="J3"/>
    </sheetView>
  </sheetViews>
  <sheetFormatPr baseColWidth="10" defaultRowHeight="14.4" x14ac:dyDescent="0.3"/>
  <cols>
    <col min="3" max="3" width="18.33203125" customWidth="1"/>
    <col min="4" max="4" width="18.109375" customWidth="1"/>
    <col min="5" max="5" width="22.88671875" customWidth="1"/>
    <col min="6" max="6" width="16.88671875" customWidth="1"/>
    <col min="7" max="7" width="14.33203125" customWidth="1"/>
    <col min="8" max="8" width="13.33203125" customWidth="1"/>
    <col min="10" max="10" width="12.6640625" bestFit="1" customWidth="1"/>
  </cols>
  <sheetData>
    <row r="1" spans="2:19" x14ac:dyDescent="0.3">
      <c r="I1" s="39" t="s">
        <v>27</v>
      </c>
    </row>
    <row r="2" spans="2:19" ht="43.2" x14ac:dyDescent="0.3">
      <c r="B2" t="s">
        <v>20</v>
      </c>
      <c r="C2" t="s">
        <v>21</v>
      </c>
      <c r="D2" t="s">
        <v>22</v>
      </c>
      <c r="E2" t="s">
        <v>56</v>
      </c>
      <c r="F2" t="s">
        <v>53</v>
      </c>
      <c r="G2" t="s">
        <v>55</v>
      </c>
      <c r="I2" s="39"/>
      <c r="J2" s="39">
        <f>LOOKUP("GD29D",Extraer!A3:A98,Extraer!B3:B98)</f>
        <v>33.5</v>
      </c>
      <c r="L2" s="45"/>
      <c r="M2" s="46" t="s">
        <v>60</v>
      </c>
      <c r="N2" s="14"/>
      <c r="O2" s="14" t="s">
        <v>61</v>
      </c>
      <c r="P2" s="14"/>
      <c r="Q2" s="14" t="s">
        <v>62</v>
      </c>
      <c r="R2" s="14"/>
      <c r="S2" s="47" t="s">
        <v>63</v>
      </c>
    </row>
    <row r="3" spans="2:19" x14ac:dyDescent="0.3">
      <c r="B3" s="17">
        <v>44078</v>
      </c>
      <c r="C3" s="25">
        <v>100</v>
      </c>
      <c r="D3" s="18">
        <v>0</v>
      </c>
      <c r="E3" s="16">
        <v>0</v>
      </c>
      <c r="F3" s="16">
        <v>0</v>
      </c>
      <c r="G3" s="26">
        <f>-J2</f>
        <v>-33.5</v>
      </c>
      <c r="H3" s="26" t="s">
        <v>52</v>
      </c>
      <c r="I3" s="39"/>
      <c r="J3" s="40"/>
      <c r="L3" s="22"/>
      <c r="S3" s="12"/>
    </row>
    <row r="4" spans="2:19" x14ac:dyDescent="0.3">
      <c r="B4" s="17">
        <v>44386</v>
      </c>
      <c r="C4" s="25">
        <v>100</v>
      </c>
      <c r="D4" s="18">
        <v>0</v>
      </c>
      <c r="E4" s="16">
        <v>0</v>
      </c>
      <c r="F4" s="16">
        <v>0.85</v>
      </c>
      <c r="G4">
        <v>0.85</v>
      </c>
      <c r="I4" s="39"/>
      <c r="J4" s="39"/>
      <c r="L4" s="22"/>
      <c r="M4">
        <f>G4/(1+J12)^1</f>
        <v>0.7042715386039935</v>
      </c>
      <c r="O4">
        <f>M4*1</f>
        <v>0.7042715386039935</v>
      </c>
      <c r="Q4">
        <v>2</v>
      </c>
      <c r="S4" s="12">
        <f>M4*Q4</f>
        <v>1.408543077207987</v>
      </c>
    </row>
    <row r="5" spans="2:19" x14ac:dyDescent="0.3">
      <c r="B5" s="17">
        <v>44570</v>
      </c>
      <c r="C5" s="25">
        <v>100</v>
      </c>
      <c r="D5" s="18">
        <v>0</v>
      </c>
      <c r="E5" s="16">
        <v>0</v>
      </c>
      <c r="F5" s="16">
        <v>0.5</v>
      </c>
      <c r="G5">
        <v>0.5</v>
      </c>
      <c r="L5" s="22"/>
      <c r="S5" s="12"/>
    </row>
    <row r="6" spans="2:19" x14ac:dyDescent="0.3">
      <c r="B6" s="17">
        <v>44751</v>
      </c>
      <c r="C6" s="25">
        <v>100</v>
      </c>
      <c r="D6" s="18">
        <v>0</v>
      </c>
      <c r="E6" s="16">
        <v>0</v>
      </c>
      <c r="F6" s="16">
        <v>0.5</v>
      </c>
      <c r="G6">
        <v>0.5</v>
      </c>
      <c r="I6" s="27" t="s">
        <v>2</v>
      </c>
      <c r="J6" s="27">
        <f ca="1">IF(B4&gt;=NOW(),((NOW()-B3)/(B4-B3))*F4,IF(B5&gt;=NOW(),((NOW()-B4)/(B5-B4))*F5,IF(B6&gt;=NOW(),((NOW()-B5)/(B6-B5))*F6,IF(B7&gt;=NOW(),((NOW()-B6)/(B7-B6))*F7,IF(B8&gt;=NOW(),((NOW()-B7)/(B8-B7))*F8,IF(B9&gt;=NOW(),((NOW()-B8)/(B9-B8))*F9,IF(B10&gt;=NOW(),((NOW()-B9)/(B10-B9))*F10,IF(B11&gt;=NOW(),((NOW()-B10)/(B11-B10))*F11,IF(B12&gt;=NOW(),((NOW()-B11)/(B12-B11))*F12,IF(B13&gt;=NOW(),((NOW()-B12)/(B13-B12))*F13,IF(B14&gt;=NOW(),((NOW()-B13)/(B14-B13))*F14,IF(B15&gt;=NOW(),((NOW()-B14)/(B15-B14))*F15,IF(B16&gt;=NOW(),((NOW()-B15)/(B16-B15))*F16,IF(B17&gt;=NOW(),((NOW()-B16)/(B17-B16))*F17,IF(B18&gt;=NOW(),((NOW()-B17)/(B18-B17))*F18,IF(B19&gt;=NOW(),((NOW()-B18)/(B19-B18))*F19,IF(B20&gt;=NOW(),((NOW()-B19)/(B20-B19))*F20,"fin")))))))))))))))))</f>
        <v>1.9666570749010655E-3</v>
      </c>
      <c r="L6" s="22"/>
      <c r="M6">
        <f>(G5+G6)/(1+J12)^2</f>
        <v>0.68650297589984255</v>
      </c>
      <c r="O6">
        <f>M6*2</f>
        <v>1.3730059517996851</v>
      </c>
      <c r="Q6">
        <v>6</v>
      </c>
      <c r="S6" s="12">
        <f t="shared" ref="S6:S20" si="0">M6*Q6</f>
        <v>4.1190178553990551</v>
      </c>
    </row>
    <row r="7" spans="2:19" x14ac:dyDescent="0.3">
      <c r="B7" s="17">
        <v>44935</v>
      </c>
      <c r="C7" s="25">
        <v>100</v>
      </c>
      <c r="D7" s="18">
        <v>0</v>
      </c>
      <c r="E7" s="16">
        <v>0</v>
      </c>
      <c r="F7" s="16">
        <v>0.5</v>
      </c>
      <c r="G7">
        <v>0.5</v>
      </c>
      <c r="L7" s="22"/>
      <c r="S7" s="12"/>
    </row>
    <row r="8" spans="2:19" x14ac:dyDescent="0.3">
      <c r="B8" s="17">
        <v>45116</v>
      </c>
      <c r="C8" s="25">
        <v>100</v>
      </c>
      <c r="D8" s="18">
        <v>0</v>
      </c>
      <c r="E8" s="16">
        <v>0</v>
      </c>
      <c r="F8" s="16">
        <v>0.5</v>
      </c>
      <c r="G8">
        <v>0.5</v>
      </c>
      <c r="I8" s="27" t="s">
        <v>45</v>
      </c>
      <c r="J8" s="27">
        <f ca="1">IF(B11&gt;NOW(),C11,IF(B12&gt;NOW(),C12,IF(B13&gt;NOW(),C13,IF(B14&gt;NOW(),C14,IF(B15&gt;NOW(),C15,IF(B16&gt;NOW(),C16,IF(B17&gt;NOW(),C17,IF(B18&gt;NOW(),C18,IF(B19&gt;NOW(),C19,IF(B20&gt;NOW(),C20,"Fin"))))))))))</f>
        <v>100</v>
      </c>
      <c r="L8" s="22"/>
      <c r="M8">
        <f>(G7+G8)/(1+J12)^3</f>
        <v>0.56880530246259098</v>
      </c>
      <c r="O8">
        <f>M8*3</f>
        <v>1.7064159073877729</v>
      </c>
      <c r="Q8">
        <v>12</v>
      </c>
      <c r="S8" s="12">
        <f t="shared" si="0"/>
        <v>6.8256636295510917</v>
      </c>
    </row>
    <row r="9" spans="2:19" x14ac:dyDescent="0.3">
      <c r="B9" s="17">
        <v>45300</v>
      </c>
      <c r="C9" s="25">
        <v>100</v>
      </c>
      <c r="D9" s="18">
        <v>0</v>
      </c>
      <c r="E9" s="16">
        <v>0</v>
      </c>
      <c r="F9" s="16">
        <v>0.5</v>
      </c>
      <c r="G9">
        <v>0.5</v>
      </c>
      <c r="L9" s="22"/>
      <c r="S9" s="12"/>
    </row>
    <row r="10" spans="2:19" x14ac:dyDescent="0.3">
      <c r="B10" s="17">
        <v>45482</v>
      </c>
      <c r="C10" s="25">
        <v>100</v>
      </c>
      <c r="D10" s="18">
        <v>0</v>
      </c>
      <c r="E10" s="16">
        <v>0</v>
      </c>
      <c r="F10" s="16">
        <v>0.5</v>
      </c>
      <c r="G10">
        <v>0.5</v>
      </c>
      <c r="I10" s="27" t="s">
        <v>46</v>
      </c>
      <c r="J10" s="27">
        <f ca="1">IF(NOW()&lt;B4,C4+((NOW()-B3)/(B4-B3))*F4,IF(NOW()&lt;B5,C5+((NOW()-B4)/(B5-B4))*F5+F4,IF(NOW()&lt;B6,C6+((NOW()-B5)/(B6-B5))*F6+SUM(F4:F5),IF(NOW()&lt;B7,C7+((NOW()-B6)/(B7-B6))*F7+SUM(F4:F6),IF(NOW()&lt;B8,C8+((NOW()-B7)/(B8-B7))*F8+SUM(F4:F7),IF(NOW()&lt;B9,C9+((NOW()-B8)/(B9-B8))*F9+SUM(F4:F8),IF(NOW()&lt;B10,C10+((NOW()-B9)/(B10-B9))*F10+SUM(F4:F9),IF(NOW()&lt;B11,C11+((NOW()-B10)/(B11-B10))*F11+SUM(F4:F10),IF(NOW()&lt;B12,C12+((NOW()-B11)/(B12-B11))*F12+SUM(F4:F11),IF(NOW()&lt;B13,C13+((NOW()-B12)/(B13-B12))*F13+SUM(F4:F12),IF(NOW()&lt;B14,C14+((NOW()-B13)/(B14-B13))*F14+SUM(F4:F13),IF(NOW()&lt;B15,C15+((NOW()-B14)/(B15-B14))*F15+SUM(F4:F14),IF(NOW()&lt;B16,C16+((NOW()-B15)/(B16-B15))*F16+SUM(F4:F15),IF(NOW()&lt;B17,C17+((NOW()-B16)/(B17-B16))*F17+SUM(F4:F16),IF(NOW()&lt;B18,C18+((NOW()-B17)/(B18-B17))*F18+SUM(F4:F17),IF(NOW()&lt;B19,C19+((NOW()-B18)/(B19-B18))*F19+SUM(F4:F18),IF(NOW()&lt;B20,C20+((NOW()-B19)/(B20-B19))*F20+SUM(F4:F19),"fin")))))))))))))))))</f>
        <v>102.3519666570749</v>
      </c>
      <c r="L10" s="22"/>
      <c r="M10">
        <f>(G9+G10)/(1+J12)^4</f>
        <v>0.47128633591933988</v>
      </c>
      <c r="O10">
        <f>M10*4</f>
        <v>1.8851453436773595</v>
      </c>
      <c r="Q10">
        <v>20</v>
      </c>
      <c r="S10" s="12">
        <f t="shared" si="0"/>
        <v>9.4257267183867981</v>
      </c>
    </row>
    <row r="11" spans="2:19" x14ac:dyDescent="0.3">
      <c r="B11" s="17">
        <v>45666</v>
      </c>
      <c r="C11" s="25">
        <v>100</v>
      </c>
      <c r="D11" s="18">
        <v>0.1</v>
      </c>
      <c r="E11" s="16">
        <v>10</v>
      </c>
      <c r="F11" s="16">
        <v>0.5</v>
      </c>
      <c r="G11">
        <v>10.5</v>
      </c>
      <c r="L11" s="22"/>
      <c r="S11" s="12"/>
    </row>
    <row r="12" spans="2:19" x14ac:dyDescent="0.3">
      <c r="B12" s="17">
        <v>45847</v>
      </c>
      <c r="C12" s="25">
        <v>90</v>
      </c>
      <c r="D12" s="18">
        <v>0.1</v>
      </c>
      <c r="E12" s="16">
        <v>10</v>
      </c>
      <c r="F12" s="16">
        <v>0.45</v>
      </c>
      <c r="G12">
        <v>10.45</v>
      </c>
      <c r="I12" s="27" t="s">
        <v>47</v>
      </c>
      <c r="J12" s="30">
        <f>XIRR(G3:G20,B3:B20)</f>
        <v>0.20692084431648256</v>
      </c>
      <c r="L12" s="22"/>
      <c r="M12">
        <f>(G11+G12)/(1+J12)^5</f>
        <v>8.1806928631693463</v>
      </c>
      <c r="O12">
        <f>M12*5</f>
        <v>40.903464315846733</v>
      </c>
      <c r="Q12">
        <v>30</v>
      </c>
      <c r="S12" s="12">
        <f t="shared" si="0"/>
        <v>245.4207858950804</v>
      </c>
    </row>
    <row r="13" spans="2:19" x14ac:dyDescent="0.3">
      <c r="B13" s="17">
        <v>46031</v>
      </c>
      <c r="C13" s="25">
        <v>80</v>
      </c>
      <c r="D13" s="18">
        <v>0.1</v>
      </c>
      <c r="E13" s="16">
        <v>10</v>
      </c>
      <c r="F13" s="16">
        <v>0.4</v>
      </c>
      <c r="G13">
        <v>10.4</v>
      </c>
      <c r="L13" s="22"/>
      <c r="S13" s="12"/>
    </row>
    <row r="14" spans="2:19" x14ac:dyDescent="0.3">
      <c r="B14" s="17">
        <v>46212</v>
      </c>
      <c r="C14" s="25">
        <v>70</v>
      </c>
      <c r="D14" s="18">
        <v>0.1</v>
      </c>
      <c r="E14" s="16">
        <v>10</v>
      </c>
      <c r="F14" s="16">
        <v>0.35</v>
      </c>
      <c r="G14">
        <v>10.35</v>
      </c>
      <c r="I14" s="27" t="s">
        <v>48</v>
      </c>
      <c r="J14" s="27">
        <f>(((G4/((1+J12)^1))*1)+(((G5+G6)/((1+J12)^2))*2)+(((G7+G8)/((1+J12)^3))*3)+(((G9+G10)/((1+J12)^4))*4)+(((G11+G12)/((1+J12)^5))*5)+(((G13+G14)/((1+J12)^6))*6)+(((G15+G16)/((1+J12)^7))*7)+(((G17+G18)/((1+J12)^8))*8)+(((G19+G20)/((1+J12)^9))*9))/J2</f>
        <v>5.8193587072133974</v>
      </c>
      <c r="L14" s="22"/>
      <c r="M14">
        <f>(G13+G14)/(1+J12)^6</f>
        <v>6.7134440462733638</v>
      </c>
      <c r="O14">
        <f>M14*6</f>
        <v>40.280664277640184</v>
      </c>
      <c r="Q14">
        <v>42</v>
      </c>
      <c r="S14" s="12">
        <f t="shared" si="0"/>
        <v>281.96464994348128</v>
      </c>
    </row>
    <row r="15" spans="2:19" x14ac:dyDescent="0.3">
      <c r="B15" s="17">
        <v>46396</v>
      </c>
      <c r="C15" s="25">
        <v>60</v>
      </c>
      <c r="D15" s="18">
        <v>0.1</v>
      </c>
      <c r="E15" s="16">
        <v>10</v>
      </c>
      <c r="F15" s="16">
        <v>0.3</v>
      </c>
      <c r="G15">
        <v>10.3</v>
      </c>
      <c r="L15" s="22"/>
      <c r="S15" s="12"/>
    </row>
    <row r="16" spans="2:19" x14ac:dyDescent="0.3">
      <c r="B16" s="17">
        <v>46577</v>
      </c>
      <c r="C16" s="25">
        <v>50</v>
      </c>
      <c r="D16" s="18">
        <v>0.1</v>
      </c>
      <c r="E16" s="16">
        <v>10</v>
      </c>
      <c r="F16" s="16">
        <v>0.25</v>
      </c>
      <c r="G16">
        <v>10.25</v>
      </c>
      <c r="I16" s="27" t="s">
        <v>49</v>
      </c>
      <c r="J16" s="27">
        <f>J14/(1+J12)</f>
        <v>4.8216573063737949</v>
      </c>
      <c r="L16" s="22"/>
      <c r="M16">
        <f>(G15+G16)/(1+J12)^7</f>
        <v>5.5088419287487245</v>
      </c>
      <c r="O16">
        <f>M16*7</f>
        <v>38.561893501241073</v>
      </c>
      <c r="Q16">
        <v>56</v>
      </c>
      <c r="S16" s="12">
        <f t="shared" si="0"/>
        <v>308.49514800992858</v>
      </c>
    </row>
    <row r="17" spans="2:19" x14ac:dyDescent="0.3">
      <c r="B17" s="17">
        <v>46761</v>
      </c>
      <c r="C17" s="25">
        <v>40</v>
      </c>
      <c r="D17" s="18">
        <v>0.1</v>
      </c>
      <c r="E17" s="16">
        <v>10</v>
      </c>
      <c r="F17" s="16">
        <v>0.2</v>
      </c>
      <c r="G17">
        <v>10.199999999999999</v>
      </c>
      <c r="L17" s="22"/>
      <c r="S17" s="12"/>
    </row>
    <row r="18" spans="2:19" x14ac:dyDescent="0.3">
      <c r="B18" s="17">
        <v>46943</v>
      </c>
      <c r="C18" s="25">
        <v>30</v>
      </c>
      <c r="D18" s="18">
        <v>0.1</v>
      </c>
      <c r="E18" s="16">
        <v>10</v>
      </c>
      <c r="F18" s="16">
        <v>0.15</v>
      </c>
      <c r="G18">
        <v>10.15</v>
      </c>
      <c r="L18" s="22"/>
      <c r="M18">
        <f>(G17+G18)/(1+J12)^8</f>
        <v>4.5199549921340347</v>
      </c>
      <c r="O18">
        <f>M18*8</f>
        <v>36.159639937072278</v>
      </c>
      <c r="Q18">
        <v>72</v>
      </c>
      <c r="S18" s="12">
        <f t="shared" si="0"/>
        <v>325.43675943365048</v>
      </c>
    </row>
    <row r="19" spans="2:19" x14ac:dyDescent="0.3">
      <c r="B19" s="17">
        <v>47127</v>
      </c>
      <c r="C19" s="25">
        <v>20</v>
      </c>
      <c r="D19" s="18">
        <v>0.1</v>
      </c>
      <c r="E19" s="16">
        <v>10</v>
      </c>
      <c r="F19" s="16">
        <v>0.1</v>
      </c>
      <c r="G19">
        <v>10.1</v>
      </c>
      <c r="L19" s="22"/>
      <c r="S19" s="12"/>
    </row>
    <row r="20" spans="2:19" x14ac:dyDescent="0.3">
      <c r="B20" s="17">
        <v>47308</v>
      </c>
      <c r="C20" s="25">
        <v>10</v>
      </c>
      <c r="D20" s="18">
        <v>0.1</v>
      </c>
      <c r="E20" s="16">
        <v>10</v>
      </c>
      <c r="F20" s="16">
        <v>0.05</v>
      </c>
      <c r="G20">
        <v>10.050000000000001</v>
      </c>
      <c r="L20" s="22"/>
      <c r="M20">
        <f>(G19+G20)/(1+J12)^9</f>
        <v>3.7082239909310828</v>
      </c>
      <c r="O20">
        <f>M20*9</f>
        <v>33.374015918379747</v>
      </c>
      <c r="Q20">
        <v>90</v>
      </c>
      <c r="S20" s="12">
        <f t="shared" si="0"/>
        <v>333.74015918379746</v>
      </c>
    </row>
    <row r="21" spans="2:19" x14ac:dyDescent="0.3">
      <c r="B21" t="s">
        <v>23</v>
      </c>
      <c r="D21" s="11">
        <v>1</v>
      </c>
      <c r="E21">
        <v>100</v>
      </c>
      <c r="F21">
        <v>6.6</v>
      </c>
      <c r="G21">
        <v>106.6</v>
      </c>
      <c r="L21" s="52" t="s">
        <v>102</v>
      </c>
      <c r="M21" s="53">
        <f>SUM(M4,M6,M8,M10,M12,M14,M16,M18,M20)</f>
        <v>31.062023974142317</v>
      </c>
      <c r="N21" s="42"/>
      <c r="O21" s="42"/>
      <c r="P21" s="42"/>
      <c r="Q21" s="42"/>
      <c r="R21" s="53" t="s">
        <v>103</v>
      </c>
      <c r="S21" s="54">
        <f>1/(J2*((1+J12)^2))*SUM(S4,S6,S8,S10,S12,S14,S16,S18,S20)</f>
        <v>31.083962371651477</v>
      </c>
    </row>
  </sheetData>
  <sheetProtection algorithmName="SHA-512" hashValue="eyC97ZTaZr9T00kON6HUJuUn+I1Ms9p49KQ38F77Ak1MfdslGMnfRPB66QGk6ofGIjl58W1trIcK1ptWFw/gEg==" saltValue="hApHIkmJWJ7EMZnTQ6Eq8w==" spinCount="100000" sheet="1" objects="1" scenarios="1" selectLockedCells="1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4 8 6 8 7 e - 7 2 e a - 4 e 8 0 - a 6 1 c - 4 7 a 3 7 6 a 0 e 7 4 d "   x m l n s = " h t t p : / / s c h e m a s . m i c r o s o f t . c o m / D a t a M a s h u p " > A A A A A A s D A A B Q S w M E F A A C A A g A b n k p V t Y 2 O e a k A A A A 9 g A A A B I A H A B D b 2 5 m a W c v U G F j a 2 F n Z S 5 4 b W w g o h g A K K A U A A A A A A A A A A A A A A A A A A A A A A A A A A A A h Y 9 L C s I w G I S v U r J v X o J I + Z s i b i 2 I g r g N a W y D b S p N a n o 3 F x 7 J K 1 j R q j u X M / M N z N y v N 8 i G p o 4 u u n O m t S l i m K J I W 9 U W x p Y p 6 v 0 x X q B M w E a q k y x 1 N M L W J Y M z K a q 8 P y e E h B B w m O G 2 K w m n l J F D v t 6 p S j c y N t Z 5 a Z V G n 1 b x v 4 U E 7 F 9 j B M e M M T y n H F M g k w m 5 s V + A j 3 u f 6 Y 8 J q 7 7 2 f a e F d v F y C 2 S S Q N 4 f x A N Q S w M E F A A C A A g A b n k p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5 5 K V Y o i k e 4 D g A A A B E A A A A T A B w A R m 9 y b X V s Y X M v U 2 V j d G l v b j E u b S C i G A A o o B Q A A A A A A A A A A A A A A A A A A A A A A A A A A A A r T k 0 u y c z P U w i G 0 I b W A F B L A Q I t A B Q A A g A I A G 5 5 K V b W N j n m p A A A A P Y A A A A S A A A A A A A A A A A A A A A A A A A A A A B D b 2 5 m a W c v U G F j a 2 F n Z S 5 4 b W x Q S w E C L Q A U A A I A C A B u e S l W U 3 I 4 L J s A A A D h A A A A E w A A A A A A A A A A A A A A A A D w A A A A W 0 N v b n R l b n R f V H l w Z X N d L n h t b F B L A Q I t A B Q A A g A I A G 5 5 K V Y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O 3 q G x r c 3 S 4 P d M a O o y 2 R R A A A A A A I A A A A A A B B m A A A A A Q A A I A A A A D Y j V 0 c G e 2 e L 9 5 t X l r y b D Q 4 H y + b r H y l x Q x t 9 w 2 Y + j v 0 6 A A A A A A 6 A A A A A A g A A I A A A A K e 9 N H h F r 0 w M b K 3 9 Q L 0 x L / X 4 9 f 0 u 0 5 6 E b H g R I 5 l F W H e 6 U A A A A H D W a b z I D J x 4 D E B U 8 / b q 0 q 6 H f N M m L S R e F c / n n K r t O G q 8 5 R d g D j W v C i a l X 9 s T p g U m M M I k 1 X 7 m R U I r v i t n u H R + o G p z 5 O x w q U w u g C c b s t T H u Y v d Q A A A A L E b X e u M V K 5 W e X d 8 Q u 0 j 7 I 8 m v U N h q X 5 z x u 7 t + I f 6 G W + y l 8 r 9 H i l 6 o / Q e y K g 9 l D r U D t d E A O f G W Z / 4 M H h 6 g P 5 1 e j c = < / D a t a M a s h u p > 
</file>

<file path=customXml/itemProps1.xml><?xml version="1.0" encoding="utf-8"?>
<ds:datastoreItem xmlns:ds="http://schemas.openxmlformats.org/officeDocument/2006/customXml" ds:itemID="{F58A9BA5-8A05-4297-A16F-8128AC1E96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Tablero</vt:lpstr>
      <vt:lpstr>Tablero(2)</vt:lpstr>
      <vt:lpstr>Extraer</vt:lpstr>
      <vt:lpstr>AL29</vt:lpstr>
      <vt:lpstr>AL30</vt:lpstr>
      <vt:lpstr>AL35</vt:lpstr>
      <vt:lpstr>AE38</vt:lpstr>
      <vt:lpstr>AL41</vt:lpstr>
      <vt:lpstr>GD29</vt:lpstr>
      <vt:lpstr>GD30</vt:lpstr>
      <vt:lpstr>GD35</vt:lpstr>
      <vt:lpstr>GD38</vt:lpstr>
      <vt:lpstr>GD41</vt:lpstr>
      <vt:lpstr>GD46</vt:lpstr>
      <vt:lpstr>Extraer!bonos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cremona</dc:creator>
  <cp:lastModifiedBy>juan cremona</cp:lastModifiedBy>
  <dcterms:created xsi:type="dcterms:W3CDTF">2020-10-01T13:59:40Z</dcterms:created>
  <dcterms:modified xsi:type="dcterms:W3CDTF">2023-01-09T20:05:10Z</dcterms:modified>
</cp:coreProperties>
</file>