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15" windowWidth="17400" windowHeight="10695" firstSheet="4" activeTab="11"/>
  </bookViews>
  <sheets>
    <sheet name="Ene_2016" sheetId="20" r:id="rId1"/>
    <sheet name="Feb_2016" sheetId="21" r:id="rId2"/>
    <sheet name="Mar_2016" sheetId="22" r:id="rId3"/>
    <sheet name="Abr_2016" sheetId="23" r:id="rId4"/>
    <sheet name="May_2016" sheetId="24" r:id="rId5"/>
    <sheet name="Jun_2015" sheetId="25" r:id="rId6"/>
    <sheet name="Jul_2015" sheetId="26" r:id="rId7"/>
    <sheet name="Ago_2015" sheetId="28" r:id="rId8"/>
    <sheet name="Sep_2015" sheetId="30" r:id="rId9"/>
    <sheet name="Oct_2015" sheetId="31" r:id="rId10"/>
    <sheet name="Nov_2015" sheetId="32" r:id="rId11"/>
    <sheet name="Dic_2015" sheetId="33" r:id="rId12"/>
  </sheets>
  <calcPr calcId="145621"/>
</workbook>
</file>

<file path=xl/calcChain.xml><?xml version="1.0" encoding="utf-8"?>
<calcChain xmlns="http://schemas.openxmlformats.org/spreadsheetml/2006/main">
  <c r="M14" i="33" l="1"/>
  <c r="M8" i="33" l="1"/>
  <c r="M7" i="33" l="1"/>
  <c r="U1" i="33" l="1"/>
  <c r="G3" i="33"/>
  <c r="F5" i="33"/>
  <c r="H7" i="33"/>
  <c r="J4" i="33"/>
  <c r="C35" i="32"/>
  <c r="J53" i="32" l="1"/>
  <c r="H24" i="33" l="1"/>
  <c r="J52" i="32" l="1"/>
  <c r="S16" i="33" l="1"/>
  <c r="J45" i="32" l="1"/>
  <c r="J43" i="32" l="1"/>
  <c r="V11" i="33" l="1"/>
  <c r="V10" i="33"/>
  <c r="I72" i="32" l="1"/>
  <c r="T5" i="33" l="1"/>
  <c r="D9" i="32" l="1"/>
  <c r="H17" i="32"/>
  <c r="G13" i="32"/>
  <c r="G15" i="32" l="1"/>
  <c r="M12" i="32" l="1"/>
  <c r="C33" i="33" l="1"/>
  <c r="M70" i="33"/>
  <c r="G71" i="33"/>
  <c r="F72" i="33"/>
  <c r="T73" i="33"/>
  <c r="S83" i="33"/>
  <c r="T74" i="33" l="1"/>
  <c r="H6" i="32"/>
  <c r="M9" i="32"/>
  <c r="N6" i="32" l="1"/>
  <c r="M59" i="31" l="1"/>
  <c r="L34" i="32" l="1"/>
  <c r="E62" i="31"/>
  <c r="B35" i="31" l="1"/>
  <c r="B46" i="32" l="1"/>
  <c r="C32" i="32"/>
  <c r="G23" i="32"/>
  <c r="C20" i="32"/>
  <c r="E32" i="32" l="1"/>
  <c r="G25" i="32"/>
  <c r="J47" i="31"/>
  <c r="I72" i="31" l="1"/>
  <c r="J43" i="31"/>
  <c r="J72" i="31" l="1"/>
  <c r="B46" i="31" l="1"/>
  <c r="J36" i="31" l="1"/>
  <c r="N34" i="31"/>
  <c r="M34" i="31" l="1"/>
  <c r="L17" i="31"/>
  <c r="R35" i="31"/>
  <c r="N35" i="31"/>
  <c r="P32" i="31" l="1"/>
  <c r="G29" i="31"/>
  <c r="C32" i="31" l="1"/>
  <c r="I21" i="31" l="1"/>
  <c r="H7" i="31" l="1"/>
  <c r="M7" i="31" l="1"/>
  <c r="E27" i="31" l="1"/>
  <c r="G23" i="31" l="1"/>
  <c r="C20" i="31" l="1"/>
  <c r="E31" i="30" l="1"/>
  <c r="J46" i="30" l="1"/>
  <c r="M18" i="30" l="1"/>
  <c r="I21" i="30" l="1"/>
  <c r="M3" i="30" l="1"/>
  <c r="I18" i="30" l="1"/>
  <c r="J67" i="28"/>
  <c r="C64" i="30" l="1"/>
  <c r="B63" i="30"/>
  <c r="B62" i="30"/>
  <c r="I86" i="30"/>
  <c r="C61" i="30"/>
  <c r="B61" i="30"/>
  <c r="A61" i="30"/>
  <c r="L55" i="30"/>
  <c r="C47" i="30"/>
  <c r="L34" i="30"/>
  <c r="C32" i="30"/>
  <c r="H23" i="30"/>
  <c r="D20" i="30"/>
  <c r="C50" i="30" l="1"/>
  <c r="H24" i="30"/>
  <c r="J61" i="28"/>
  <c r="J60" i="28" l="1"/>
  <c r="C64" i="28" l="1"/>
  <c r="B63" i="28"/>
  <c r="B62" i="28"/>
  <c r="C61" i="28"/>
  <c r="B61" i="28"/>
  <c r="A61" i="28"/>
  <c r="L55" i="28"/>
  <c r="J38" i="28" l="1"/>
  <c r="J37" i="28" l="1"/>
  <c r="I21" i="28" l="1"/>
  <c r="N21" i="28" l="1"/>
  <c r="N20" i="28" l="1"/>
  <c r="N17" i="28" l="1"/>
  <c r="S15" i="28" l="1"/>
  <c r="M34" i="28"/>
  <c r="I86" i="28"/>
  <c r="C47" i="28"/>
  <c r="C32" i="28"/>
  <c r="H23" i="28"/>
  <c r="D20" i="28"/>
  <c r="C50" i="28" l="1"/>
  <c r="H24" i="28"/>
  <c r="E31" i="26"/>
  <c r="J48" i="26" l="1"/>
  <c r="D29" i="26" l="1"/>
  <c r="J45" i="26"/>
  <c r="I19" i="26" l="1"/>
  <c r="O21" i="26" l="1"/>
  <c r="J21" i="26"/>
  <c r="N15" i="26" l="1"/>
  <c r="N1" i="26" l="1"/>
  <c r="D7" i="25" l="1"/>
  <c r="I86" i="26" l="1"/>
  <c r="C47" i="26"/>
  <c r="M34" i="26"/>
  <c r="C32" i="26"/>
  <c r="H23" i="26"/>
  <c r="D20" i="26"/>
  <c r="C50" i="26" l="1"/>
  <c r="H24" i="26"/>
  <c r="E32" i="25"/>
  <c r="J44" i="25" l="1"/>
  <c r="J21" i="25" l="1"/>
  <c r="N13" i="25" l="1"/>
  <c r="C45" i="25" l="1"/>
  <c r="N1" i="25" l="1"/>
  <c r="I86" i="25" l="1"/>
  <c r="M34" i="25"/>
  <c r="C32" i="25"/>
  <c r="H23" i="25"/>
  <c r="D20" i="25"/>
  <c r="H13" i="25"/>
  <c r="I10" i="25"/>
  <c r="P6" i="25"/>
  <c r="C50" i="25" l="1"/>
  <c r="H24" i="25"/>
  <c r="E31" i="24"/>
  <c r="L61" i="24" l="1"/>
  <c r="L50" i="24" l="1"/>
  <c r="I21" i="24" l="1"/>
  <c r="D28" i="24"/>
  <c r="L38" i="24"/>
  <c r="P25" i="24"/>
  <c r="P24" i="24" l="1"/>
  <c r="I10" i="24" l="1"/>
  <c r="H13" i="24" l="1"/>
  <c r="Q13" i="24" l="1"/>
  <c r="P6" i="24"/>
  <c r="M34" i="24"/>
  <c r="I86" i="24"/>
  <c r="C45" i="24"/>
  <c r="C32" i="24"/>
  <c r="D20" i="24"/>
  <c r="H23" i="24"/>
  <c r="H24" i="24" l="1"/>
  <c r="C50" i="24"/>
  <c r="D43" i="23"/>
  <c r="I86" i="23"/>
  <c r="E31" i="23"/>
  <c r="J37" i="23" l="1"/>
  <c r="J38" i="23"/>
  <c r="L28" i="23" l="1"/>
  <c r="E28" i="23"/>
  <c r="C45" i="23" l="1"/>
  <c r="H19" i="23" l="1"/>
  <c r="P25" i="23"/>
  <c r="C32" i="23" l="1"/>
  <c r="D40" i="23" l="1"/>
  <c r="J24" i="23" l="1"/>
  <c r="H23" i="23" l="1"/>
  <c r="F2" i="23" l="1"/>
  <c r="P10" i="23"/>
  <c r="A1" i="23"/>
  <c r="M26" i="23"/>
  <c r="D20" i="23"/>
  <c r="C50" i="23" l="1"/>
  <c r="H24" i="23"/>
  <c r="E31" i="22"/>
  <c r="N35" i="22" l="1"/>
  <c r="C45" i="22" l="1"/>
  <c r="E27" i="22" l="1"/>
  <c r="C32" i="22" l="1"/>
  <c r="L28" i="22"/>
  <c r="P21" i="22"/>
  <c r="H23" i="22" l="1"/>
  <c r="N4" i="22"/>
  <c r="C29" i="21" l="1"/>
  <c r="I37" i="21" l="1"/>
  <c r="J33" i="21" l="1"/>
  <c r="I67" i="21" l="1"/>
  <c r="H19" i="21" l="1"/>
  <c r="O31" i="21" l="1"/>
  <c r="I17" i="21"/>
  <c r="P13" i="21" l="1"/>
  <c r="H21" i="21" l="1"/>
  <c r="P10" i="21"/>
  <c r="P2" i="21"/>
  <c r="C44" i="21"/>
  <c r="C31" i="21"/>
  <c r="D20" i="21"/>
  <c r="H23" i="21" l="1"/>
  <c r="C46" i="21"/>
  <c r="C29" i="20"/>
  <c r="J31" i="20" l="1"/>
  <c r="C47" i="20" l="1"/>
  <c r="B65" i="20" l="1"/>
  <c r="C32" i="20" l="1"/>
  <c r="H18" i="20"/>
  <c r="H19" i="20" l="1"/>
  <c r="P12" i="20" l="1"/>
  <c r="B52" i="20" l="1"/>
  <c r="I4" i="20" l="1"/>
  <c r="B25" i="33" l="1"/>
  <c r="T45" i="33" l="1"/>
  <c r="B47" i="33"/>
  <c r="E33" i="33" s="1"/>
  <c r="L35" i="33"/>
  <c r="H25" i="33" s="1"/>
  <c r="H30" i="33"/>
  <c r="H29" i="33"/>
  <c r="G1" i="20"/>
  <c r="F2" i="20"/>
  <c r="K1" i="20"/>
  <c r="G10" i="33" l="1"/>
  <c r="L33" i="31" l="1"/>
  <c r="G25" i="31" s="1"/>
  <c r="E32" i="31" l="1"/>
  <c r="T9" i="30" l="1"/>
  <c r="E65" i="20" l="1"/>
  <c r="B62" i="20"/>
  <c r="B63" i="20" s="1"/>
  <c r="B64" i="20" s="1"/>
  <c r="I86" i="22" l="1"/>
  <c r="M26" i="22"/>
  <c r="D20" i="22"/>
  <c r="C50" i="22" l="1"/>
  <c r="H24" i="22"/>
  <c r="I55" i="20" l="1"/>
  <c r="B53" i="20"/>
  <c r="B54" i="20" s="1"/>
  <c r="B55" i="20" s="1"/>
  <c r="D20" i="20" l="1"/>
  <c r="C48" i="20" l="1"/>
  <c r="O27" i="20" l="1"/>
  <c r="H21" i="20"/>
  <c r="H23" i="20" l="1"/>
</calcChain>
</file>

<file path=xl/sharedStrings.xml><?xml version="1.0" encoding="utf-8"?>
<sst xmlns="http://schemas.openxmlformats.org/spreadsheetml/2006/main" count="2116" uniqueCount="515">
  <si>
    <t>Recibos</t>
  </si>
  <si>
    <t>Gasolina</t>
  </si>
  <si>
    <t>mama</t>
  </si>
  <si>
    <t>Seguro Carro</t>
  </si>
  <si>
    <t>Food</t>
  </si>
  <si>
    <t>Total</t>
  </si>
  <si>
    <t>Saldo Scotia</t>
  </si>
  <si>
    <t>Saldo Agrícola</t>
  </si>
  <si>
    <t>Colegiatura</t>
  </si>
  <si>
    <t>Microbus</t>
  </si>
  <si>
    <t>Diezmo</t>
  </si>
  <si>
    <t>Efectivo en casa</t>
  </si>
  <si>
    <t>SELECTOS</t>
  </si>
  <si>
    <t>FARMACIA</t>
  </si>
  <si>
    <t>WALMART</t>
  </si>
  <si>
    <t>TOTAL</t>
  </si>
  <si>
    <t>ASESUISA</t>
  </si>
  <si>
    <t>Diferencia</t>
  </si>
  <si>
    <t>Gastos pendientes 2a. Quinc.</t>
  </si>
  <si>
    <t>Total Pendiente</t>
  </si>
  <si>
    <t>Efectivo en casa+otros</t>
  </si>
  <si>
    <t>2a. Quincena(Deposito $534.99)</t>
  </si>
  <si>
    <t>Total Tarjeta</t>
  </si>
  <si>
    <t>FECHA</t>
  </si>
  <si>
    <t>DEUDA</t>
  </si>
  <si>
    <t>VALOR</t>
  </si>
  <si>
    <t>GASOLINA</t>
  </si>
  <si>
    <t>PRICEMART</t>
  </si>
  <si>
    <t>Cumpleaños Doris</t>
  </si>
  <si>
    <t>por dia</t>
  </si>
  <si>
    <t>p/21 dias</t>
  </si>
  <si>
    <t>por el 30%</t>
  </si>
  <si>
    <t>Vacaciones</t>
  </si>
  <si>
    <t>Cálculo vacación</t>
  </si>
  <si>
    <t>menos renta aprox.</t>
  </si>
  <si>
    <t>Tarjeta circulación</t>
  </si>
  <si>
    <t>COMIDA</t>
  </si>
  <si>
    <t>Otros</t>
  </si>
  <si>
    <t>(DSCTO.3.01)</t>
  </si>
  <si>
    <t>(DSCTO.1.97)</t>
  </si>
  <si>
    <t>BE FIT</t>
  </si>
  <si>
    <t>Diezmo(proximo diezmo 230)</t>
  </si>
  <si>
    <t>Para 2016</t>
  </si>
  <si>
    <t>PAYLESS</t>
  </si>
  <si>
    <t>SIMAN</t>
  </si>
  <si>
    <t>HOSPITAL</t>
  </si>
  <si>
    <t>PRISMA MODA</t>
  </si>
  <si>
    <t>0,00</t>
  </si>
  <si>
    <t>TIGO</t>
  </si>
  <si>
    <t>Fecha pago sierra aprox. 16/09/2015</t>
  </si>
  <si>
    <t>CARRO</t>
  </si>
  <si>
    <t>Cuenta</t>
  </si>
  <si>
    <t>Disponibles</t>
  </si>
  <si>
    <t>Próximas a vencer</t>
  </si>
  <si>
    <t>CashBAC</t>
  </si>
  <si>
    <t>86,00</t>
  </si>
  <si>
    <t>u</t>
  </si>
  <si>
    <t>al</t>
  </si>
  <si>
    <t>me</t>
  </si>
  <si>
    <t>do</t>
  </si>
  <si>
    <t>su</t>
  </si>
  <si>
    <t>lu</t>
  </si>
  <si>
    <t>se</t>
  </si>
  <si>
    <t>every w</t>
  </si>
  <si>
    <t>saldo cero fecha 20/10/2015</t>
  </si>
  <si>
    <t>FREUND</t>
  </si>
  <si>
    <t>3.917,00</t>
  </si>
  <si>
    <t>20,79</t>
  </si>
  <si>
    <t>16 rollos</t>
  </si>
  <si>
    <t>24 rollos</t>
  </si>
  <si>
    <t>saldo cero fecha 04/11/2015</t>
  </si>
  <si>
    <t>9,00</t>
  </si>
  <si>
    <t>3.926,00</t>
  </si>
  <si>
    <t>(DSCTO. 4.33)</t>
  </si>
  <si>
    <t>saldo cero fecha 09/11/2015</t>
  </si>
  <si>
    <t>(DSCTO. 2.12)</t>
  </si>
  <si>
    <t>saldo cero fecha 16/11/2015</t>
  </si>
  <si>
    <t>Fecha pago sierra aprox. 16/11/2015</t>
  </si>
  <si>
    <t>VANS</t>
  </si>
  <si>
    <t>27/11/2015</t>
  </si>
  <si>
    <t>(DSCTO. 0.27)</t>
  </si>
  <si>
    <t>saldo cero fecha 30/11/2015</t>
  </si>
  <si>
    <t>28/11/2015</t>
  </si>
  <si>
    <t>29/11/2015</t>
  </si>
  <si>
    <t>LEE SHOES (MAMA)</t>
  </si>
  <si>
    <t>90,00</t>
  </si>
  <si>
    <t>5.035,00</t>
  </si>
  <si>
    <t>27,02</t>
  </si>
  <si>
    <t>5.125,00</t>
  </si>
  <si>
    <t>Aguinaldo 2014</t>
  </si>
  <si>
    <t>x</t>
  </si>
  <si>
    <t>Aguinaldo 2015</t>
  </si>
  <si>
    <t>30/11/2015</t>
  </si>
  <si>
    <t>01/12/2015</t>
  </si>
  <si>
    <t>x -----&gt;</t>
  </si>
  <si>
    <t>Neto</t>
  </si>
  <si>
    <t>Renta</t>
  </si>
  <si>
    <t>Presupuesto Aguinaldo</t>
  </si>
  <si>
    <t>MATRICULA UDB</t>
  </si>
  <si>
    <t>REGALOS</t>
  </si>
  <si>
    <t>GIFTS 2</t>
  </si>
  <si>
    <t>TOTAL PENDIENTE</t>
  </si>
  <si>
    <t>MINE</t>
  </si>
  <si>
    <t>Saldo Scotiabank</t>
  </si>
  <si>
    <t>DIEZMO</t>
  </si>
  <si>
    <t>saldo a favor anterior</t>
  </si>
  <si>
    <t>08/12/2015</t>
  </si>
  <si>
    <t>UTILES</t>
  </si>
  <si>
    <t>11/12/2015</t>
  </si>
  <si>
    <t>DESPENSA</t>
  </si>
  <si>
    <t>Fecha pago sierra aprox. 16/12/2015</t>
  </si>
  <si>
    <t>*</t>
  </si>
  <si>
    <t>(DSCTO. 5.50)</t>
  </si>
  <si>
    <t>SIEMBRA</t>
  </si>
  <si>
    <t>pro templo</t>
  </si>
  <si>
    <t>Universidad</t>
  </si>
  <si>
    <t>Gastos Univ.</t>
  </si>
  <si>
    <t>Lo recibido 1117.41</t>
  </si>
  <si>
    <t>15/01/2016</t>
  </si>
  <si>
    <t>175,00</t>
  </si>
  <si>
    <t>6.439,00</t>
  </si>
  <si>
    <t>33,85</t>
  </si>
  <si>
    <t>6.614,00</t>
  </si>
  <si>
    <t>16/01/2016</t>
  </si>
  <si>
    <t>menos vialidad</t>
  </si>
  <si>
    <t>DCTO. 1.62</t>
  </si>
  <si>
    <t>Licencia</t>
  </si>
  <si>
    <t>20/01/2016</t>
  </si>
  <si>
    <t>Recibo</t>
  </si>
  <si>
    <t>22/01/2016</t>
  </si>
  <si>
    <t>23/01/2016</t>
  </si>
  <si>
    <t>INGLES</t>
  </si>
  <si>
    <t>24/01/2016</t>
  </si>
  <si>
    <t>7.766,00</t>
  </si>
  <si>
    <t>38,76</t>
  </si>
  <si>
    <t>7.941,00</t>
  </si>
  <si>
    <t>(DSCTO. 0.76)</t>
  </si>
  <si>
    <t>28/01/2016</t>
  </si>
  <si>
    <t>Millas</t>
  </si>
  <si>
    <t>Millas Bco. Agrícola</t>
  </si>
  <si>
    <t>5.441,00</t>
  </si>
  <si>
    <t>24,64</t>
  </si>
  <si>
    <t>5.527,00</t>
  </si>
  <si>
    <t>Me deben</t>
  </si>
  <si>
    <t>Ofrenda wilmer</t>
  </si>
  <si>
    <t>30/01/2016</t>
  </si>
  <si>
    <t>06/02/2016</t>
  </si>
  <si>
    <t>05/02/2016</t>
  </si>
  <si>
    <t>07/02/2016</t>
  </si>
  <si>
    <t>- DESCUENTOS SELECTOS $1.16</t>
  </si>
  <si>
    <t>08/02/2016</t>
  </si>
  <si>
    <t>$57+167.11+22.20+6.50 me deben</t>
  </si>
  <si>
    <t>- DESCUENTOS SELECTOS $3.23</t>
  </si>
  <si>
    <t xml:space="preserve">Lo recibido </t>
  </si>
  <si>
    <t>11/02/2016</t>
  </si>
  <si>
    <t>13/02/2016</t>
  </si>
  <si>
    <t>14/02/2016</t>
  </si>
  <si>
    <t>- DESCUENTOS + OTROS = 11.78</t>
  </si>
  <si>
    <t>16/02/2016</t>
  </si>
  <si>
    <t>17/02/2016</t>
  </si>
  <si>
    <t>- DESCUENTOS SELECTOS $4.09</t>
  </si>
  <si>
    <t>CAESS</t>
  </si>
  <si>
    <t>19/02/2016</t>
  </si>
  <si>
    <t>21/02/2016</t>
  </si>
  <si>
    <t>DÓLAR CITY</t>
  </si>
  <si>
    <t>22/02/2016</t>
  </si>
  <si>
    <t>- DESCUENTOS SELECTOS $2.23</t>
  </si>
  <si>
    <t>25/02/2016</t>
  </si>
  <si>
    <t>(30410116002016030512000209692385)</t>
  </si>
  <si>
    <t>- DESCUENTOS SELECTOS $0.07</t>
  </si>
  <si>
    <t>4.996,00</t>
  </si>
  <si>
    <t>20,47</t>
  </si>
  <si>
    <t>Me deben 6.99 INV</t>
  </si>
  <si>
    <t>Mes marzo univ.</t>
  </si>
  <si>
    <t>2a. Quincena(Deposito $537.77)</t>
  </si>
  <si>
    <t>51,00</t>
  </si>
  <si>
    <t>5.047,00</t>
  </si>
  <si>
    <t>- DCTO SELECTOS $0.91</t>
  </si>
  <si>
    <t>04/03/2016</t>
  </si>
  <si>
    <t>SUPER</t>
  </si>
  <si>
    <t>05/03/2016</t>
  </si>
  <si>
    <t>- DCTO SELECTOS $1.84</t>
  </si>
  <si>
    <t>09/03/2016</t>
  </si>
  <si>
    <t>11/03/2016</t>
  </si>
  <si>
    <t>Ingles</t>
  </si>
  <si>
    <t>12/03/2016</t>
  </si>
  <si>
    <t>13/03/2016</t>
  </si>
  <si>
    <t>14/03/2016</t>
  </si>
  <si>
    <t>15/03/2016</t>
  </si>
  <si>
    <t>16/03/2016</t>
  </si>
  <si>
    <t>- DCTO SELECTOS $7.00+1.51</t>
  </si>
  <si>
    <t>17/03/2016</t>
  </si>
  <si>
    <t>- DCTO SELECTOS $1.66</t>
  </si>
  <si>
    <t>REGALO</t>
  </si>
  <si>
    <t>21/03/2016</t>
  </si>
  <si>
    <t>23/03/2016</t>
  </si>
  <si>
    <t>26/03/2016</t>
  </si>
  <si>
    <t>27/03/2016</t>
  </si>
  <si>
    <t>- DCTO SELECTOS $3.35</t>
  </si>
  <si>
    <t>Otros Doris (20+27)</t>
  </si>
  <si>
    <t>- DCTO SELECTOS $2.69</t>
  </si>
  <si>
    <t>29/03/2016</t>
  </si>
  <si>
    <t>01/04/2016</t>
  </si>
  <si>
    <t>02/04/2016</t>
  </si>
  <si>
    <t>RECIBO</t>
  </si>
  <si>
    <t>04/04/2016</t>
  </si>
  <si>
    <t>05/04/2016</t>
  </si>
  <si>
    <t>- DCTO SELECTOS $3.73</t>
  </si>
  <si>
    <t>07/04/2016</t>
  </si>
  <si>
    <t>09/04/2016</t>
  </si>
  <si>
    <t>12/04/2016</t>
  </si>
  <si>
    <t>11/04/2016</t>
  </si>
  <si>
    <t>Otros(20+27)+INV($100.07)+SEGURO($19.56)</t>
  </si>
  <si>
    <t>Diezmo(proximo diezmo 240)</t>
  </si>
  <si>
    <t>15/04/2016</t>
  </si>
  <si>
    <t>- DCTO SELECTOS $3.83</t>
  </si>
  <si>
    <t>Primer regalo Doris</t>
  </si>
  <si>
    <t>16/04/2016</t>
  </si>
  <si>
    <t>18/04/2016</t>
  </si>
  <si>
    <t>19/04/2016</t>
  </si>
  <si>
    <t>- DCTO SELECTOS $5.14</t>
  </si>
  <si>
    <t>22/04/2016</t>
  </si>
  <si>
    <t>23/04/2016</t>
  </si>
  <si>
    <t>Otros Doris (27)</t>
  </si>
  <si>
    <t>Gastos Univ.($50+$116)</t>
  </si>
  <si>
    <t>- DCTO SELECTOS $1.51</t>
  </si>
  <si>
    <t>26/04/2016</t>
  </si>
  <si>
    <t>2.069,00</t>
  </si>
  <si>
    <t>8,93</t>
  </si>
  <si>
    <t>27/04/2016</t>
  </si>
  <si>
    <t>Regalo madre</t>
  </si>
  <si>
    <t>2a. Quincena(Deposito $550.03)</t>
  </si>
  <si>
    <t>30/04/2016</t>
  </si>
  <si>
    <t>01/05/2016</t>
  </si>
  <si>
    <t>UDB</t>
  </si>
  <si>
    <t>03/05/2016</t>
  </si>
  <si>
    <t>ANDA</t>
  </si>
  <si>
    <t>70,00</t>
  </si>
  <si>
    <t>2.139,00</t>
  </si>
  <si>
    <t>abono 3.99</t>
  </si>
  <si>
    <t>abono 8.29</t>
  </si>
  <si>
    <t>- DCTO SELECTOS $2.78</t>
  </si>
  <si>
    <t>05/05/2016</t>
  </si>
  <si>
    <t>DORIS</t>
  </si>
  <si>
    <t>07/05/2016</t>
  </si>
  <si>
    <t>09/05/2016</t>
  </si>
  <si>
    <t>CASA</t>
  </si>
  <si>
    <t>10/05/2016</t>
  </si>
  <si>
    <t>11/05/2016</t>
  </si>
  <si>
    <t>Otros+MARO($)+INV($91.40+100.18)</t>
  </si>
  <si>
    <t>Regalo Doris</t>
  </si>
  <si>
    <t>- DCTO SELECTOS $2.36</t>
  </si>
  <si>
    <t>14/05/2016</t>
  </si>
  <si>
    <t>15/05/2016</t>
  </si>
  <si>
    <t>17/05/2016</t>
  </si>
  <si>
    <t>19/05/2016</t>
  </si>
  <si>
    <t>- DCTO SELECTOS $2.55</t>
  </si>
  <si>
    <t>OTROS</t>
  </si>
  <si>
    <t>CLARO</t>
  </si>
  <si>
    <t>20/05/2016</t>
  </si>
  <si>
    <t>21/05/2016</t>
  </si>
  <si>
    <t>22/05/2016</t>
  </si>
  <si>
    <t>- DCTO SELECTOS $2.53</t>
  </si>
  <si>
    <t>- DCTO SELECTOS $0.84</t>
  </si>
  <si>
    <t>25/05/2016</t>
  </si>
  <si>
    <t>26/05/2016</t>
  </si>
  <si>
    <t>Otros+INV(72.32)+Doris(30+Comida 4)</t>
  </si>
  <si>
    <t>27/05/2016</t>
  </si>
  <si>
    <t>CELULAR ACCES.</t>
  </si>
  <si>
    <t>28/05/2016</t>
  </si>
  <si>
    <t>29/05/2016</t>
  </si>
  <si>
    <t>31/05/2016</t>
  </si>
  <si>
    <t>01/06/2016</t>
  </si>
  <si>
    <t>02/06/2016</t>
  </si>
  <si>
    <t>INV(90.60)+Doris(30+Comida $4+aerop $20)</t>
  </si>
  <si>
    <t>04/06/2016</t>
  </si>
  <si>
    <t>06/06/2016</t>
  </si>
  <si>
    <t>- DCTO SELECTOS $2.90</t>
  </si>
  <si>
    <t>12/06/2016</t>
  </si>
  <si>
    <t>10/06/2016</t>
  </si>
  <si>
    <t>11/06/2016</t>
  </si>
  <si>
    <t>Diezmo(diezmo 240)</t>
  </si>
  <si>
    <t>13/06/2016</t>
  </si>
  <si>
    <t>Regalo Cumpleaños</t>
  </si>
  <si>
    <t>17/06/2016</t>
  </si>
  <si>
    <t>18/06/2016</t>
  </si>
  <si>
    <t>20/06/2016</t>
  </si>
  <si>
    <t>ABONO $40</t>
  </si>
  <si>
    <t>- DCTO SELECTOS $2.35</t>
  </si>
  <si>
    <t>23/06/2016</t>
  </si>
  <si>
    <t>25/06/2016</t>
  </si>
  <si>
    <t>26/06/2016</t>
  </si>
  <si>
    <t>40,00</t>
  </si>
  <si>
    <t>1.800,00</t>
  </si>
  <si>
    <t>10,93</t>
  </si>
  <si>
    <t>1.840,00</t>
  </si>
  <si>
    <t>INV (11.18)+Doris(30+Comida $4+aerop $20+Comida($3 el 21062016)+$60 prestamo)</t>
  </si>
  <si>
    <t>30/06/2016</t>
  </si>
  <si>
    <t>- DCTO SELECTOS $2.05</t>
  </si>
  <si>
    <t>01/07/2016</t>
  </si>
  <si>
    <t>02/07/2016</t>
  </si>
  <si>
    <t>REPUESTOS</t>
  </si>
  <si>
    <t>ROPA</t>
  </si>
  <si>
    <t>03/07/2016</t>
  </si>
  <si>
    <t>04/07/2016</t>
  </si>
  <si>
    <t>AGUA</t>
  </si>
  <si>
    <t>- DCTO SELECTOS $2.03</t>
  </si>
  <si>
    <t>06/07/2016</t>
  </si>
  <si>
    <t>08/07/2016</t>
  </si>
  <si>
    <t>English celebration</t>
  </si>
  <si>
    <t>Misiones Foráneas</t>
  </si>
  <si>
    <t>INV ()+</t>
  </si>
  <si>
    <t>- DCTO SELECTOS $1.53</t>
  </si>
  <si>
    <t>15/07/2016</t>
  </si>
  <si>
    <t>19/07/2016</t>
  </si>
  <si>
    <t>16/07/2016</t>
  </si>
  <si>
    <t>MC DONALD</t>
  </si>
  <si>
    <t>20/07/2016</t>
  </si>
  <si>
    <t>21/07/2016</t>
  </si>
  <si>
    <t>INV ()+SEGURO(21.85)</t>
  </si>
  <si>
    <t>22/07/2016</t>
  </si>
  <si>
    <t>23/07/2016</t>
  </si>
  <si>
    <t>24/07/2016</t>
  </si>
  <si>
    <t>1.762,00</t>
  </si>
  <si>
    <t>9,11</t>
  </si>
  <si>
    <t>26/07/2016</t>
  </si>
  <si>
    <t>- DCTO SELECTOS $1.58</t>
  </si>
  <si>
    <t>Retiro</t>
  </si>
  <si>
    <t>29/07/2016</t>
  </si>
  <si>
    <t>30/07/2016</t>
  </si>
  <si>
    <t>31/07/2016</t>
  </si>
  <si>
    <t>- DCTO SELECTOS $2.42</t>
  </si>
  <si>
    <t>01/08/2016</t>
  </si>
  <si>
    <t>04/08/2016</t>
  </si>
  <si>
    <t>05/08/2016</t>
  </si>
  <si>
    <t>09/08/2016</t>
  </si>
  <si>
    <t>- DCTO SELECTOS $1.82</t>
  </si>
  <si>
    <t>INV ()+SEGURO(21.85)+OTRO(97)</t>
  </si>
  <si>
    <t>- DCTO SELECTOS $0.63</t>
  </si>
  <si>
    <t>12/08/2016</t>
  </si>
  <si>
    <t>13/08/2016</t>
  </si>
  <si>
    <t>14/08/2016</t>
  </si>
  <si>
    <t>15/08/2016</t>
  </si>
  <si>
    <t>- DCTO SELECTOS $0.95</t>
  </si>
  <si>
    <t>19/08/2016</t>
  </si>
  <si>
    <t>20/08/2016</t>
  </si>
  <si>
    <t>22/08/2016</t>
  </si>
  <si>
    <t>- DCTO SELECTOS $2.33</t>
  </si>
  <si>
    <t>24/08/2016</t>
  </si>
  <si>
    <t>INV (84.59)+SEGURO(21.85+49.42)+OTRO(97)</t>
  </si>
  <si>
    <t>25/08/2016</t>
  </si>
  <si>
    <t>- DCTO SELECTOS $0.22</t>
  </si>
  <si>
    <t>26/08/2016</t>
  </si>
  <si>
    <t>28/08/2016</t>
  </si>
  <si>
    <t>31/08/2016</t>
  </si>
  <si>
    <t>02/09/2016</t>
  </si>
  <si>
    <t>03/09/2016</t>
  </si>
  <si>
    <t>04/09/2016</t>
  </si>
  <si>
    <t>05/09/2016</t>
  </si>
  <si>
    <t>08/09/2016</t>
  </si>
  <si>
    <t>09/09/2016</t>
  </si>
  <si>
    <t>10/09/2016</t>
  </si>
  <si>
    <t>11/09/2016</t>
  </si>
  <si>
    <t>- DCTO SELECTOS $1.44</t>
  </si>
  <si>
    <t>12/09/2016</t>
  </si>
  <si>
    <t>INV</t>
  </si>
  <si>
    <t>INV ()+SEGURO()+OTRO(97)</t>
  </si>
  <si>
    <t>- PAGO DE 10.98</t>
  </si>
  <si>
    <t>14/09/2016</t>
  </si>
  <si>
    <t>- SALDO CREDITO $1.44</t>
  </si>
  <si>
    <t>- DCTO SELECTOS $1.55</t>
  </si>
  <si>
    <t xml:space="preserve">Niña Lina </t>
  </si>
  <si>
    <t>20/09/2016</t>
  </si>
  <si>
    <t>- DCTO SELECTOS $4.48</t>
  </si>
  <si>
    <t>22/09/2016</t>
  </si>
  <si>
    <t>23/09/2016</t>
  </si>
  <si>
    <t>24/09/2016</t>
  </si>
  <si>
    <t>25/09/2016</t>
  </si>
  <si>
    <t>INV ()+SEGURO(70.34)+OTRO(97)</t>
  </si>
  <si>
    <t>26/09/2016</t>
  </si>
  <si>
    <t>27/09/2016</t>
  </si>
  <si>
    <t>- DCTO SELECTOS $2.80</t>
  </si>
  <si>
    <t>OTRO BE FIT</t>
  </si>
  <si>
    <t>Fecha aprox. pago sierra 16/10/2016</t>
  </si>
  <si>
    <t>30/09/2016</t>
  </si>
  <si>
    <t>01/10/2016</t>
  </si>
  <si>
    <t>04/10/2016</t>
  </si>
  <si>
    <t>- DCTO SELECTOS $1.73</t>
  </si>
  <si>
    <t>06/10/2016</t>
  </si>
  <si>
    <t>08/10/2016</t>
  </si>
  <si>
    <t>ANDA MARO</t>
  </si>
  <si>
    <t>07/10/2016</t>
  </si>
  <si>
    <t>INV (96.98)+SEGURO(70.34)+OTRO(97+Walter 35)</t>
  </si>
  <si>
    <t>- DCTO SELECTOS $0.96</t>
  </si>
  <si>
    <t>14/10/2016</t>
  </si>
  <si>
    <t>Gift</t>
  </si>
  <si>
    <t>15/10/2016</t>
  </si>
  <si>
    <t>17/10/2016</t>
  </si>
  <si>
    <t>18/10/2016</t>
  </si>
  <si>
    <t>Detalle Gift</t>
  </si>
  <si>
    <t>Seguro presentado el Martes 18/10</t>
  </si>
  <si>
    <t>19/10/2016</t>
  </si>
  <si>
    <t>- DCTO SELECTOS $2.11</t>
  </si>
  <si>
    <t>GIFT1</t>
  </si>
  <si>
    <t>GIFT2</t>
  </si>
  <si>
    <t>20/10/2016</t>
  </si>
  <si>
    <t>GIFT3</t>
  </si>
  <si>
    <t>GIFT4</t>
  </si>
  <si>
    <t>INV (21)+SEGURO(29.70)+OTRO(97)+MARO(24)</t>
  </si>
  <si>
    <t>- DCTO SELECTOS $1.24</t>
  </si>
  <si>
    <t>21/10/2016</t>
  </si>
  <si>
    <t>22/10/2016</t>
  </si>
  <si>
    <t>23/10/2016</t>
  </si>
  <si>
    <t>GIFT4(si)</t>
  </si>
  <si>
    <t>24/10/2016</t>
  </si>
  <si>
    <t>- DCTO SELECTOS $3.21</t>
  </si>
  <si>
    <t>25/10/2016</t>
  </si>
  <si>
    <t>28/10/2016</t>
  </si>
  <si>
    <t>Misceláneos</t>
  </si>
  <si>
    <t>29/10/2016</t>
  </si>
  <si>
    <t>30/10/2016</t>
  </si>
  <si>
    <t>31/10/2016</t>
  </si>
  <si>
    <t>- DCTO SELECTOS $3.21 y 0.10 y 0.28</t>
  </si>
  <si>
    <t>- PAGO 0.34+1.75</t>
  </si>
  <si>
    <t>03/11/2016</t>
  </si>
  <si>
    <t>01/11/2016</t>
  </si>
  <si>
    <t>04/11/2016</t>
  </si>
  <si>
    <t>06/11/2016</t>
  </si>
  <si>
    <t>Matricula</t>
  </si>
  <si>
    <t>Special</t>
  </si>
  <si>
    <t>SEGURO()+OTRO(97)</t>
  </si>
  <si>
    <t>07/11/2016</t>
  </si>
  <si>
    <t>- SALDO A FAVOR $126.14</t>
  </si>
  <si>
    <t>08/11/2016</t>
  </si>
  <si>
    <t>Papeleria</t>
  </si>
  <si>
    <t>10/11/2016</t>
  </si>
  <si>
    <t>- DCTO SELECTOS $1.34 y 0.34</t>
  </si>
  <si>
    <t>11/11/2016</t>
  </si>
  <si>
    <t>12/11/2016</t>
  </si>
  <si>
    <t>14/11/2016</t>
  </si>
  <si>
    <t>- DCTO SELECTOS $1.68</t>
  </si>
  <si>
    <t>- DCTO SELECTOS $1.68+0.68</t>
  </si>
  <si>
    <t>cash</t>
  </si>
  <si>
    <t>total</t>
  </si>
  <si>
    <t>matrícula</t>
  </si>
  <si>
    <t>Papelería</t>
  </si>
  <si>
    <t>Lina</t>
  </si>
  <si>
    <t>16/11/2016</t>
  </si>
  <si>
    <t>Libros Jaime</t>
  </si>
  <si>
    <t>Gastos Univ.($50)</t>
  </si>
  <si>
    <t>COMPUTADORA</t>
  </si>
  <si>
    <t>- DCTO SELECTOS $0.70</t>
  </si>
  <si>
    <t>18/11/2016</t>
  </si>
  <si>
    <t>19/11/2016</t>
  </si>
  <si>
    <t>20/11/2016</t>
  </si>
  <si>
    <t>21/11/2016</t>
  </si>
  <si>
    <t>- DCTO SELECTOS $2.73</t>
  </si>
  <si>
    <t>25/11/2016</t>
  </si>
  <si>
    <t>REGALO DM1</t>
  </si>
  <si>
    <t>26/11/2016</t>
  </si>
  <si>
    <t>REGALO JJ1</t>
  </si>
  <si>
    <t>REGALO DM2</t>
  </si>
  <si>
    <t>REGALO DM3</t>
  </si>
  <si>
    <t>DETALLE REGALO</t>
  </si>
  <si>
    <t>matric</t>
  </si>
  <si>
    <t>cuota</t>
  </si>
  <si>
    <t>arancel</t>
  </si>
  <si>
    <t>detalle don bosco</t>
  </si>
  <si>
    <t>2a. Quincena(Deposito $540.32)</t>
  </si>
  <si>
    <t>2a. Quincena(Deposito $540.32-40)</t>
  </si>
  <si>
    <t>27/11/2016</t>
  </si>
  <si>
    <t>28/11/2016</t>
  </si>
  <si>
    <t>UNIVERSIDAD</t>
  </si>
  <si>
    <t>- DCTO SELECTOS $4.29</t>
  </si>
  <si>
    <t>- DCTO SELECTOS $0.33</t>
  </si>
  <si>
    <t>30/11/2016</t>
  </si>
  <si>
    <t>CAMARA</t>
  </si>
  <si>
    <t>Fecha pago sierra aprox. 16/12/2016</t>
  </si>
  <si>
    <t>01/12/2016</t>
  </si>
  <si>
    <t>DEUDA EQUIFAX</t>
  </si>
  <si>
    <t>03/12/2016</t>
  </si>
  <si>
    <t>04/12/2016</t>
  </si>
  <si>
    <t>05/12/2016</t>
  </si>
  <si>
    <t>- DCTO SELECTOS $1.62</t>
  </si>
  <si>
    <t>SEGURO(5)+OTRO(97)</t>
  </si>
  <si>
    <t>07/12/2016</t>
  </si>
  <si>
    <t>- DCTO SELECTOS $1.87</t>
  </si>
  <si>
    <t>09/12/2016</t>
  </si>
  <si>
    <t>Renta 2016 (2320.14)</t>
  </si>
  <si>
    <t>AÑO 2015</t>
  </si>
  <si>
    <t>Uniformes</t>
  </si>
  <si>
    <t>PARQUEO</t>
  </si>
  <si>
    <t>10/12/2016</t>
  </si>
  <si>
    <t>PARQUEO+HOSPITAL</t>
  </si>
  <si>
    <t>saldo scotia</t>
  </si>
  <si>
    <t>REGALO DM4</t>
  </si>
  <si>
    <t>11/12/2016</t>
  </si>
  <si>
    <t>12/12/2016</t>
  </si>
  <si>
    <t>- DCTO SELECTOS $2.94</t>
  </si>
  <si>
    <t>saldo 47.51</t>
  </si>
  <si>
    <t>Carro</t>
  </si>
  <si>
    <t>Siembra</t>
  </si>
  <si>
    <t>REGALO DM5</t>
  </si>
  <si>
    <t>17/12/2016</t>
  </si>
  <si>
    <t>REGALOS JJ</t>
  </si>
  <si>
    <t>15/12/2016</t>
  </si>
  <si>
    <t>19/12/2016</t>
  </si>
  <si>
    <t>Millas+Equifax</t>
  </si>
  <si>
    <t>- DCTO SELECTOS $3.10</t>
  </si>
  <si>
    <t>20/12/2016</t>
  </si>
  <si>
    <t>ZAPATOS</t>
  </si>
  <si>
    <t>22/12/2016</t>
  </si>
  <si>
    <t>Dif.con computadora</t>
  </si>
  <si>
    <t>laborat.</t>
  </si>
  <si>
    <t>Sumas dif. con comput.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</si>
</sst>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rgb="FFFFFFFF"/>
      <name val="Arial"/>
      <family val="2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6AABE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2F61"/>
        <bgColor indexed="64"/>
      </patternFill>
    </fill>
    <fill>
      <patternFill patternType="solid">
        <fgColor rgb="FFF0F0F0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medium">
        <color rgb="FFFFFFFF"/>
      </left>
      <right/>
      <top style="medium">
        <color rgb="FFFFFFFF"/>
      </top>
      <bottom/>
      <diagonal/>
    </border>
    <border>
      <left/>
      <right/>
      <top style="medium">
        <color rgb="FFFFFFFF"/>
      </top>
      <bottom/>
      <diagonal/>
    </border>
    <border>
      <left/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/>
      <top/>
      <bottom/>
      <diagonal/>
    </border>
    <border>
      <left/>
      <right style="medium">
        <color rgb="FFFFFFFF"/>
      </right>
      <top/>
      <bottom/>
      <diagonal/>
    </border>
    <border>
      <left style="medium">
        <color rgb="FFFFFFFF"/>
      </left>
      <right/>
      <top/>
      <bottom style="medium">
        <color rgb="FFFFFFFF"/>
      </bottom>
      <diagonal/>
    </border>
    <border>
      <left/>
      <right/>
      <top/>
      <bottom style="medium">
        <color rgb="FFFFFFFF"/>
      </bottom>
      <diagonal/>
    </border>
    <border>
      <left/>
      <right style="medium">
        <color rgb="FFFFFFFF"/>
      </right>
      <top/>
      <bottom style="medium">
        <color rgb="FFFFFFFF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/>
    <xf numFmtId="0" fontId="0" fillId="0" borderId="0" xfId="0" quotePrefix="1"/>
    <xf numFmtId="14" fontId="0" fillId="0" borderId="0" xfId="0" quotePrefix="1" applyNumberFormat="1"/>
    <xf numFmtId="0" fontId="0" fillId="2" borderId="0" xfId="0" applyFill="1"/>
    <xf numFmtId="0" fontId="0" fillId="0" borderId="0" xfId="0"/>
    <xf numFmtId="14" fontId="0" fillId="0" borderId="0" xfId="0" quotePrefix="1" applyNumberFormat="1"/>
    <xf numFmtId="0" fontId="1" fillId="4" borderId="0" xfId="0" applyFont="1" applyFill="1" applyAlignment="1">
      <alignment horizontal="right" vertical="center" wrapText="1" indent="1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4" borderId="4" xfId="0" applyFont="1" applyFill="1" applyBorder="1" applyAlignment="1">
      <alignment horizontal="left" vertical="center" wrapText="1" indent="1"/>
    </xf>
    <xf numFmtId="0" fontId="1" fillId="4" borderId="5" xfId="0" applyFont="1" applyFill="1" applyBorder="1" applyAlignment="1">
      <alignment horizontal="right" vertical="center" wrapText="1" indent="1"/>
    </xf>
    <xf numFmtId="0" fontId="2" fillId="5" borderId="6" xfId="0" applyFont="1" applyFill="1" applyBorder="1" applyAlignment="1">
      <alignment horizontal="center" vertical="center" wrapText="1"/>
    </xf>
    <xf numFmtId="0" fontId="2" fillId="5" borderId="7" xfId="0" applyFont="1" applyFill="1" applyBorder="1" applyAlignment="1">
      <alignment horizontal="right" vertical="center" wrapText="1" indent="1"/>
    </xf>
    <xf numFmtId="49" fontId="0" fillId="0" borderId="0" xfId="0" applyNumberFormat="1"/>
    <xf numFmtId="0" fontId="1" fillId="3" borderId="1" xfId="0" applyFont="1" applyFill="1" applyBorder="1" applyAlignment="1">
      <alignment horizontal="left" vertical="center" wrapText="1" indent="1"/>
    </xf>
    <xf numFmtId="0" fontId="1" fillId="3" borderId="2" xfId="0" applyFont="1" applyFill="1" applyBorder="1" applyAlignment="1">
      <alignment horizontal="right" vertical="center" wrapText="1" indent="1"/>
    </xf>
    <xf numFmtId="0" fontId="1" fillId="3" borderId="3" xfId="0" applyFont="1" applyFill="1" applyBorder="1" applyAlignment="1">
      <alignment horizontal="right" vertical="center" wrapText="1" indent="1"/>
    </xf>
    <xf numFmtId="0" fontId="2" fillId="5" borderId="8" xfId="0" applyFont="1" applyFill="1" applyBorder="1" applyAlignment="1">
      <alignment horizontal="right" vertical="center" wrapText="1" indent="1"/>
    </xf>
    <xf numFmtId="0" fontId="2" fillId="5" borderId="1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49" fontId="1" fillId="0" borderId="1" xfId="0" applyNumberFormat="1" applyFont="1" applyFill="1" applyBorder="1" applyAlignment="1">
      <alignment horizontal="left" vertical="center" wrapText="1" indent="1"/>
    </xf>
    <xf numFmtId="0" fontId="1" fillId="0" borderId="2" xfId="0" applyFont="1" applyFill="1" applyBorder="1" applyAlignment="1">
      <alignment horizontal="right" vertical="center" wrapText="1" indent="1"/>
    </xf>
    <xf numFmtId="0" fontId="1" fillId="0" borderId="3" xfId="0" applyFont="1" applyFill="1" applyBorder="1" applyAlignment="1">
      <alignment horizontal="right" vertical="center" wrapText="1" indent="1"/>
    </xf>
    <xf numFmtId="49" fontId="1" fillId="0" borderId="4" xfId="0" applyNumberFormat="1" applyFont="1" applyFill="1" applyBorder="1" applyAlignment="1">
      <alignment horizontal="left" vertical="center" wrapText="1" indent="1"/>
    </xf>
    <xf numFmtId="0" fontId="1" fillId="0" borderId="0" xfId="0" applyFont="1" applyFill="1" applyAlignment="1">
      <alignment horizontal="right" vertical="center" wrapText="1" indent="1"/>
    </xf>
    <xf numFmtId="0" fontId="1" fillId="0" borderId="5" xfId="0" applyFont="1" applyFill="1" applyBorder="1" applyAlignment="1">
      <alignment horizontal="right" vertical="center" wrapText="1" indent="1"/>
    </xf>
    <xf numFmtId="0" fontId="2" fillId="0" borderId="7" xfId="0" applyFont="1" applyFill="1" applyBorder="1" applyAlignment="1">
      <alignment horizontal="right" vertical="center" wrapText="1" indent="1"/>
    </xf>
    <xf numFmtId="0" fontId="2" fillId="0" borderId="8" xfId="0" applyFont="1" applyFill="1" applyBorder="1" applyAlignment="1">
      <alignment horizontal="right" vertical="center" wrapText="1" indent="1"/>
    </xf>
    <xf numFmtId="49" fontId="0" fillId="0" borderId="0" xfId="0" applyNumberFormat="1" applyFill="1"/>
    <xf numFmtId="0" fontId="0" fillId="0" borderId="0" xfId="0" applyFill="1"/>
    <xf numFmtId="0" fontId="1" fillId="6" borderId="0" xfId="0" applyFont="1" applyFill="1" applyAlignment="1">
      <alignment horizontal="right" vertical="center" wrapText="1" indent="1"/>
    </xf>
    <xf numFmtId="0" fontId="1" fillId="6" borderId="4" xfId="0" applyFont="1" applyFill="1" applyBorder="1" applyAlignment="1">
      <alignment horizontal="left" vertical="center" wrapText="1" indent="1"/>
    </xf>
    <xf numFmtId="0" fontId="1" fillId="6" borderId="5" xfId="0" applyFont="1" applyFill="1" applyBorder="1" applyAlignment="1">
      <alignment horizontal="right" vertical="center" wrapText="1" indent="1"/>
    </xf>
    <xf numFmtId="0" fontId="1" fillId="6" borderId="0" xfId="0" applyFont="1" applyFill="1" applyBorder="1" applyAlignment="1">
      <alignment horizontal="right" vertical="center" wrapText="1" indent="1"/>
    </xf>
    <xf numFmtId="0" fontId="0" fillId="7" borderId="0" xfId="0" applyFill="1"/>
    <xf numFmtId="0" fontId="0" fillId="7" borderId="0" xfId="0" quotePrefix="1" applyFill="1"/>
    <xf numFmtId="0" fontId="3" fillId="2" borderId="0" xfId="0" applyFont="1" applyFill="1"/>
    <xf numFmtId="0" fontId="4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8"/>
  <sheetViews>
    <sheetView workbookViewId="0">
      <selection activeCell="A65" sqref="A65"/>
    </sheetView>
  </sheetViews>
  <sheetFormatPr defaultRowHeight="15" x14ac:dyDescent="0.25"/>
  <cols>
    <col min="1" max="1" width="21.28515625" customWidth="1"/>
    <col min="7" max="7" width="12" bestFit="1" customWidth="1"/>
    <col min="8" max="8" width="11.28515625" customWidth="1"/>
    <col min="9" max="9" width="9.42578125" customWidth="1"/>
    <col min="10" max="10" width="12.42578125" customWidth="1"/>
    <col min="13" max="13" width="13.42578125" bestFit="1" customWidth="1"/>
    <col min="14" max="15" width="10.7109375" bestFit="1" customWidth="1"/>
    <col min="17" max="17" width="11.85546875" customWidth="1"/>
  </cols>
  <sheetData>
    <row r="1" spans="1:18" x14ac:dyDescent="0.25">
      <c r="A1" s="1" t="s">
        <v>89</v>
      </c>
      <c r="B1" s="1">
        <v>2187</v>
      </c>
      <c r="C1" s="1"/>
      <c r="D1" s="1">
        <v>2187</v>
      </c>
      <c r="E1" s="1">
        <v>509.82</v>
      </c>
      <c r="F1" s="1"/>
      <c r="G1" s="1">
        <f>2241.68-521.73</f>
        <v>1719.9499999999998</v>
      </c>
      <c r="H1" s="1"/>
      <c r="I1" s="1"/>
      <c r="J1" s="1"/>
      <c r="K1" s="1">
        <f>1120.84*2</f>
        <v>2241.6799999999998</v>
      </c>
      <c r="L1" s="1"/>
      <c r="M1" s="1" t="s">
        <v>24</v>
      </c>
      <c r="N1" s="1" t="s">
        <v>23</v>
      </c>
      <c r="O1" s="1" t="s">
        <v>25</v>
      </c>
      <c r="P1" s="1"/>
      <c r="Q1" s="1"/>
    </row>
    <row r="2" spans="1:18" x14ac:dyDescent="0.25">
      <c r="A2" s="1"/>
      <c r="B2" s="1"/>
      <c r="C2" s="1"/>
      <c r="D2" s="1">
        <v>2241.6799999999998</v>
      </c>
      <c r="E2" s="1" t="s">
        <v>90</v>
      </c>
      <c r="F2" s="1">
        <f>((2241.68*509)/2187)</f>
        <v>521.72616369455875</v>
      </c>
      <c r="G2" s="1"/>
      <c r="H2" s="1"/>
      <c r="I2" s="1"/>
      <c r="J2" s="1"/>
      <c r="K2" s="1"/>
      <c r="L2" s="1"/>
      <c r="M2" s="1" t="s">
        <v>26</v>
      </c>
      <c r="N2" s="6" t="s">
        <v>118</v>
      </c>
      <c r="P2">
        <v>6.58</v>
      </c>
      <c r="Q2" s="1" t="s">
        <v>125</v>
      </c>
      <c r="R2" s="5">
        <v>8.1999999999999993</v>
      </c>
    </row>
    <row r="3" spans="1:18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 t="s">
        <v>12</v>
      </c>
      <c r="N3" s="6" t="s">
        <v>123</v>
      </c>
      <c r="P3">
        <v>23.12</v>
      </c>
      <c r="Q3" s="1"/>
    </row>
    <row r="4" spans="1:18" x14ac:dyDescent="0.25">
      <c r="A4" s="1" t="s">
        <v>10</v>
      </c>
      <c r="B4" s="1"/>
      <c r="C4" s="1"/>
      <c r="E4" s="1">
        <v>230</v>
      </c>
      <c r="G4" s="1"/>
      <c r="H4" s="1"/>
      <c r="I4" s="1">
        <f>112.84*2</f>
        <v>225.68</v>
      </c>
      <c r="J4" s="1"/>
      <c r="K4" s="1"/>
      <c r="M4" t="s">
        <v>27</v>
      </c>
      <c r="N4" s="6" t="s">
        <v>127</v>
      </c>
      <c r="P4">
        <v>33.270000000000003</v>
      </c>
      <c r="Q4" s="1"/>
    </row>
    <row r="5" spans="1:18" x14ac:dyDescent="0.25">
      <c r="A5" s="1" t="s">
        <v>114</v>
      </c>
      <c r="B5" s="1"/>
      <c r="C5" s="1"/>
      <c r="E5" s="1">
        <v>35</v>
      </c>
      <c r="G5" s="1"/>
      <c r="H5" s="1"/>
      <c r="I5" s="1"/>
      <c r="K5" s="1"/>
      <c r="M5" t="s">
        <v>27</v>
      </c>
      <c r="N5" s="6" t="s">
        <v>127</v>
      </c>
      <c r="P5">
        <v>60.95</v>
      </c>
      <c r="Q5" s="1"/>
    </row>
    <row r="6" spans="1:18" x14ac:dyDescent="0.25">
      <c r="A6" s="1" t="s">
        <v>2</v>
      </c>
      <c r="B6" s="1"/>
      <c r="C6" s="1"/>
      <c r="E6" s="1">
        <v>50</v>
      </c>
      <c r="G6" s="1"/>
      <c r="H6" s="1"/>
      <c r="I6" s="1"/>
      <c r="K6" s="1"/>
      <c r="M6" t="s">
        <v>36</v>
      </c>
      <c r="N6" s="6" t="s">
        <v>127</v>
      </c>
      <c r="P6">
        <v>6</v>
      </c>
      <c r="Q6" s="1"/>
    </row>
    <row r="7" spans="1:18" x14ac:dyDescent="0.25">
      <c r="A7" s="1" t="s">
        <v>0</v>
      </c>
      <c r="B7" s="1"/>
      <c r="C7" s="1"/>
      <c r="D7" s="1"/>
      <c r="E7">
        <v>90</v>
      </c>
      <c r="G7" s="1"/>
      <c r="H7" s="1"/>
      <c r="I7" s="1"/>
      <c r="J7" s="1"/>
      <c r="K7" s="1"/>
      <c r="M7" t="s">
        <v>26</v>
      </c>
      <c r="N7" s="6" t="s">
        <v>129</v>
      </c>
      <c r="P7">
        <v>10.56</v>
      </c>
      <c r="Q7" s="1"/>
    </row>
    <row r="8" spans="1:18" x14ac:dyDescent="0.25">
      <c r="A8" s="1" t="s">
        <v>8</v>
      </c>
      <c r="B8" s="1"/>
      <c r="C8" s="1"/>
      <c r="E8" s="1">
        <v>30</v>
      </c>
      <c r="G8" s="1"/>
      <c r="H8" s="1"/>
      <c r="I8" s="1"/>
      <c r="J8" s="1"/>
      <c r="K8" s="1"/>
      <c r="M8" t="s">
        <v>131</v>
      </c>
      <c r="N8" s="6" t="s">
        <v>130</v>
      </c>
      <c r="P8">
        <v>43</v>
      </c>
      <c r="Q8" s="1"/>
    </row>
    <row r="9" spans="1:18" x14ac:dyDescent="0.25">
      <c r="A9" s="1" t="s">
        <v>1</v>
      </c>
      <c r="B9" s="1"/>
      <c r="C9" s="1"/>
      <c r="E9" s="1">
        <v>20</v>
      </c>
      <c r="G9" s="1"/>
      <c r="H9" s="1"/>
      <c r="I9" s="1"/>
      <c r="J9" s="1"/>
      <c r="K9" s="1"/>
      <c r="M9" t="s">
        <v>50</v>
      </c>
      <c r="N9" s="6" t="s">
        <v>130</v>
      </c>
      <c r="P9">
        <v>10</v>
      </c>
      <c r="Q9" s="1"/>
    </row>
    <row r="10" spans="1:18" x14ac:dyDescent="0.25">
      <c r="A10" s="1" t="s">
        <v>4</v>
      </c>
      <c r="B10" s="1"/>
      <c r="C10" s="1"/>
      <c r="E10" s="1">
        <v>125</v>
      </c>
      <c r="G10" s="1"/>
      <c r="H10" s="1"/>
      <c r="I10" s="1"/>
      <c r="J10" s="1"/>
      <c r="K10" s="1"/>
      <c r="M10" t="s">
        <v>12</v>
      </c>
      <c r="N10" s="6" t="s">
        <v>130</v>
      </c>
      <c r="P10">
        <v>10.79</v>
      </c>
      <c r="Q10" s="1"/>
    </row>
    <row r="11" spans="1:18" x14ac:dyDescent="0.25">
      <c r="A11" s="1" t="s">
        <v>9</v>
      </c>
      <c r="B11" s="1"/>
      <c r="C11" s="1"/>
      <c r="E11" s="1">
        <v>15</v>
      </c>
      <c r="G11" s="1"/>
      <c r="H11" s="1"/>
      <c r="I11" s="1"/>
      <c r="J11" s="1"/>
      <c r="K11" s="1"/>
      <c r="M11" s="1" t="s">
        <v>36</v>
      </c>
      <c r="N11" s="6" t="s">
        <v>130</v>
      </c>
      <c r="P11">
        <v>7.25</v>
      </c>
      <c r="Q11" s="1"/>
    </row>
    <row r="12" spans="1:18" x14ac:dyDescent="0.25">
      <c r="A12" s="1" t="s">
        <v>28</v>
      </c>
      <c r="B12" s="1"/>
      <c r="C12" s="1"/>
      <c r="E12" s="1">
        <v>40</v>
      </c>
      <c r="G12" s="1"/>
      <c r="H12" s="1"/>
      <c r="I12" s="1"/>
      <c r="J12" s="1"/>
      <c r="K12" s="1"/>
      <c r="L12" s="1"/>
      <c r="M12" t="s">
        <v>65</v>
      </c>
      <c r="N12" s="6" t="s">
        <v>132</v>
      </c>
      <c r="P12">
        <f>5.5-0.76</f>
        <v>4.74</v>
      </c>
      <c r="Q12" s="5" t="s">
        <v>136</v>
      </c>
      <c r="R12">
        <v>5.5</v>
      </c>
    </row>
    <row r="13" spans="1:18" x14ac:dyDescent="0.25">
      <c r="A13" s="1" t="s">
        <v>115</v>
      </c>
      <c r="B13" s="1"/>
      <c r="C13" s="1"/>
      <c r="E13" s="1">
        <v>116</v>
      </c>
      <c r="G13" s="1"/>
      <c r="H13" s="1"/>
      <c r="I13" s="1"/>
      <c r="J13" s="1"/>
      <c r="K13" s="1"/>
      <c r="L13" s="1"/>
      <c r="M13" s="1" t="s">
        <v>36</v>
      </c>
      <c r="N13" s="6" t="s">
        <v>132</v>
      </c>
      <c r="P13">
        <v>10.99</v>
      </c>
      <c r="Q13" s="1"/>
    </row>
    <row r="14" spans="1:18" x14ac:dyDescent="0.25">
      <c r="A14" t="s">
        <v>37</v>
      </c>
      <c r="E14">
        <v>10</v>
      </c>
      <c r="G14" s="1"/>
      <c r="H14" s="1"/>
      <c r="I14" s="1"/>
      <c r="J14" s="1"/>
      <c r="K14" s="1"/>
      <c r="L14" s="1"/>
      <c r="M14" s="1" t="s">
        <v>36</v>
      </c>
      <c r="N14" s="6" t="s">
        <v>132</v>
      </c>
      <c r="P14">
        <v>15.45</v>
      </c>
      <c r="Q14" s="1"/>
    </row>
    <row r="15" spans="1:18" x14ac:dyDescent="0.25">
      <c r="A15" t="s">
        <v>116</v>
      </c>
      <c r="D15">
        <v>100</v>
      </c>
      <c r="E15" s="1">
        <v>150</v>
      </c>
      <c r="G15" s="1"/>
      <c r="H15" s="1"/>
      <c r="I15" s="1"/>
      <c r="J15" s="1"/>
      <c r="K15" s="1"/>
      <c r="L15" s="1"/>
      <c r="M15" s="1" t="s">
        <v>26</v>
      </c>
      <c r="N15" s="6" t="s">
        <v>137</v>
      </c>
      <c r="O15">
        <v>15.07</v>
      </c>
      <c r="P15" s="1"/>
      <c r="Q15" s="1"/>
    </row>
    <row r="16" spans="1:18" x14ac:dyDescent="0.25">
      <c r="G16" s="1"/>
      <c r="H16" s="1"/>
      <c r="I16" s="1"/>
      <c r="J16" s="1"/>
      <c r="K16" s="1"/>
      <c r="L16" s="1"/>
      <c r="M16" s="1"/>
      <c r="N16" s="3"/>
      <c r="O16" s="1"/>
      <c r="Q16" s="1"/>
    </row>
    <row r="17" spans="1:17" x14ac:dyDescent="0.25">
      <c r="A17" s="1"/>
      <c r="B17" s="1"/>
      <c r="C17" s="1"/>
      <c r="D17" s="1"/>
      <c r="E17" s="1"/>
      <c r="F17" s="1" t="s">
        <v>6</v>
      </c>
      <c r="G17" s="1"/>
      <c r="H17" s="1">
        <v>98</v>
      </c>
      <c r="I17" s="1"/>
      <c r="J17" s="1"/>
      <c r="K17" s="1"/>
      <c r="L17" s="1"/>
      <c r="M17" s="1"/>
      <c r="N17" s="3"/>
      <c r="O17" s="1"/>
      <c r="Q17" s="1"/>
    </row>
    <row r="18" spans="1:17" x14ac:dyDescent="0.25">
      <c r="E18" s="1"/>
      <c r="F18" s="1" t="s">
        <v>7</v>
      </c>
      <c r="G18" s="1"/>
      <c r="H18" s="1">
        <f>145.27-116</f>
        <v>29.27000000000001</v>
      </c>
      <c r="I18" s="1" t="s">
        <v>117</v>
      </c>
      <c r="J18" s="1">
        <v>1120.8399999999999</v>
      </c>
      <c r="K18" s="1"/>
      <c r="L18" s="1"/>
      <c r="M18" s="1"/>
      <c r="N18" s="3"/>
      <c r="O18" s="1"/>
      <c r="Q18" s="1"/>
    </row>
    <row r="19" spans="1:17" x14ac:dyDescent="0.25">
      <c r="A19" s="1"/>
      <c r="B19" s="1"/>
      <c r="C19" s="1"/>
      <c r="D19" s="1"/>
      <c r="E19" s="1"/>
      <c r="F19" s="1" t="s">
        <v>20</v>
      </c>
      <c r="G19" s="1"/>
      <c r="H19" s="1">
        <f>270+97+33</f>
        <v>400</v>
      </c>
      <c r="I19" s="1"/>
      <c r="J19" s="1" t="s">
        <v>124</v>
      </c>
      <c r="K19" s="1">
        <v>3.43</v>
      </c>
      <c r="L19" s="1"/>
      <c r="M19" s="1"/>
      <c r="N19" s="3"/>
      <c r="O19" s="1"/>
      <c r="Q19" s="1"/>
    </row>
    <row r="20" spans="1:17" x14ac:dyDescent="0.25">
      <c r="A20" s="1" t="s">
        <v>5</v>
      </c>
      <c r="B20" s="1"/>
      <c r="C20" s="1"/>
      <c r="D20" s="1">
        <f>SUM(D4:D19)</f>
        <v>100</v>
      </c>
      <c r="E20" s="1"/>
      <c r="F20" s="15" t="s">
        <v>138</v>
      </c>
      <c r="G20" s="1"/>
      <c r="H20">
        <v>79</v>
      </c>
      <c r="I20" s="1"/>
      <c r="J20" s="1"/>
      <c r="K20" s="1"/>
      <c r="L20" s="1"/>
      <c r="M20" s="1"/>
      <c r="N20" s="3"/>
      <c r="O20" s="1"/>
      <c r="Q20" s="1"/>
    </row>
    <row r="21" spans="1:17" x14ac:dyDescent="0.25">
      <c r="A21" s="1"/>
      <c r="B21" s="1"/>
      <c r="C21" s="1"/>
      <c r="D21" s="1"/>
      <c r="E21" s="1"/>
      <c r="F21" s="1" t="s">
        <v>5</v>
      </c>
      <c r="G21" s="1"/>
      <c r="H21" s="1">
        <f>SUM(H17:H20)</f>
        <v>606.27</v>
      </c>
      <c r="I21" s="1"/>
      <c r="J21" s="1"/>
      <c r="K21" s="1"/>
      <c r="L21" s="1"/>
      <c r="M21" s="1"/>
      <c r="N21" s="3"/>
      <c r="O21" s="1"/>
      <c r="Q21" s="1"/>
    </row>
    <row r="22" spans="1:17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3"/>
      <c r="O22" s="1"/>
      <c r="Q22" s="1"/>
    </row>
    <row r="23" spans="1:17" x14ac:dyDescent="0.25">
      <c r="A23" s="1"/>
      <c r="B23" s="1"/>
      <c r="C23" s="1"/>
      <c r="D23" s="1"/>
      <c r="E23" s="1"/>
      <c r="F23" s="1" t="s">
        <v>17</v>
      </c>
      <c r="G23" s="1"/>
      <c r="H23" s="1">
        <f>(H21+O31)-D20-O27</f>
        <v>491.2</v>
      </c>
      <c r="I23" s="1"/>
      <c r="J23" s="1"/>
      <c r="K23" s="1"/>
      <c r="L23" s="1"/>
      <c r="M23" s="1"/>
      <c r="N23" s="1"/>
      <c r="O23" s="1"/>
      <c r="Q23" s="1"/>
    </row>
    <row r="24" spans="1:17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Q24" s="1"/>
    </row>
    <row r="25" spans="1:17" x14ac:dyDescent="0.25">
      <c r="A25" s="1" t="s">
        <v>21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Q25" s="1"/>
    </row>
    <row r="26" spans="1:17" x14ac:dyDescent="0.25">
      <c r="A26" s="1" t="s">
        <v>143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Q26" s="1"/>
    </row>
    <row r="27" spans="1:17" x14ac:dyDescent="0.25">
      <c r="A27" s="1" t="s">
        <v>6</v>
      </c>
      <c r="B27" s="1"/>
      <c r="C27" s="1">
        <v>518</v>
      </c>
      <c r="D27" s="1"/>
      <c r="E27" s="1"/>
      <c r="F27" s="1"/>
      <c r="G27" s="1" t="s">
        <v>24</v>
      </c>
      <c r="H27" s="1" t="s">
        <v>23</v>
      </c>
      <c r="I27" s="1" t="s">
        <v>25</v>
      </c>
      <c r="J27" s="1"/>
      <c r="K27" s="1"/>
      <c r="L27" s="1"/>
      <c r="M27" s="1" t="s">
        <v>15</v>
      </c>
      <c r="N27" s="1"/>
      <c r="O27" s="1">
        <f>SUM(O2:O25)</f>
        <v>15.07</v>
      </c>
      <c r="P27" s="1"/>
      <c r="Q27" s="1"/>
    </row>
    <row r="28" spans="1:17" x14ac:dyDescent="0.25">
      <c r="A28" s="1" t="s">
        <v>7</v>
      </c>
      <c r="B28" s="1"/>
      <c r="C28" s="1">
        <v>25.89</v>
      </c>
      <c r="D28" s="1"/>
      <c r="E28" s="1"/>
      <c r="G28" s="1" t="s">
        <v>40</v>
      </c>
      <c r="H28" s="2" t="s">
        <v>137</v>
      </c>
      <c r="J28">
        <v>11.3</v>
      </c>
      <c r="K28" s="1"/>
      <c r="L28" s="1"/>
      <c r="M28" s="1"/>
      <c r="N28" s="2"/>
      <c r="O28" s="1"/>
      <c r="P28" s="1"/>
      <c r="Q28" s="1"/>
    </row>
    <row r="29" spans="1:17" x14ac:dyDescent="0.25">
      <c r="A29" s="1" t="s">
        <v>20</v>
      </c>
      <c r="B29" s="1"/>
      <c r="C29">
        <f>145+97+33+57+167.11+22.2</f>
        <v>521.31000000000006</v>
      </c>
      <c r="D29" s="1" t="s">
        <v>151</v>
      </c>
      <c r="E29" s="1"/>
      <c r="F29" s="1"/>
      <c r="G29" s="1" t="s">
        <v>26</v>
      </c>
      <c r="H29" s="2" t="s">
        <v>137</v>
      </c>
      <c r="J29">
        <v>15.07</v>
      </c>
      <c r="K29" s="1"/>
      <c r="L29" s="1"/>
      <c r="M29" s="1"/>
      <c r="N29" s="2"/>
      <c r="O29" s="1"/>
      <c r="P29" s="1"/>
      <c r="Q29" s="1"/>
    </row>
    <row r="30" spans="1:17" x14ac:dyDescent="0.25">
      <c r="A30" s="1" t="s">
        <v>32</v>
      </c>
      <c r="B30" s="1"/>
      <c r="D30">
        <v>470.75</v>
      </c>
      <c r="E30" s="1"/>
      <c r="F30" s="1"/>
      <c r="G30" s="1" t="s">
        <v>12</v>
      </c>
      <c r="H30" s="2" t="s">
        <v>145</v>
      </c>
      <c r="J30">
        <v>16.61</v>
      </c>
      <c r="K30" s="1"/>
      <c r="L30" s="1"/>
      <c r="M30" s="1"/>
      <c r="N30" s="2"/>
      <c r="O30" s="1"/>
      <c r="P30" s="1"/>
      <c r="Q30" s="1"/>
    </row>
    <row r="31" spans="1:17" x14ac:dyDescent="0.25">
      <c r="A31" t="s">
        <v>139</v>
      </c>
      <c r="C31">
        <v>55</v>
      </c>
      <c r="D31" s="1"/>
      <c r="E31" s="1"/>
      <c r="F31" s="1"/>
      <c r="G31" s="1" t="s">
        <v>27</v>
      </c>
      <c r="H31" s="2" t="s">
        <v>147</v>
      </c>
      <c r="I31">
        <v>18.32</v>
      </c>
      <c r="J31">
        <f>19.48-1.16</f>
        <v>18.32</v>
      </c>
      <c r="K31" s="38" t="s">
        <v>149</v>
      </c>
      <c r="L31" s="1"/>
      <c r="M31" s="1"/>
      <c r="N31" s="2">
        <v>19.48</v>
      </c>
      <c r="O31" s="1"/>
      <c r="P31" s="1"/>
      <c r="Q31" s="1"/>
    </row>
    <row r="32" spans="1:17" x14ac:dyDescent="0.25">
      <c r="A32" s="1" t="s">
        <v>5</v>
      </c>
      <c r="B32" s="1"/>
      <c r="C32" s="1">
        <f>SUM(C27:C31)</f>
        <v>1120.2</v>
      </c>
      <c r="D32" s="1"/>
      <c r="E32" s="1"/>
      <c r="F32" s="1"/>
      <c r="G32" s="1" t="s">
        <v>12</v>
      </c>
      <c r="H32" s="2" t="s">
        <v>146</v>
      </c>
      <c r="I32">
        <v>41.62</v>
      </c>
      <c r="K32" s="1"/>
      <c r="L32" s="1"/>
      <c r="M32" s="1"/>
      <c r="N32" s="2"/>
      <c r="O32" s="1"/>
      <c r="P32" s="1"/>
      <c r="Q32" s="1"/>
    </row>
    <row r="33" spans="1:17" x14ac:dyDescent="0.25">
      <c r="E33" s="1"/>
      <c r="F33" s="1"/>
      <c r="G33" s="1" t="s">
        <v>12</v>
      </c>
      <c r="H33" s="2" t="s">
        <v>146</v>
      </c>
      <c r="I33">
        <v>4.5999999999999996</v>
      </c>
      <c r="J33" s="37"/>
      <c r="L33" s="37"/>
      <c r="M33" s="37"/>
      <c r="N33" s="2"/>
      <c r="O33" s="1"/>
      <c r="P33" s="1"/>
      <c r="Q33" s="1"/>
    </row>
    <row r="34" spans="1:17" x14ac:dyDescent="0.25">
      <c r="A34" s="1" t="s">
        <v>18</v>
      </c>
      <c r="B34" s="1"/>
      <c r="C34" s="1"/>
      <c r="D34" s="1"/>
      <c r="F34" s="1"/>
      <c r="G34" s="1" t="s">
        <v>26</v>
      </c>
      <c r="H34" s="2" t="s">
        <v>146</v>
      </c>
      <c r="I34">
        <v>14.25</v>
      </c>
      <c r="K34" s="1"/>
      <c r="L34" s="1"/>
      <c r="M34" s="1"/>
      <c r="N34" s="2"/>
      <c r="O34" s="1"/>
      <c r="P34" s="1"/>
      <c r="Q34" s="1"/>
    </row>
    <row r="35" spans="1:17" x14ac:dyDescent="0.25">
      <c r="A35" t="s">
        <v>10</v>
      </c>
      <c r="D35">
        <v>50</v>
      </c>
      <c r="F35" s="1"/>
      <c r="G35" s="1" t="s">
        <v>27</v>
      </c>
      <c r="H35" s="2" t="s">
        <v>148</v>
      </c>
      <c r="I35">
        <v>11.78</v>
      </c>
      <c r="K35" s="1"/>
      <c r="L35" s="1"/>
      <c r="M35" s="1"/>
      <c r="N35" s="1"/>
      <c r="O35" s="1"/>
      <c r="P35" s="1"/>
      <c r="Q35" s="1"/>
    </row>
    <row r="36" spans="1:17" x14ac:dyDescent="0.25">
      <c r="A36" s="1" t="s">
        <v>1</v>
      </c>
      <c r="B36" s="1"/>
      <c r="C36" s="1">
        <v>10</v>
      </c>
      <c r="F36" s="1"/>
      <c r="G36" s="1" t="s">
        <v>27</v>
      </c>
      <c r="H36" s="2" t="s">
        <v>150</v>
      </c>
      <c r="I36">
        <v>4.49</v>
      </c>
      <c r="J36" s="2"/>
      <c r="K36" s="1"/>
      <c r="L36" s="1"/>
      <c r="M36" s="1"/>
      <c r="N36" s="1"/>
      <c r="O36" s="1"/>
      <c r="P36" s="1"/>
      <c r="Q36" s="1"/>
    </row>
    <row r="37" spans="1:17" x14ac:dyDescent="0.25">
      <c r="A37" s="1" t="s">
        <v>3</v>
      </c>
      <c r="B37" s="1"/>
      <c r="D37">
        <v>20.76</v>
      </c>
      <c r="F37" s="1"/>
      <c r="G37" s="1" t="s">
        <v>45</v>
      </c>
      <c r="H37" s="2" t="s">
        <v>150</v>
      </c>
      <c r="I37">
        <v>167.11</v>
      </c>
      <c r="J37" s="2"/>
      <c r="K37" s="1"/>
      <c r="L37" s="1"/>
      <c r="M37" s="1"/>
      <c r="N37" s="1"/>
      <c r="O37" s="1"/>
      <c r="P37" s="1"/>
      <c r="Q37" s="1"/>
    </row>
    <row r="38" spans="1:17" x14ac:dyDescent="0.25">
      <c r="A38" s="1" t="s">
        <v>4</v>
      </c>
      <c r="B38" s="1"/>
      <c r="C38" s="1">
        <v>125</v>
      </c>
      <c r="F38" s="1"/>
      <c r="G38" s="1" t="s">
        <v>13</v>
      </c>
      <c r="H38" s="2" t="s">
        <v>150</v>
      </c>
      <c r="I38">
        <v>22.2</v>
      </c>
      <c r="J38" s="2"/>
      <c r="K38" s="1"/>
      <c r="L38" s="1"/>
      <c r="M38" s="1"/>
      <c r="N38" s="1"/>
      <c r="O38" s="1"/>
      <c r="P38" s="1"/>
      <c r="Q38" s="1"/>
    </row>
    <row r="39" spans="1:17" x14ac:dyDescent="0.25">
      <c r="A39" s="1" t="s">
        <v>128</v>
      </c>
      <c r="B39" s="1"/>
      <c r="D39" s="1">
        <v>10</v>
      </c>
      <c r="F39" s="1"/>
      <c r="G39" s="5" t="s">
        <v>13</v>
      </c>
      <c r="H39" s="2" t="s">
        <v>150</v>
      </c>
      <c r="I39">
        <v>6.5</v>
      </c>
      <c r="J39" s="2"/>
      <c r="K39" s="1"/>
      <c r="L39" s="1"/>
      <c r="M39" s="1"/>
      <c r="N39" s="1"/>
      <c r="O39" s="1"/>
      <c r="P39" s="1"/>
      <c r="Q39" s="1"/>
    </row>
    <row r="40" spans="1:17" x14ac:dyDescent="0.25">
      <c r="A40" s="1" t="s">
        <v>126</v>
      </c>
      <c r="B40" s="1"/>
      <c r="D40" s="1">
        <v>60</v>
      </c>
      <c r="F40" s="1"/>
      <c r="G40" s="1"/>
      <c r="H40" s="2"/>
      <c r="J40" s="2"/>
      <c r="K40" s="38" t="s">
        <v>152</v>
      </c>
      <c r="L40" s="1"/>
      <c r="M40" s="1"/>
      <c r="N40" s="1"/>
      <c r="O40" s="1"/>
      <c r="P40" s="1"/>
      <c r="Q40" s="1"/>
    </row>
    <row r="41" spans="1:17" x14ac:dyDescent="0.25">
      <c r="A41" t="s">
        <v>35</v>
      </c>
      <c r="D41">
        <v>30</v>
      </c>
      <c r="F41" s="1"/>
      <c r="G41" s="1"/>
      <c r="H41" s="2"/>
      <c r="J41" s="2"/>
      <c r="K41" s="1"/>
      <c r="L41" s="1"/>
      <c r="M41" s="1"/>
      <c r="N41" s="1"/>
      <c r="O41" s="1"/>
      <c r="P41" s="1"/>
      <c r="Q41" s="1"/>
    </row>
    <row r="42" spans="1:17" x14ac:dyDescent="0.25">
      <c r="A42" t="s">
        <v>37</v>
      </c>
      <c r="C42">
        <v>10</v>
      </c>
      <c r="E42" s="1"/>
      <c r="F42" s="1"/>
      <c r="G42" s="1"/>
      <c r="H42" s="2"/>
      <c r="J42" s="1"/>
      <c r="K42" s="1"/>
      <c r="L42" s="1"/>
      <c r="M42" s="1"/>
      <c r="N42" s="1"/>
      <c r="O42" s="1"/>
      <c r="P42" s="1"/>
      <c r="Q42" s="1"/>
    </row>
    <row r="43" spans="1:17" x14ac:dyDescent="0.25">
      <c r="A43" t="s">
        <v>116</v>
      </c>
      <c r="C43">
        <v>50</v>
      </c>
      <c r="D43">
        <v>150</v>
      </c>
      <c r="E43" s="1"/>
      <c r="F43" s="1"/>
      <c r="G43" s="1"/>
      <c r="H43" s="2"/>
      <c r="J43" s="1"/>
      <c r="K43" s="1"/>
      <c r="L43" s="1"/>
      <c r="M43" s="1"/>
      <c r="N43" s="1"/>
      <c r="O43" s="1"/>
      <c r="P43" s="1"/>
      <c r="Q43" s="1"/>
    </row>
    <row r="44" spans="1:17" x14ac:dyDescent="0.25">
      <c r="A44" s="1" t="s">
        <v>40</v>
      </c>
      <c r="B44" s="1"/>
      <c r="D44" s="1">
        <v>11.3</v>
      </c>
      <c r="E44" s="1"/>
      <c r="F44" s="1"/>
      <c r="H44" s="2"/>
      <c r="I44" s="1"/>
      <c r="J44" s="1"/>
      <c r="K44" s="1"/>
      <c r="L44" s="1"/>
      <c r="M44" s="1"/>
      <c r="N44" s="1"/>
      <c r="O44" s="1"/>
      <c r="P44" s="1"/>
      <c r="Q44" s="1"/>
    </row>
    <row r="45" spans="1:17" x14ac:dyDescent="0.25">
      <c r="A45" t="s">
        <v>48</v>
      </c>
      <c r="D45">
        <v>12.52</v>
      </c>
      <c r="H45" s="2"/>
    </row>
    <row r="46" spans="1:17" x14ac:dyDescent="0.25">
      <c r="A46" t="s">
        <v>144</v>
      </c>
      <c r="D46">
        <v>10</v>
      </c>
    </row>
    <row r="47" spans="1:17" x14ac:dyDescent="0.25">
      <c r="A47" s="1" t="s">
        <v>19</v>
      </c>
      <c r="B47" s="1"/>
      <c r="C47" s="1">
        <f>SUM(C35:C46)</f>
        <v>195</v>
      </c>
    </row>
    <row r="48" spans="1:17" x14ac:dyDescent="0.25">
      <c r="A48" t="s">
        <v>17</v>
      </c>
      <c r="C48">
        <f>C32-C47-I55</f>
        <v>634.33000000000004</v>
      </c>
    </row>
    <row r="51" spans="1:9" x14ac:dyDescent="0.25">
      <c r="A51" t="s">
        <v>33</v>
      </c>
    </row>
    <row r="52" spans="1:9" x14ac:dyDescent="0.25">
      <c r="A52">
        <v>1120.8399999999999</v>
      </c>
      <c r="B52">
        <f>A52*2</f>
        <v>2241.6799999999998</v>
      </c>
    </row>
    <row r="53" spans="1:9" x14ac:dyDescent="0.25">
      <c r="A53" t="s">
        <v>29</v>
      </c>
      <c r="B53">
        <f>B52/30</f>
        <v>74.722666666666655</v>
      </c>
    </row>
    <row r="54" spans="1:9" x14ac:dyDescent="0.25">
      <c r="A54" t="s">
        <v>30</v>
      </c>
      <c r="B54">
        <f>B53*21</f>
        <v>1569.1759999999997</v>
      </c>
    </row>
    <row r="55" spans="1:9" x14ac:dyDescent="0.25">
      <c r="A55" t="s">
        <v>31</v>
      </c>
      <c r="B55">
        <f>B54*0.3</f>
        <v>470.75279999999987</v>
      </c>
      <c r="G55" t="s">
        <v>22</v>
      </c>
      <c r="I55">
        <f>SUM(I28:I47)</f>
        <v>290.87</v>
      </c>
    </row>
    <row r="57" spans="1:9" x14ac:dyDescent="0.25">
      <c r="G57" s="1"/>
      <c r="H57" s="1"/>
    </row>
    <row r="61" spans="1:9" x14ac:dyDescent="0.25">
      <c r="A61" t="s">
        <v>42</v>
      </c>
    </row>
    <row r="62" spans="1:9" x14ac:dyDescent="0.25">
      <c r="A62" s="5">
        <v>1120.8399999999999</v>
      </c>
      <c r="B62" s="5">
        <f>A62*2</f>
        <v>2241.6799999999998</v>
      </c>
    </row>
    <row r="63" spans="1:9" x14ac:dyDescent="0.25">
      <c r="A63" s="5" t="s">
        <v>29</v>
      </c>
      <c r="B63" s="5">
        <f>B62/30</f>
        <v>74.722666666666655</v>
      </c>
    </row>
    <row r="64" spans="1:9" x14ac:dyDescent="0.25">
      <c r="A64" s="5" t="s">
        <v>30</v>
      </c>
      <c r="B64" s="5">
        <f>B63*21</f>
        <v>1569.1759999999997</v>
      </c>
    </row>
    <row r="65" spans="1:16" x14ac:dyDescent="0.25">
      <c r="A65" s="5" t="s">
        <v>31</v>
      </c>
      <c r="B65" s="5">
        <f>B64*0.3</f>
        <v>470.75279999999987</v>
      </c>
      <c r="E65">
        <f>1120.84+470.75</f>
        <v>1591.59</v>
      </c>
    </row>
    <row r="66" spans="1:16" x14ac:dyDescent="0.25">
      <c r="A66" t="s">
        <v>34</v>
      </c>
    </row>
    <row r="67" spans="1:16" x14ac:dyDescent="0.25">
      <c r="A67" s="5"/>
    </row>
    <row r="68" spans="1:16" ht="15.75" thickBot="1" x14ac:dyDescent="0.3">
      <c r="A68" s="5"/>
    </row>
    <row r="69" spans="1:16" ht="24" x14ac:dyDescent="0.25">
      <c r="A69" s="20" t="s">
        <v>51</v>
      </c>
      <c r="B69" s="21" t="s">
        <v>52</v>
      </c>
      <c r="C69" s="21" t="s">
        <v>53</v>
      </c>
      <c r="D69" s="22" t="s">
        <v>54</v>
      </c>
      <c r="M69" s="20" t="s">
        <v>51</v>
      </c>
      <c r="N69" s="21" t="s">
        <v>52</v>
      </c>
      <c r="O69" s="21" t="s">
        <v>53</v>
      </c>
      <c r="P69" s="22" t="s">
        <v>54</v>
      </c>
    </row>
    <row r="70" spans="1:16" x14ac:dyDescent="0.25">
      <c r="A70" s="34">
        <v>3450041444</v>
      </c>
      <c r="B70" s="33" t="s">
        <v>119</v>
      </c>
      <c r="C70" s="33" t="s">
        <v>47</v>
      </c>
      <c r="D70" s="35" t="s">
        <v>47</v>
      </c>
      <c r="G70" s="36"/>
      <c r="M70" s="34">
        <v>3450041444</v>
      </c>
      <c r="N70" s="33" t="s">
        <v>119</v>
      </c>
      <c r="O70" s="33" t="s">
        <v>47</v>
      </c>
      <c r="P70" s="35" t="s">
        <v>47</v>
      </c>
    </row>
    <row r="71" spans="1:16" x14ac:dyDescent="0.25">
      <c r="A71" s="11">
        <v>4390750000073610</v>
      </c>
      <c r="B71" s="7" t="s">
        <v>120</v>
      </c>
      <c r="C71" s="7" t="s">
        <v>47</v>
      </c>
      <c r="D71" s="12" t="s">
        <v>121</v>
      </c>
      <c r="M71" s="11">
        <v>4390750000073610</v>
      </c>
      <c r="N71" s="7" t="s">
        <v>133</v>
      </c>
      <c r="O71" s="7" t="s">
        <v>47</v>
      </c>
      <c r="P71" s="12" t="s">
        <v>134</v>
      </c>
    </row>
    <row r="72" spans="1:16" ht="15.75" thickBot="1" x14ac:dyDescent="0.3">
      <c r="A72" s="13" t="s">
        <v>5</v>
      </c>
      <c r="B72" s="14" t="s">
        <v>122</v>
      </c>
      <c r="C72" s="14" t="s">
        <v>47</v>
      </c>
      <c r="D72" s="19" t="s">
        <v>121</v>
      </c>
      <c r="M72" s="13" t="s">
        <v>5</v>
      </c>
      <c r="N72" s="14" t="s">
        <v>135</v>
      </c>
      <c r="O72" s="14" t="s">
        <v>47</v>
      </c>
      <c r="P72" s="19" t="s">
        <v>134</v>
      </c>
    </row>
    <row r="74" spans="1:16" ht="15.75" thickBot="1" x14ac:dyDescent="0.3"/>
    <row r="75" spans="1:16" ht="24" x14ac:dyDescent="0.25">
      <c r="A75" s="20" t="s">
        <v>51</v>
      </c>
      <c r="B75" s="21" t="s">
        <v>52</v>
      </c>
      <c r="C75" s="21" t="s">
        <v>53</v>
      </c>
      <c r="D75" s="22" t="s">
        <v>54</v>
      </c>
    </row>
    <row r="76" spans="1:16" x14ac:dyDescent="0.25">
      <c r="A76" s="34">
        <v>3450041444</v>
      </c>
      <c r="B76" s="33" t="s">
        <v>55</v>
      </c>
      <c r="C76" s="33" t="s">
        <v>47</v>
      </c>
      <c r="D76" s="35" t="s">
        <v>47</v>
      </c>
    </row>
    <row r="77" spans="1:16" x14ac:dyDescent="0.25">
      <c r="A77" s="11">
        <v>4390750000073610</v>
      </c>
      <c r="B77" s="7" t="s">
        <v>140</v>
      </c>
      <c r="C77" s="7" t="s">
        <v>47</v>
      </c>
      <c r="D77" s="12" t="s">
        <v>141</v>
      </c>
    </row>
    <row r="78" spans="1:16" ht="15.75" thickBot="1" x14ac:dyDescent="0.3">
      <c r="A78" s="13" t="s">
        <v>5</v>
      </c>
      <c r="B78" s="14" t="s">
        <v>142</v>
      </c>
      <c r="C78" s="14" t="s">
        <v>47</v>
      </c>
      <c r="D78" s="19" t="s">
        <v>141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2"/>
  <sheetViews>
    <sheetView topLeftCell="B25" workbookViewId="0">
      <selection activeCell="M36" sqref="M36"/>
    </sheetView>
  </sheetViews>
  <sheetFormatPr defaultRowHeight="15" x14ac:dyDescent="0.25"/>
  <cols>
    <col min="1" max="1" width="28.7109375" customWidth="1"/>
    <col min="4" max="4" width="10.7109375" customWidth="1"/>
    <col min="6" max="6" width="15.7109375" customWidth="1"/>
    <col min="7" max="7" width="26" bestFit="1" customWidth="1"/>
    <col min="8" max="8" width="10.7109375" bestFit="1" customWidth="1"/>
    <col min="10" max="10" width="11.140625" customWidth="1"/>
    <col min="11" max="11" width="12.85546875" bestFit="1" customWidth="1"/>
    <col min="14" max="14" width="12.28515625" customWidth="1"/>
  </cols>
  <sheetData>
    <row r="1" spans="1:20" x14ac:dyDescent="0.25">
      <c r="A1" s="15"/>
      <c r="B1" s="5"/>
      <c r="C1" s="5"/>
      <c r="D1" s="5"/>
      <c r="E1" s="5"/>
      <c r="F1" s="5"/>
      <c r="G1" s="5" t="s">
        <v>399</v>
      </c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</row>
    <row r="2" spans="1:20" x14ac:dyDescent="0.25">
      <c r="A2" s="15" t="s">
        <v>49</v>
      </c>
      <c r="B2" s="5"/>
      <c r="C2" s="5"/>
      <c r="D2" s="5"/>
      <c r="E2" s="5"/>
      <c r="F2" s="5"/>
      <c r="G2" s="5" t="s">
        <v>403</v>
      </c>
      <c r="H2" s="5">
        <v>41.9</v>
      </c>
      <c r="J2" s="5"/>
      <c r="K2" s="5"/>
      <c r="L2" s="5"/>
      <c r="M2" s="5"/>
      <c r="N2" s="5"/>
      <c r="O2" s="5"/>
      <c r="P2" s="5"/>
      <c r="Q2" s="5"/>
      <c r="R2" s="5"/>
      <c r="S2" s="5"/>
      <c r="T2" s="5"/>
    </row>
    <row r="3" spans="1:20" x14ac:dyDescent="0.25">
      <c r="A3" s="15"/>
      <c r="B3" s="5"/>
      <c r="C3" s="5"/>
      <c r="D3" s="5"/>
      <c r="E3" s="5"/>
      <c r="F3" s="5"/>
      <c r="G3" s="5" t="s">
        <v>404</v>
      </c>
      <c r="H3" s="5">
        <v>55.9</v>
      </c>
      <c r="J3" s="5"/>
      <c r="K3" s="5"/>
      <c r="L3" s="5"/>
      <c r="M3" s="5"/>
      <c r="N3" s="5"/>
      <c r="O3" s="5"/>
      <c r="P3" s="5"/>
      <c r="Q3" s="5"/>
      <c r="R3" s="5"/>
      <c r="S3" s="5"/>
      <c r="T3" s="5"/>
    </row>
    <row r="4" spans="1:20" x14ac:dyDescent="0.25">
      <c r="A4" s="5" t="s">
        <v>10</v>
      </c>
      <c r="B4" s="5"/>
      <c r="D4" s="5">
        <v>240</v>
      </c>
      <c r="F4" s="5"/>
      <c r="G4" s="5" t="s">
        <v>406</v>
      </c>
      <c r="H4" s="5">
        <v>40.98</v>
      </c>
      <c r="I4" s="5"/>
      <c r="J4" s="5" t="s">
        <v>24</v>
      </c>
      <c r="K4" s="5" t="s">
        <v>23</v>
      </c>
      <c r="L4" s="5" t="s">
        <v>25</v>
      </c>
      <c r="M4" s="5"/>
      <c r="N4" s="5"/>
      <c r="O4" s="5"/>
      <c r="P4" s="5"/>
      <c r="Q4" s="5"/>
      <c r="R4" s="5"/>
      <c r="S4" s="5"/>
      <c r="T4" s="5"/>
    </row>
    <row r="5" spans="1:20" x14ac:dyDescent="0.25">
      <c r="A5" s="5" t="s">
        <v>114</v>
      </c>
      <c r="B5" s="5"/>
      <c r="D5" s="5">
        <v>35</v>
      </c>
      <c r="F5" s="5"/>
      <c r="G5" s="5" t="s">
        <v>407</v>
      </c>
      <c r="H5" s="5">
        <v>20</v>
      </c>
      <c r="I5" s="5"/>
      <c r="J5" s="5" t="s">
        <v>27</v>
      </c>
      <c r="K5" s="2" t="s">
        <v>391</v>
      </c>
      <c r="M5" s="5">
        <v>96.02</v>
      </c>
      <c r="N5" s="38" t="s">
        <v>393</v>
      </c>
      <c r="O5" s="5"/>
      <c r="P5" s="5">
        <v>96.98</v>
      </c>
      <c r="Q5" s="5"/>
      <c r="R5" s="5"/>
      <c r="S5" s="5"/>
      <c r="T5" s="5"/>
    </row>
    <row r="6" spans="1:20" x14ac:dyDescent="0.25">
      <c r="A6" s="5" t="s">
        <v>2</v>
      </c>
      <c r="B6" s="5"/>
      <c r="D6" s="5">
        <v>50</v>
      </c>
      <c r="F6" s="5"/>
      <c r="G6" s="5"/>
      <c r="H6" s="5"/>
      <c r="I6" s="5"/>
      <c r="J6" s="5" t="s">
        <v>27</v>
      </c>
      <c r="K6" s="2" t="s">
        <v>394</v>
      </c>
      <c r="M6">
        <v>21.98</v>
      </c>
      <c r="N6" s="5"/>
      <c r="O6" s="5"/>
      <c r="P6" s="5"/>
      <c r="Q6" s="5"/>
      <c r="R6" s="5"/>
      <c r="S6" s="5"/>
      <c r="T6" s="5"/>
    </row>
    <row r="7" spans="1:20" x14ac:dyDescent="0.25">
      <c r="A7" s="5" t="s">
        <v>0</v>
      </c>
      <c r="B7" s="5"/>
      <c r="C7" s="5">
        <v>48.71</v>
      </c>
      <c r="D7" s="5">
        <v>90</v>
      </c>
      <c r="F7" s="5"/>
      <c r="G7" s="5" t="s">
        <v>5</v>
      </c>
      <c r="H7" s="5">
        <f>SUM(H2:H6)</f>
        <v>158.78</v>
      </c>
      <c r="I7" s="5"/>
      <c r="J7" s="5" t="s">
        <v>27</v>
      </c>
      <c r="K7" s="2" t="s">
        <v>394</v>
      </c>
      <c r="M7">
        <f>76.2-2.11</f>
        <v>74.09</v>
      </c>
      <c r="N7" s="38" t="s">
        <v>402</v>
      </c>
      <c r="O7" s="5"/>
      <c r="P7" s="5">
        <v>76.2</v>
      </c>
      <c r="Q7" s="5"/>
      <c r="R7" s="5"/>
      <c r="S7" s="5"/>
      <c r="T7" s="5"/>
    </row>
    <row r="8" spans="1:20" x14ac:dyDescent="0.25">
      <c r="A8" s="5" t="s">
        <v>8</v>
      </c>
      <c r="B8" s="5"/>
      <c r="D8" s="5">
        <v>30</v>
      </c>
      <c r="F8" s="5"/>
      <c r="G8" s="5"/>
      <c r="H8" s="5"/>
      <c r="I8" s="5"/>
      <c r="J8" s="5" t="s">
        <v>27</v>
      </c>
      <c r="K8" s="2" t="s">
        <v>394</v>
      </c>
      <c r="M8">
        <v>2.29</v>
      </c>
      <c r="N8" s="5"/>
      <c r="O8" s="5"/>
      <c r="P8" s="5"/>
      <c r="Q8" s="5"/>
      <c r="R8" s="5"/>
      <c r="S8" s="5"/>
      <c r="T8" s="5"/>
    </row>
    <row r="9" spans="1:20" x14ac:dyDescent="0.25">
      <c r="A9" s="5" t="s">
        <v>1</v>
      </c>
      <c r="B9" s="5"/>
      <c r="C9" s="5">
        <v>10</v>
      </c>
      <c r="F9" s="5"/>
      <c r="G9" s="5"/>
      <c r="H9" s="5"/>
      <c r="I9" s="5"/>
      <c r="J9" s="5" t="s">
        <v>26</v>
      </c>
      <c r="K9" s="2" t="s">
        <v>394</v>
      </c>
      <c r="M9">
        <v>19.489999999999998</v>
      </c>
      <c r="N9" s="5"/>
      <c r="O9" s="5"/>
      <c r="P9" s="5"/>
      <c r="Q9" s="5"/>
      <c r="R9" s="5"/>
      <c r="S9" s="5"/>
      <c r="T9" s="5"/>
    </row>
    <row r="10" spans="1:20" x14ac:dyDescent="0.25">
      <c r="A10" s="5" t="s">
        <v>4</v>
      </c>
      <c r="B10" s="5"/>
      <c r="C10">
        <v>125</v>
      </c>
      <c r="D10" s="5">
        <v>250</v>
      </c>
      <c r="F10" s="5"/>
      <c r="G10" s="5" t="s">
        <v>64</v>
      </c>
      <c r="H10" s="5"/>
      <c r="I10" s="5"/>
      <c r="J10" s="5" t="s">
        <v>12</v>
      </c>
      <c r="K10" s="2" t="s">
        <v>396</v>
      </c>
      <c r="M10" s="5">
        <v>21.72</v>
      </c>
      <c r="N10" s="5"/>
      <c r="O10" s="5"/>
      <c r="P10" s="5"/>
      <c r="Q10" s="5"/>
      <c r="R10" s="5"/>
      <c r="S10" s="5"/>
      <c r="T10" s="5"/>
    </row>
    <row r="11" spans="1:20" x14ac:dyDescent="0.25">
      <c r="A11" s="5" t="s">
        <v>9</v>
      </c>
      <c r="B11" s="5"/>
      <c r="D11" s="5">
        <v>15</v>
      </c>
      <c r="F11" s="5"/>
      <c r="G11" s="5"/>
      <c r="H11" s="5"/>
      <c r="I11" s="5"/>
      <c r="J11" s="5" t="s">
        <v>12</v>
      </c>
      <c r="K11" s="2" t="s">
        <v>396</v>
      </c>
      <c r="M11">
        <v>8.4499999999999993</v>
      </c>
      <c r="N11" s="5"/>
      <c r="O11" s="5"/>
      <c r="P11" s="5"/>
      <c r="Q11" s="5"/>
      <c r="R11" s="5"/>
      <c r="S11" s="5"/>
      <c r="T11" s="5"/>
    </row>
    <row r="12" spans="1:20" x14ac:dyDescent="0.25">
      <c r="A12" s="5" t="s">
        <v>115</v>
      </c>
      <c r="B12" s="5"/>
      <c r="D12" s="5">
        <v>116</v>
      </c>
      <c r="F12" s="5"/>
      <c r="G12" s="5"/>
      <c r="H12" s="5"/>
      <c r="I12" s="5"/>
      <c r="J12" s="5" t="s">
        <v>234</v>
      </c>
      <c r="K12" s="2" t="s">
        <v>394</v>
      </c>
      <c r="M12">
        <v>116</v>
      </c>
      <c r="N12" s="5"/>
      <c r="O12" s="5"/>
      <c r="P12" s="5"/>
      <c r="Q12" s="5"/>
      <c r="R12" s="5"/>
      <c r="S12" s="5"/>
      <c r="T12" s="5"/>
    </row>
    <row r="13" spans="1:20" x14ac:dyDescent="0.25">
      <c r="A13" s="5" t="s">
        <v>37</v>
      </c>
      <c r="B13" s="5"/>
      <c r="D13" s="5">
        <v>10</v>
      </c>
      <c r="F13" s="5"/>
      <c r="G13" s="5"/>
      <c r="H13" s="5"/>
      <c r="I13" s="5"/>
      <c r="J13" s="5" t="s">
        <v>13</v>
      </c>
      <c r="K13" s="2" t="s">
        <v>397</v>
      </c>
      <c r="N13" s="40">
        <v>37.130000000000003</v>
      </c>
      <c r="O13" s="5"/>
      <c r="P13" s="5"/>
      <c r="Q13" s="5"/>
      <c r="R13" s="5"/>
      <c r="S13" s="5"/>
      <c r="T13" s="5"/>
    </row>
    <row r="14" spans="1:20" x14ac:dyDescent="0.25">
      <c r="A14" s="5" t="s">
        <v>116</v>
      </c>
      <c r="B14" s="5"/>
      <c r="D14" s="5">
        <v>50</v>
      </c>
      <c r="F14" s="5"/>
      <c r="G14" s="5"/>
      <c r="H14" s="5"/>
      <c r="I14" s="5"/>
      <c r="J14" s="5" t="s">
        <v>161</v>
      </c>
      <c r="K14" s="2" t="s">
        <v>398</v>
      </c>
      <c r="M14" s="4">
        <v>23.63</v>
      </c>
      <c r="N14" s="5"/>
      <c r="O14" s="5"/>
      <c r="P14" s="5"/>
      <c r="Q14" s="5"/>
      <c r="R14" s="5"/>
      <c r="S14" s="5"/>
      <c r="T14" s="5"/>
    </row>
    <row r="15" spans="1:20" x14ac:dyDescent="0.25">
      <c r="A15" s="5" t="s">
        <v>395</v>
      </c>
      <c r="B15" s="5"/>
      <c r="C15" s="5"/>
      <c r="D15">
        <v>160</v>
      </c>
      <c r="F15" s="5"/>
      <c r="G15" s="5"/>
      <c r="H15" s="5"/>
      <c r="I15" s="5"/>
      <c r="J15" s="5" t="s">
        <v>12</v>
      </c>
      <c r="K15" s="2" t="s">
        <v>401</v>
      </c>
      <c r="M15" s="4">
        <v>17.7</v>
      </c>
      <c r="N15" s="5"/>
      <c r="O15" s="5"/>
      <c r="P15" s="5"/>
      <c r="Q15" s="5"/>
      <c r="R15" s="5"/>
      <c r="S15" s="5"/>
      <c r="T15" s="5"/>
    </row>
    <row r="16" spans="1:20" x14ac:dyDescent="0.25">
      <c r="A16" s="5"/>
      <c r="B16" s="5"/>
      <c r="C16" s="5"/>
      <c r="F16" s="5"/>
      <c r="G16" s="5"/>
      <c r="H16" s="5"/>
      <c r="I16" s="5"/>
      <c r="J16" s="5" t="s">
        <v>36</v>
      </c>
      <c r="K16" s="2" t="s">
        <v>401</v>
      </c>
      <c r="M16" s="4">
        <v>10.99</v>
      </c>
      <c r="N16" s="5"/>
      <c r="O16" s="5"/>
      <c r="P16" s="5"/>
      <c r="Q16" s="5"/>
      <c r="R16" s="5"/>
      <c r="S16" s="5"/>
      <c r="T16" s="5"/>
    </row>
    <row r="17" spans="1:20" x14ac:dyDescent="0.25">
      <c r="A17" s="5" t="s">
        <v>371</v>
      </c>
      <c r="B17" s="5"/>
      <c r="D17" s="5">
        <v>30</v>
      </c>
      <c r="F17" s="5" t="s">
        <v>400</v>
      </c>
      <c r="G17" s="5"/>
      <c r="I17" s="5"/>
      <c r="J17" s="5" t="s">
        <v>403</v>
      </c>
      <c r="K17" s="2" t="s">
        <v>405</v>
      </c>
      <c r="L17">
        <f>41.9-37.13</f>
        <v>4.769999999999996</v>
      </c>
      <c r="N17" s="5"/>
      <c r="O17" s="5"/>
      <c r="P17" s="5"/>
      <c r="Q17" s="5"/>
      <c r="R17" s="5">
        <v>256.43</v>
      </c>
      <c r="S17" s="5"/>
      <c r="T17" s="5"/>
    </row>
    <row r="18" spans="1:20" x14ac:dyDescent="0.25">
      <c r="A18" s="5"/>
      <c r="B18" s="5"/>
      <c r="C18" s="5"/>
      <c r="E18" s="5" t="s">
        <v>6</v>
      </c>
      <c r="F18" s="5"/>
      <c r="G18">
        <v>125</v>
      </c>
      <c r="I18" s="5"/>
      <c r="J18" s="5" t="s">
        <v>404</v>
      </c>
      <c r="K18" s="2" t="s">
        <v>405</v>
      </c>
      <c r="L18">
        <v>55.9</v>
      </c>
      <c r="N18" s="5"/>
      <c r="O18" s="5"/>
      <c r="P18" s="5"/>
      <c r="Q18" s="5"/>
      <c r="R18" s="5"/>
      <c r="S18" s="5"/>
      <c r="T18" s="5"/>
    </row>
    <row r="19" spans="1:20" x14ac:dyDescent="0.25">
      <c r="A19" s="5"/>
      <c r="B19" s="5"/>
      <c r="C19" s="5"/>
      <c r="E19" s="5" t="s">
        <v>7</v>
      </c>
      <c r="F19" s="5"/>
      <c r="G19" s="5">
        <v>72.75</v>
      </c>
      <c r="I19" s="5" t="s">
        <v>90</v>
      </c>
      <c r="J19" s="5" t="s">
        <v>36</v>
      </c>
      <c r="K19" s="2" t="s">
        <v>405</v>
      </c>
      <c r="M19" s="4">
        <v>11.55</v>
      </c>
      <c r="N19" s="5"/>
      <c r="O19" s="5"/>
      <c r="P19" s="5"/>
      <c r="Q19" s="5"/>
      <c r="R19" s="5"/>
      <c r="S19" s="5"/>
      <c r="T19" s="5"/>
    </row>
    <row r="20" spans="1:20" x14ac:dyDescent="0.25">
      <c r="A20" s="5" t="s">
        <v>5</v>
      </c>
      <c r="B20" s="5"/>
      <c r="C20" s="5">
        <f>SUM(C4:C19)</f>
        <v>183.71</v>
      </c>
      <c r="E20" s="5" t="s">
        <v>20</v>
      </c>
      <c r="F20" s="5"/>
      <c r="G20" s="5">
        <v>50</v>
      </c>
      <c r="I20" t="s">
        <v>90</v>
      </c>
      <c r="J20" t="s">
        <v>406</v>
      </c>
      <c r="K20" s="2" t="s">
        <v>405</v>
      </c>
      <c r="M20" s="4">
        <v>40.98</v>
      </c>
      <c r="N20" s="5"/>
      <c r="O20" s="5"/>
      <c r="P20" s="5"/>
      <c r="Q20" s="5"/>
      <c r="R20" s="5"/>
      <c r="S20" s="5"/>
      <c r="T20" s="5"/>
    </row>
    <row r="21" spans="1:20" x14ac:dyDescent="0.25">
      <c r="A21" s="15"/>
      <c r="B21" s="5"/>
      <c r="C21" s="5"/>
      <c r="D21" s="5"/>
      <c r="E21" s="5" t="s">
        <v>138</v>
      </c>
      <c r="F21" s="5"/>
      <c r="G21" s="5">
        <v>0</v>
      </c>
      <c r="I21" s="5">
        <f>21+29.7</f>
        <v>50.7</v>
      </c>
      <c r="J21" s="5" t="s">
        <v>413</v>
      </c>
      <c r="K21" s="2" t="s">
        <v>405</v>
      </c>
      <c r="M21" s="4">
        <v>18.45</v>
      </c>
      <c r="N21" s="38" t="s">
        <v>409</v>
      </c>
      <c r="O21" s="5"/>
      <c r="P21">
        <v>20</v>
      </c>
      <c r="Q21" s="5"/>
      <c r="R21" s="5"/>
      <c r="S21" s="5"/>
      <c r="T21" s="5"/>
    </row>
    <row r="22" spans="1:20" x14ac:dyDescent="0.25">
      <c r="A22" s="15"/>
      <c r="B22" s="5"/>
      <c r="C22" s="5"/>
      <c r="D22" s="5"/>
      <c r="E22" s="5" t="s">
        <v>408</v>
      </c>
      <c r="F22" s="5"/>
      <c r="G22" s="5">
        <v>50.7</v>
      </c>
      <c r="I22" s="5" t="s">
        <v>90</v>
      </c>
      <c r="J22" s="5" t="s">
        <v>27</v>
      </c>
      <c r="K22" s="2" t="s">
        <v>405</v>
      </c>
      <c r="M22" s="4">
        <v>34.49</v>
      </c>
      <c r="N22" s="5"/>
      <c r="O22" s="5"/>
      <c r="P22" s="5"/>
      <c r="Q22" s="5"/>
      <c r="R22" s="5"/>
      <c r="S22" s="5"/>
      <c r="T22" s="5"/>
    </row>
    <row r="23" spans="1:20" x14ac:dyDescent="0.25">
      <c r="A23" s="15"/>
      <c r="B23" s="5"/>
      <c r="C23" s="5"/>
      <c r="D23" s="5"/>
      <c r="E23" t="s">
        <v>5</v>
      </c>
      <c r="G23" s="5">
        <f>SUM(G18:G22)</f>
        <v>298.45</v>
      </c>
      <c r="I23" s="5" t="s">
        <v>90</v>
      </c>
      <c r="J23" t="s">
        <v>27</v>
      </c>
      <c r="K23" s="2" t="s">
        <v>405</v>
      </c>
      <c r="M23" s="4">
        <v>23.98</v>
      </c>
      <c r="N23" s="5"/>
      <c r="O23" s="5"/>
      <c r="P23" s="5"/>
      <c r="Q23" s="5"/>
      <c r="R23" s="5"/>
      <c r="S23" s="5"/>
      <c r="T23" s="5"/>
    </row>
    <row r="24" spans="1:20" x14ac:dyDescent="0.25">
      <c r="A24" s="15"/>
      <c r="B24" s="5"/>
      <c r="C24" s="5"/>
      <c r="D24" s="5"/>
      <c r="H24" s="5"/>
      <c r="I24" s="5" t="s">
        <v>90</v>
      </c>
      <c r="J24" t="s">
        <v>27</v>
      </c>
      <c r="K24" s="2" t="s">
        <v>410</v>
      </c>
      <c r="M24" s="4">
        <v>15.96</v>
      </c>
      <c r="N24" s="5"/>
      <c r="O24" s="5"/>
      <c r="P24" s="5"/>
      <c r="Q24" s="5"/>
      <c r="R24" s="5"/>
      <c r="S24" s="5"/>
      <c r="T24" s="5"/>
    </row>
    <row r="25" spans="1:20" x14ac:dyDescent="0.25">
      <c r="A25" s="15" t="s">
        <v>231</v>
      </c>
      <c r="B25" s="5"/>
      <c r="C25" s="5"/>
      <c r="D25" s="5"/>
      <c r="E25" s="5" t="s">
        <v>17</v>
      </c>
      <c r="F25" s="5"/>
      <c r="G25" s="5">
        <f>G23-C20-L33</f>
        <v>7.4999999999999858</v>
      </c>
      <c r="H25" s="5"/>
      <c r="I25" s="5" t="s">
        <v>90</v>
      </c>
      <c r="J25" s="5" t="s">
        <v>27</v>
      </c>
      <c r="K25" s="2" t="s">
        <v>410</v>
      </c>
      <c r="M25" s="4">
        <v>7.99</v>
      </c>
      <c r="N25" s="5"/>
      <c r="O25" s="5"/>
      <c r="P25" s="5"/>
      <c r="Q25" s="5"/>
      <c r="R25" s="5"/>
      <c r="S25" s="5"/>
      <c r="T25" s="5"/>
    </row>
    <row r="26" spans="1:20" x14ac:dyDescent="0.25">
      <c r="A26" s="15"/>
      <c r="B26" s="5"/>
      <c r="C26" s="5"/>
      <c r="D26" s="5"/>
      <c r="E26" s="5"/>
      <c r="F26" s="5"/>
      <c r="G26" s="5"/>
      <c r="H26" s="5"/>
      <c r="I26" s="5"/>
      <c r="J26" s="5" t="s">
        <v>26</v>
      </c>
      <c r="K26" s="2" t="s">
        <v>410</v>
      </c>
      <c r="L26" s="5">
        <v>18.649999999999999</v>
      </c>
      <c r="N26" s="38" t="s">
        <v>415</v>
      </c>
      <c r="O26" s="5"/>
      <c r="P26" s="5"/>
      <c r="Q26" s="5"/>
      <c r="R26" s="5"/>
      <c r="S26" s="5"/>
      <c r="T26" s="5"/>
    </row>
    <row r="27" spans="1:20" x14ac:dyDescent="0.25">
      <c r="A27" s="15" t="s">
        <v>6</v>
      </c>
      <c r="B27" s="5"/>
      <c r="C27" s="5">
        <v>115</v>
      </c>
      <c r="D27" s="5"/>
      <c r="E27" s="5">
        <f>37.13*0.8</f>
        <v>29.704000000000004</v>
      </c>
      <c r="F27" s="5"/>
      <c r="G27" s="5"/>
      <c r="H27" s="5"/>
      <c r="I27" s="5" t="s">
        <v>90</v>
      </c>
      <c r="J27" s="5" t="s">
        <v>12</v>
      </c>
      <c r="K27" s="2" t="s">
        <v>411</v>
      </c>
      <c r="M27" s="4">
        <v>45.9</v>
      </c>
      <c r="N27" s="5"/>
      <c r="O27" s="5"/>
      <c r="P27" s="5"/>
      <c r="Q27" s="5"/>
      <c r="R27" s="5"/>
      <c r="S27" s="5"/>
      <c r="T27" s="5"/>
    </row>
    <row r="28" spans="1:20" x14ac:dyDescent="0.25">
      <c r="A28" s="15" t="s">
        <v>7</v>
      </c>
      <c r="B28" s="5"/>
      <c r="C28" s="5">
        <v>8.64</v>
      </c>
      <c r="D28" s="5"/>
      <c r="E28" s="5"/>
      <c r="F28" s="5"/>
      <c r="G28" s="5"/>
      <c r="H28" s="5"/>
      <c r="I28" s="5" t="s">
        <v>90</v>
      </c>
      <c r="J28" s="5" t="s">
        <v>36</v>
      </c>
      <c r="K28" s="2" t="s">
        <v>411</v>
      </c>
      <c r="M28" s="4">
        <v>5</v>
      </c>
      <c r="N28" s="5"/>
      <c r="O28" s="5"/>
      <c r="P28" s="5"/>
      <c r="Q28" s="5"/>
      <c r="R28" s="5"/>
      <c r="S28" s="5"/>
      <c r="T28" s="5"/>
    </row>
    <row r="29" spans="1:20" x14ac:dyDescent="0.25">
      <c r="A29" s="15" t="s">
        <v>20</v>
      </c>
      <c r="B29" s="5"/>
      <c r="C29">
        <v>0</v>
      </c>
      <c r="D29" s="5"/>
      <c r="E29" s="5"/>
      <c r="F29" s="5"/>
      <c r="G29" s="5">
        <f>256.43-247.18</f>
        <v>9.25</v>
      </c>
      <c r="H29" s="5"/>
      <c r="I29" s="5"/>
      <c r="J29" s="5" t="s">
        <v>12</v>
      </c>
      <c r="K29" s="2" t="s">
        <v>412</v>
      </c>
      <c r="L29" s="5">
        <v>13.26</v>
      </c>
      <c r="N29" s="5"/>
      <c r="O29" s="5"/>
      <c r="P29" s="5"/>
      <c r="Q29" s="5"/>
      <c r="R29" s="5"/>
      <c r="S29" s="5"/>
      <c r="T29" s="5"/>
    </row>
    <row r="30" spans="1:20" x14ac:dyDescent="0.25">
      <c r="A30" s="5" t="s">
        <v>430</v>
      </c>
      <c r="B30" s="5"/>
      <c r="C30" s="5"/>
      <c r="D30" s="5"/>
      <c r="E30" s="5"/>
      <c r="F30" s="5"/>
      <c r="G30" s="5"/>
      <c r="H30" s="5"/>
      <c r="I30" s="5" t="s">
        <v>90</v>
      </c>
      <c r="J30" s="5" t="s">
        <v>257</v>
      </c>
      <c r="K30" s="2" t="s">
        <v>412</v>
      </c>
      <c r="M30" s="4">
        <v>50.4</v>
      </c>
      <c r="N30" s="5"/>
      <c r="O30" s="5"/>
      <c r="P30" s="5"/>
      <c r="Q30" s="5"/>
      <c r="R30" s="5"/>
      <c r="S30" s="5"/>
      <c r="T30" s="5"/>
    </row>
    <row r="31" spans="1:20" x14ac:dyDescent="0.25">
      <c r="A31" s="15" t="s">
        <v>138</v>
      </c>
      <c r="D31">
        <v>26</v>
      </c>
      <c r="F31" s="5"/>
      <c r="G31" s="5"/>
      <c r="H31" s="5"/>
      <c r="I31" s="5"/>
      <c r="J31" s="5" t="s">
        <v>26</v>
      </c>
      <c r="K31" s="2" t="s">
        <v>414</v>
      </c>
      <c r="L31" s="2">
        <v>9.17</v>
      </c>
      <c r="N31" s="5"/>
      <c r="O31" s="5"/>
      <c r="P31" s="5"/>
      <c r="Q31" s="5"/>
      <c r="R31" s="5"/>
      <c r="S31" s="5"/>
      <c r="T31" s="5"/>
    </row>
    <row r="32" spans="1:20" x14ac:dyDescent="0.25">
      <c r="A32" s="15" t="s">
        <v>5</v>
      </c>
      <c r="B32" s="5"/>
      <c r="C32" s="5">
        <f>SUM(C27:C31)</f>
        <v>123.64</v>
      </c>
      <c r="D32" s="5" t="s">
        <v>17</v>
      </c>
      <c r="E32" s="5">
        <f>C32-B46-I72</f>
        <v>-96.35</v>
      </c>
      <c r="F32" s="5"/>
      <c r="G32" s="5"/>
      <c r="H32" s="5"/>
      <c r="I32" s="5"/>
      <c r="J32" s="5" t="s">
        <v>36</v>
      </c>
      <c r="K32" s="2" t="s">
        <v>416</v>
      </c>
      <c r="L32">
        <v>5.49</v>
      </c>
      <c r="M32" s="5"/>
      <c r="N32" s="40"/>
      <c r="O32" s="5"/>
      <c r="P32" s="5">
        <f>37.13+13.26+9.17</f>
        <v>59.56</v>
      </c>
      <c r="Q32" s="5"/>
      <c r="R32" s="5"/>
      <c r="S32" s="5"/>
      <c r="T32" s="5"/>
    </row>
    <row r="33" spans="1:20" x14ac:dyDescent="0.25">
      <c r="A33" s="15" t="s">
        <v>18</v>
      </c>
      <c r="B33" s="5"/>
      <c r="C33" s="5"/>
      <c r="D33" s="5"/>
      <c r="E33" s="5"/>
      <c r="F33" s="5"/>
      <c r="G33" s="5"/>
      <c r="H33" s="5"/>
      <c r="I33" s="5"/>
      <c r="J33" s="5"/>
      <c r="K33" s="5" t="s">
        <v>5</v>
      </c>
      <c r="L33" s="5">
        <f>SUM(L5:L32)</f>
        <v>107.24</v>
      </c>
      <c r="M33" s="5"/>
      <c r="N33" s="2"/>
      <c r="O33" s="5"/>
      <c r="P33" s="5">
        <v>61.16</v>
      </c>
      <c r="Q33" s="5"/>
      <c r="R33" s="5"/>
      <c r="S33" s="5"/>
      <c r="T33" s="5"/>
    </row>
    <row r="34" spans="1:20" x14ac:dyDescent="0.25">
      <c r="A34" s="15"/>
      <c r="B34" s="5"/>
      <c r="C34" s="5"/>
      <c r="D34" s="5"/>
      <c r="E34" s="5"/>
      <c r="F34" s="5"/>
      <c r="G34" s="5" t="s">
        <v>24</v>
      </c>
      <c r="H34" s="5" t="s">
        <v>23</v>
      </c>
      <c r="I34" s="5" t="s">
        <v>25</v>
      </c>
      <c r="J34" s="5"/>
      <c r="K34" s="5"/>
      <c r="L34" s="5"/>
      <c r="M34" s="5">
        <f>101.75+0.18-3.21</f>
        <v>98.720000000000013</v>
      </c>
      <c r="N34" s="5">
        <f>107.24-103.59</f>
        <v>3.6499999999999915</v>
      </c>
      <c r="O34" s="5"/>
      <c r="P34" s="5"/>
      <c r="Q34" s="5"/>
      <c r="S34" s="5"/>
      <c r="T34" s="5"/>
    </row>
    <row r="35" spans="1:20" x14ac:dyDescent="0.25">
      <c r="A35" s="15" t="s">
        <v>1</v>
      </c>
      <c r="B35" s="5">
        <f>20-7.99</f>
        <v>12.01</v>
      </c>
      <c r="C35" s="5"/>
      <c r="D35" s="5"/>
      <c r="E35" s="5"/>
      <c r="F35" s="5"/>
      <c r="G35" t="s">
        <v>13</v>
      </c>
      <c r="H35" s="2" t="s">
        <v>397</v>
      </c>
      <c r="J35">
        <v>37.130000000000003</v>
      </c>
      <c r="K35" s="40"/>
      <c r="M35" s="5"/>
      <c r="N35" s="5">
        <f>37.13</f>
        <v>37.130000000000003</v>
      </c>
      <c r="O35" s="5"/>
      <c r="P35" s="5"/>
      <c r="Q35" s="5"/>
      <c r="R35" s="5">
        <f>37.13+5.49</f>
        <v>42.620000000000005</v>
      </c>
      <c r="S35" s="5"/>
      <c r="T35" s="5"/>
    </row>
    <row r="36" spans="1:20" x14ac:dyDescent="0.25">
      <c r="A36" s="15" t="s">
        <v>3</v>
      </c>
      <c r="C36" s="5">
        <v>20.76</v>
      </c>
      <c r="D36" s="5"/>
      <c r="E36" s="5"/>
      <c r="F36" s="5"/>
      <c r="G36" s="5" t="s">
        <v>403</v>
      </c>
      <c r="H36" s="2" t="s">
        <v>405</v>
      </c>
      <c r="J36" s="5">
        <f>41.9-37.13</f>
        <v>4.769999999999996</v>
      </c>
      <c r="K36" s="5"/>
      <c r="L36" s="5"/>
      <c r="M36" s="5"/>
      <c r="N36" s="5"/>
      <c r="O36" s="5"/>
      <c r="P36" s="5"/>
      <c r="Q36" s="5"/>
      <c r="R36" s="5"/>
      <c r="S36" s="5"/>
      <c r="T36" s="5"/>
    </row>
    <row r="37" spans="1:20" x14ac:dyDescent="0.25">
      <c r="A37" s="15" t="s">
        <v>4</v>
      </c>
      <c r="C37" s="5">
        <v>250</v>
      </c>
      <c r="D37" s="5"/>
      <c r="E37" s="5"/>
      <c r="F37" s="5"/>
      <c r="G37" s="5" t="s">
        <v>404</v>
      </c>
      <c r="H37" s="2" t="s">
        <v>405</v>
      </c>
      <c r="J37" s="5">
        <v>55.9</v>
      </c>
      <c r="L37" s="5"/>
      <c r="M37" s="5"/>
      <c r="N37" s="5">
        <v>256.43</v>
      </c>
      <c r="O37" s="5"/>
      <c r="P37" s="5"/>
      <c r="Q37" s="5"/>
      <c r="R37" s="5"/>
      <c r="S37" s="5"/>
      <c r="T37" s="5"/>
    </row>
    <row r="38" spans="1:20" x14ac:dyDescent="0.25">
      <c r="A38" s="15" t="s">
        <v>37</v>
      </c>
      <c r="C38" s="5">
        <v>10</v>
      </c>
      <c r="D38" s="5"/>
      <c r="E38" s="5"/>
      <c r="F38" s="5"/>
      <c r="G38" s="5" t="s">
        <v>26</v>
      </c>
      <c r="H38" s="2" t="s">
        <v>410</v>
      </c>
      <c r="J38" s="5">
        <v>18.649999999999999</v>
      </c>
      <c r="L38" s="5"/>
      <c r="M38" s="5"/>
      <c r="N38" s="5"/>
      <c r="O38" s="5"/>
      <c r="P38" s="5"/>
      <c r="Q38" s="5"/>
      <c r="R38" s="5"/>
      <c r="S38" s="5"/>
      <c r="T38" s="5"/>
    </row>
    <row r="39" spans="1:20" x14ac:dyDescent="0.25">
      <c r="A39" s="15" t="s">
        <v>128</v>
      </c>
      <c r="C39" s="5">
        <v>11</v>
      </c>
      <c r="D39" s="2"/>
      <c r="E39" s="5"/>
      <c r="F39" s="5"/>
      <c r="G39" s="5" t="s">
        <v>12</v>
      </c>
      <c r="H39" s="2" t="s">
        <v>412</v>
      </c>
      <c r="J39" s="5">
        <v>13.26</v>
      </c>
      <c r="K39" s="5"/>
      <c r="L39" s="5"/>
      <c r="M39" s="5"/>
      <c r="N39" s="5"/>
      <c r="O39" s="5"/>
      <c r="P39" s="5"/>
      <c r="Q39" s="5"/>
      <c r="R39" s="5"/>
      <c r="S39" s="5"/>
      <c r="T39" s="5"/>
    </row>
    <row r="40" spans="1:20" x14ac:dyDescent="0.25">
      <c r="A40" s="5" t="s">
        <v>224</v>
      </c>
      <c r="C40" s="5">
        <v>50</v>
      </c>
      <c r="E40" s="5"/>
      <c r="F40" s="5"/>
      <c r="G40" s="5" t="s">
        <v>26</v>
      </c>
      <c r="H40" s="2" t="s">
        <v>414</v>
      </c>
      <c r="J40" s="2">
        <v>9.17</v>
      </c>
      <c r="K40" s="5"/>
      <c r="L40" s="5"/>
      <c r="M40" s="5"/>
      <c r="N40" s="5"/>
      <c r="O40" s="5"/>
      <c r="P40" s="5"/>
      <c r="Q40" s="5"/>
      <c r="R40" s="5"/>
      <c r="S40" s="5"/>
      <c r="T40" s="5"/>
    </row>
    <row r="41" spans="1:20" x14ac:dyDescent="0.25">
      <c r="A41" s="5" t="s">
        <v>48</v>
      </c>
      <c r="C41" s="5">
        <v>12.51</v>
      </c>
      <c r="E41" s="5"/>
      <c r="F41" s="5"/>
      <c r="G41" s="5" t="s">
        <v>36</v>
      </c>
      <c r="H41" s="2" t="s">
        <v>416</v>
      </c>
      <c r="J41" s="5">
        <v>5.49</v>
      </c>
      <c r="K41" s="5"/>
      <c r="L41" s="5"/>
      <c r="M41" s="5"/>
      <c r="N41" s="5"/>
      <c r="O41" s="5"/>
      <c r="P41" s="5"/>
      <c r="Q41" s="5"/>
      <c r="R41" s="5"/>
      <c r="S41" s="5"/>
      <c r="T41" s="5"/>
    </row>
    <row r="42" spans="1:20" x14ac:dyDescent="0.25">
      <c r="A42" s="5" t="s">
        <v>144</v>
      </c>
      <c r="C42" s="5">
        <v>10</v>
      </c>
      <c r="D42" s="5"/>
      <c r="E42" s="5"/>
      <c r="F42" s="5"/>
      <c r="G42" s="5" t="s">
        <v>258</v>
      </c>
      <c r="H42" s="2" t="s">
        <v>417</v>
      </c>
      <c r="J42">
        <v>48.71</v>
      </c>
      <c r="L42" s="5"/>
      <c r="M42" s="5"/>
      <c r="N42" s="5"/>
      <c r="O42" s="5"/>
      <c r="P42" s="5"/>
      <c r="Q42" s="5"/>
      <c r="R42" s="5"/>
      <c r="S42" s="5"/>
      <c r="T42" s="5"/>
    </row>
    <row r="43" spans="1:20" x14ac:dyDescent="0.25">
      <c r="A43" s="5" t="s">
        <v>40</v>
      </c>
      <c r="B43" s="5"/>
      <c r="C43" s="5">
        <v>11.3</v>
      </c>
      <c r="E43" s="5"/>
      <c r="F43" s="5"/>
      <c r="G43" t="s">
        <v>26</v>
      </c>
      <c r="H43" s="2" t="s">
        <v>417</v>
      </c>
      <c r="J43">
        <f>9.91-3.21-0.1-0.28</f>
        <v>6.32</v>
      </c>
      <c r="K43" s="38" t="s">
        <v>422</v>
      </c>
      <c r="L43" s="5"/>
      <c r="M43" s="5"/>
      <c r="N43" s="5">
        <v>9.91</v>
      </c>
      <c r="O43" s="5"/>
      <c r="P43" s="5"/>
      <c r="Q43" s="5"/>
      <c r="R43" s="5"/>
      <c r="S43" s="5"/>
      <c r="T43" s="5"/>
    </row>
    <row r="44" spans="1:20" x14ac:dyDescent="0.25">
      <c r="A44" s="15" t="s">
        <v>418</v>
      </c>
      <c r="C44" s="5">
        <v>50</v>
      </c>
      <c r="D44" s="5"/>
      <c r="E44" s="5"/>
      <c r="F44" s="5"/>
      <c r="G44" t="s">
        <v>36</v>
      </c>
      <c r="H44" s="2" t="s">
        <v>417</v>
      </c>
      <c r="J44">
        <v>4.5</v>
      </c>
      <c r="K44" s="5"/>
      <c r="L44" s="5"/>
      <c r="M44" s="5"/>
      <c r="N44" s="5"/>
      <c r="O44" s="5"/>
      <c r="P44" s="5"/>
      <c r="Q44" s="5"/>
      <c r="R44" s="5"/>
      <c r="S44" s="5"/>
      <c r="T44" s="5"/>
    </row>
    <row r="45" spans="1:20" x14ac:dyDescent="0.25">
      <c r="C45" s="5"/>
      <c r="D45" s="5"/>
      <c r="E45" s="5"/>
      <c r="F45" s="5"/>
      <c r="G45" t="s">
        <v>36</v>
      </c>
      <c r="H45" s="2" t="s">
        <v>417</v>
      </c>
      <c r="J45">
        <v>3.97</v>
      </c>
      <c r="K45" s="5"/>
      <c r="L45" s="5"/>
      <c r="M45" s="5"/>
      <c r="N45" s="5"/>
      <c r="O45" s="5"/>
      <c r="P45" s="5"/>
      <c r="Q45" s="5"/>
      <c r="R45" s="5"/>
      <c r="S45" s="5"/>
      <c r="T45" s="5"/>
    </row>
    <row r="46" spans="1:20" x14ac:dyDescent="0.25">
      <c r="A46" s="15" t="s">
        <v>19</v>
      </c>
      <c r="B46" s="5">
        <f>SUM(B35:B45)</f>
        <v>12.01</v>
      </c>
      <c r="C46" s="5"/>
      <c r="D46" s="5"/>
      <c r="E46" s="5"/>
      <c r="F46" s="5"/>
      <c r="G46" s="5" t="s">
        <v>50</v>
      </c>
      <c r="H46" s="2" t="s">
        <v>419</v>
      </c>
      <c r="I46">
        <v>125</v>
      </c>
      <c r="L46" s="5"/>
      <c r="M46" s="5"/>
      <c r="N46" s="5"/>
      <c r="O46" s="5"/>
      <c r="P46" s="5"/>
      <c r="Q46" s="5"/>
      <c r="R46" s="5"/>
      <c r="S46" s="5"/>
      <c r="T46" s="5"/>
    </row>
    <row r="47" spans="1:20" x14ac:dyDescent="0.25">
      <c r="A47" s="15"/>
      <c r="B47" s="5"/>
      <c r="C47" s="5"/>
      <c r="D47" s="5"/>
      <c r="E47" s="5"/>
      <c r="F47" s="5"/>
      <c r="G47" t="s">
        <v>12</v>
      </c>
      <c r="H47" s="2" t="s">
        <v>420</v>
      </c>
      <c r="J47" s="5">
        <f>24.95-0.34-1.75</f>
        <v>22.86</v>
      </c>
      <c r="K47" s="38" t="s">
        <v>423</v>
      </c>
      <c r="L47" s="5"/>
      <c r="M47">
        <v>24.95</v>
      </c>
      <c r="N47" s="5"/>
      <c r="O47" s="5"/>
      <c r="P47" s="5"/>
      <c r="Q47" s="5"/>
      <c r="R47" s="5"/>
      <c r="S47" s="5"/>
      <c r="T47" s="5"/>
    </row>
    <row r="48" spans="1:20" x14ac:dyDescent="0.25">
      <c r="A48" s="15"/>
      <c r="B48" s="5"/>
      <c r="C48" s="5"/>
      <c r="D48" s="5"/>
      <c r="E48" s="5"/>
      <c r="F48" s="5"/>
      <c r="G48" s="5" t="s">
        <v>40</v>
      </c>
      <c r="H48" s="2" t="s">
        <v>421</v>
      </c>
      <c r="J48">
        <v>11.3</v>
      </c>
      <c r="K48" s="5"/>
      <c r="L48" s="5"/>
      <c r="M48" s="5"/>
      <c r="N48" s="5"/>
      <c r="O48" s="5"/>
      <c r="P48" s="5"/>
      <c r="Q48" s="5"/>
      <c r="R48" s="5"/>
      <c r="S48" s="5"/>
      <c r="T48" s="5"/>
    </row>
    <row r="49" spans="1:20" x14ac:dyDescent="0.25">
      <c r="A49" s="15"/>
      <c r="B49" s="5"/>
      <c r="C49" s="5"/>
      <c r="D49" s="5"/>
      <c r="E49" s="5"/>
      <c r="F49" s="5"/>
      <c r="G49" t="s">
        <v>36</v>
      </c>
      <c r="H49" s="2" t="s">
        <v>425</v>
      </c>
      <c r="J49">
        <v>41.78</v>
      </c>
      <c r="K49" s="5"/>
      <c r="L49" s="5"/>
      <c r="M49" s="5"/>
      <c r="N49" s="5"/>
      <c r="O49" s="5"/>
      <c r="P49" s="5"/>
      <c r="Q49" s="5"/>
      <c r="R49" s="5"/>
      <c r="S49" s="5"/>
      <c r="T49" s="5"/>
    </row>
    <row r="50" spans="1:20" ht="15.75" thickBot="1" x14ac:dyDescent="0.3">
      <c r="A50" s="15"/>
      <c r="B50" s="5"/>
      <c r="C50" s="5"/>
      <c r="D50" s="5"/>
      <c r="E50" s="5"/>
      <c r="F50" s="5"/>
      <c r="G50" s="5" t="s">
        <v>236</v>
      </c>
      <c r="H50" s="2" t="s">
        <v>424</v>
      </c>
      <c r="J50">
        <v>7.05</v>
      </c>
      <c r="K50" s="5"/>
      <c r="L50" s="5"/>
      <c r="M50" s="5"/>
      <c r="N50" s="5"/>
      <c r="O50" s="5"/>
      <c r="P50" s="5"/>
      <c r="Q50" s="5"/>
      <c r="R50" s="5"/>
      <c r="S50" s="5"/>
      <c r="T50" s="5"/>
    </row>
    <row r="51" spans="1:20" ht="15.75" thickBot="1" x14ac:dyDescent="0.3">
      <c r="A51" s="8"/>
      <c r="B51" s="9"/>
      <c r="C51" s="9"/>
      <c r="D51" s="10"/>
      <c r="E51" s="5"/>
      <c r="F51" s="5"/>
      <c r="G51" t="s">
        <v>48</v>
      </c>
      <c r="H51" s="2" t="s">
        <v>424</v>
      </c>
      <c r="J51">
        <v>12.51</v>
      </c>
      <c r="N51" s="5"/>
      <c r="O51" s="5"/>
      <c r="P51" s="5"/>
      <c r="Q51" s="5"/>
      <c r="R51" s="5"/>
      <c r="S51" s="5"/>
      <c r="T51" s="5"/>
    </row>
    <row r="52" spans="1:20" ht="24" x14ac:dyDescent="0.25">
      <c r="A52" s="20" t="s">
        <v>51</v>
      </c>
      <c r="B52" s="21" t="s">
        <v>52</v>
      </c>
      <c r="C52" s="21" t="s">
        <v>53</v>
      </c>
      <c r="D52" s="22" t="s">
        <v>54</v>
      </c>
      <c r="E52" s="5"/>
      <c r="F52" s="5"/>
      <c r="G52" s="5" t="s">
        <v>16</v>
      </c>
      <c r="H52" s="2" t="s">
        <v>426</v>
      </c>
      <c r="J52" s="5">
        <v>20.76</v>
      </c>
      <c r="K52" s="5"/>
      <c r="L52" s="5"/>
      <c r="M52" s="5"/>
      <c r="N52" s="5"/>
      <c r="O52" s="5"/>
      <c r="P52" s="5"/>
      <c r="Q52" s="5"/>
      <c r="R52" s="5"/>
      <c r="S52" s="5"/>
      <c r="T52" s="5"/>
    </row>
    <row r="53" spans="1:20" x14ac:dyDescent="0.25">
      <c r="A53" s="34">
        <v>3450041444</v>
      </c>
      <c r="B53" s="33" t="s">
        <v>71</v>
      </c>
      <c r="C53" s="33" t="s">
        <v>47</v>
      </c>
      <c r="D53" s="35" t="s">
        <v>47</v>
      </c>
      <c r="E53" s="5"/>
      <c r="F53" s="5"/>
      <c r="G53" s="5" t="s">
        <v>12</v>
      </c>
      <c r="H53" s="2" t="s">
        <v>427</v>
      </c>
      <c r="J53" s="5">
        <v>19.190000000000001</v>
      </c>
      <c r="K53" s="5"/>
      <c r="L53" s="5"/>
      <c r="M53" s="5"/>
      <c r="N53" s="5"/>
      <c r="O53" s="5"/>
      <c r="P53" s="5"/>
      <c r="Q53" s="5"/>
      <c r="R53" s="5"/>
      <c r="S53" s="5"/>
      <c r="T53" s="5"/>
    </row>
    <row r="54" spans="1:20" x14ac:dyDescent="0.25">
      <c r="A54" s="11">
        <v>4390750000073610</v>
      </c>
      <c r="B54" s="7" t="s">
        <v>66</v>
      </c>
      <c r="C54" s="7" t="s">
        <v>47</v>
      </c>
      <c r="D54" s="12" t="s">
        <v>67</v>
      </c>
      <c r="E54" s="5"/>
      <c r="F54" s="5"/>
      <c r="G54" s="5" t="s">
        <v>36</v>
      </c>
      <c r="H54" s="2" t="s">
        <v>427</v>
      </c>
      <c r="J54">
        <v>4.7</v>
      </c>
      <c r="K54" s="5"/>
      <c r="L54" s="5"/>
      <c r="M54" s="5"/>
      <c r="N54" s="5"/>
      <c r="O54" s="5"/>
      <c r="P54" s="5"/>
      <c r="Q54" s="5"/>
      <c r="R54" s="5"/>
      <c r="S54" s="5"/>
      <c r="T54" s="5"/>
    </row>
    <row r="55" spans="1:20" ht="15.75" thickBot="1" x14ac:dyDescent="0.3">
      <c r="A55" s="13" t="s">
        <v>5</v>
      </c>
      <c r="B55" s="14" t="s">
        <v>72</v>
      </c>
      <c r="C55" s="14" t="s">
        <v>47</v>
      </c>
      <c r="D55" s="19" t="s">
        <v>67</v>
      </c>
      <c r="E55" s="5"/>
      <c r="F55" s="5"/>
      <c r="G55" s="5" t="s">
        <v>26</v>
      </c>
      <c r="H55" s="2" t="s">
        <v>431</v>
      </c>
      <c r="J55" s="5">
        <v>7.99</v>
      </c>
      <c r="K55" s="2" t="s">
        <v>432</v>
      </c>
      <c r="L55" s="5"/>
      <c r="M55" s="5"/>
      <c r="N55" s="5"/>
      <c r="O55" s="5"/>
      <c r="P55" s="5"/>
      <c r="Q55" s="5"/>
      <c r="R55" s="5"/>
      <c r="S55" s="5"/>
      <c r="T55" s="5"/>
    </row>
    <row r="56" spans="1:20" ht="15.75" thickBot="1" x14ac:dyDescent="0.3">
      <c r="A56" s="5"/>
      <c r="B56" s="5"/>
      <c r="C56" s="5"/>
      <c r="D56" s="5"/>
      <c r="E56" s="5"/>
      <c r="F56" s="5"/>
      <c r="G56" s="5" t="s">
        <v>12</v>
      </c>
      <c r="H56" s="2" t="s">
        <v>431</v>
      </c>
      <c r="J56" s="5">
        <v>4.91</v>
      </c>
      <c r="L56" s="5"/>
      <c r="M56" s="5"/>
      <c r="N56" s="5"/>
      <c r="O56" s="5"/>
      <c r="P56" s="5"/>
      <c r="Q56" s="5"/>
      <c r="R56" s="5"/>
      <c r="S56" s="5"/>
      <c r="T56" s="5"/>
    </row>
    <row r="57" spans="1:20" x14ac:dyDescent="0.25">
      <c r="A57" s="23"/>
      <c r="B57" s="24"/>
      <c r="C57" s="24"/>
      <c r="D57" s="25"/>
      <c r="E57" s="5"/>
      <c r="F57" s="5"/>
      <c r="G57" s="5" t="s">
        <v>13</v>
      </c>
      <c r="H57" s="2" t="s">
        <v>433</v>
      </c>
      <c r="J57" s="5">
        <v>10.37</v>
      </c>
      <c r="K57" s="5"/>
      <c r="L57" s="5"/>
      <c r="M57" s="5"/>
      <c r="N57" s="5"/>
      <c r="O57" s="5"/>
      <c r="P57" s="5"/>
      <c r="Q57" s="5"/>
      <c r="R57" s="5"/>
      <c r="S57" s="5"/>
      <c r="T57" s="5"/>
    </row>
    <row r="58" spans="1:20" x14ac:dyDescent="0.25">
      <c r="A58" s="26"/>
      <c r="B58" s="27"/>
      <c r="C58" s="27"/>
      <c r="D58" s="28"/>
      <c r="E58" s="5"/>
      <c r="F58" s="5"/>
      <c r="G58" s="5" t="s">
        <v>14</v>
      </c>
      <c r="H58" s="2" t="s">
        <v>433</v>
      </c>
      <c r="I58" s="4">
        <v>26</v>
      </c>
      <c r="J58" s="5"/>
      <c r="K58" s="38" t="s">
        <v>436</v>
      </c>
      <c r="L58" s="5"/>
      <c r="M58" s="5"/>
      <c r="N58" s="5"/>
      <c r="O58" s="5"/>
      <c r="P58" s="5"/>
      <c r="Q58" s="5"/>
      <c r="R58" s="5"/>
      <c r="S58" s="5"/>
      <c r="T58" s="5"/>
    </row>
    <row r="59" spans="1:20" ht="15.75" thickBot="1" x14ac:dyDescent="0.3">
      <c r="A59" s="5"/>
      <c r="B59" s="29"/>
      <c r="C59" s="29"/>
      <c r="D59" s="30"/>
      <c r="E59" s="5"/>
      <c r="F59" s="5"/>
      <c r="G59" s="5" t="s">
        <v>13</v>
      </c>
      <c r="H59" s="2" t="s">
        <v>435</v>
      </c>
      <c r="I59" s="4">
        <v>3.06</v>
      </c>
      <c r="J59" s="5"/>
      <c r="K59" s="5"/>
      <c r="L59" s="5"/>
      <c r="M59" s="5">
        <f>125+26-1.34-0.34</f>
        <v>149.32</v>
      </c>
      <c r="N59" s="5"/>
      <c r="O59" s="5"/>
      <c r="P59" s="5"/>
      <c r="Q59" s="5"/>
      <c r="R59" s="5"/>
      <c r="S59" s="5"/>
      <c r="T59" s="5"/>
    </row>
    <row r="60" spans="1:20" x14ac:dyDescent="0.25">
      <c r="A60" s="31"/>
      <c r="B60" s="32"/>
      <c r="C60" s="32"/>
      <c r="D60" s="32"/>
      <c r="E60" s="5"/>
      <c r="F60" s="5"/>
      <c r="G60" s="5" t="s">
        <v>27</v>
      </c>
      <c r="H60" s="2" t="s">
        <v>435</v>
      </c>
      <c r="I60" s="4">
        <v>17.78</v>
      </c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</row>
    <row r="61" spans="1:20" ht="15.75" thickBot="1" x14ac:dyDescent="0.3">
      <c r="A61" s="31"/>
      <c r="B61" s="32"/>
      <c r="C61" s="32"/>
      <c r="D61" s="32"/>
      <c r="E61" s="5"/>
      <c r="F61" s="5"/>
      <c r="G61" s="5" t="s">
        <v>26</v>
      </c>
      <c r="H61" s="2" t="s">
        <v>437</v>
      </c>
      <c r="I61" s="4">
        <v>12.11</v>
      </c>
      <c r="K61" s="5"/>
      <c r="L61" s="5"/>
      <c r="M61" s="5"/>
      <c r="N61" s="5"/>
      <c r="O61" s="5"/>
      <c r="P61" s="5"/>
      <c r="Q61" s="5"/>
      <c r="R61" s="5"/>
      <c r="S61" s="5"/>
      <c r="T61" s="5"/>
    </row>
    <row r="62" spans="1:20" x14ac:dyDescent="0.25">
      <c r="A62" s="23"/>
      <c r="B62" s="24"/>
      <c r="C62" s="24"/>
      <c r="D62" s="25"/>
      <c r="E62" s="5">
        <f>41.78+19.19+4.7</f>
        <v>65.67</v>
      </c>
      <c r="F62" s="5"/>
      <c r="G62" t="s">
        <v>12</v>
      </c>
      <c r="H62" s="2" t="s">
        <v>438</v>
      </c>
      <c r="I62" s="4">
        <v>7.53</v>
      </c>
      <c r="K62" s="5"/>
      <c r="L62" s="5"/>
      <c r="M62" s="5"/>
      <c r="N62" s="5"/>
      <c r="O62" s="5"/>
      <c r="P62" s="5"/>
      <c r="Q62" s="5"/>
      <c r="R62" s="5"/>
      <c r="S62" s="5"/>
      <c r="T62" s="5"/>
    </row>
    <row r="63" spans="1:20" x14ac:dyDescent="0.25">
      <c r="A63" s="26"/>
      <c r="B63" s="27"/>
      <c r="C63" s="27"/>
      <c r="D63" s="28"/>
      <c r="E63" s="5"/>
      <c r="F63" s="5"/>
      <c r="G63" s="5" t="s">
        <v>12</v>
      </c>
      <c r="H63" s="2" t="s">
        <v>438</v>
      </c>
      <c r="I63" s="4">
        <v>4.54</v>
      </c>
      <c r="K63" s="5"/>
      <c r="L63" s="5"/>
      <c r="M63" s="5"/>
      <c r="N63" s="5"/>
      <c r="O63" s="5"/>
      <c r="P63" s="5"/>
      <c r="Q63" s="5"/>
      <c r="R63" s="5"/>
      <c r="S63" s="5"/>
      <c r="T63" s="5"/>
    </row>
    <row r="64" spans="1:20" x14ac:dyDescent="0.25">
      <c r="G64" s="5" t="s">
        <v>36</v>
      </c>
      <c r="H64" s="2" t="s">
        <v>438</v>
      </c>
      <c r="I64" s="4">
        <v>11.96</v>
      </c>
    </row>
    <row r="72" spans="7:10" x14ac:dyDescent="0.25">
      <c r="G72" t="s">
        <v>5</v>
      </c>
      <c r="I72">
        <f>SUM(I35:I71)</f>
        <v>207.98</v>
      </c>
      <c r="J72">
        <f>212.26-161.25</f>
        <v>51.009999999999991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4"/>
  <sheetViews>
    <sheetView workbookViewId="0">
      <selection activeCell="G18" sqref="G18"/>
    </sheetView>
  </sheetViews>
  <sheetFormatPr defaultRowHeight="15" x14ac:dyDescent="0.25"/>
  <cols>
    <col min="1" max="1" width="29" customWidth="1"/>
    <col min="4" max="4" width="10.42578125" customWidth="1"/>
    <col min="5" max="5" width="17.7109375" customWidth="1"/>
    <col min="7" max="7" width="25.5703125" customWidth="1"/>
    <col min="8" max="8" width="10.7109375" bestFit="1" customWidth="1"/>
    <col min="10" max="10" width="14.85546875" bestFit="1" customWidth="1"/>
    <col min="11" max="11" width="12.28515625" customWidth="1"/>
    <col min="14" max="14" width="12.42578125" hidden="1" customWidth="1"/>
    <col min="16" max="16" width="11.140625" customWidth="1"/>
  </cols>
  <sheetData>
    <row r="1" spans="1:18" x14ac:dyDescent="0.25">
      <c r="A1" s="15"/>
      <c r="B1" s="5"/>
      <c r="C1" s="5"/>
      <c r="D1" s="5"/>
      <c r="E1" s="5"/>
      <c r="F1" s="5"/>
      <c r="G1" s="5" t="s">
        <v>442</v>
      </c>
      <c r="H1" s="5"/>
      <c r="I1" s="5"/>
      <c r="J1" s="5" t="s">
        <v>24</v>
      </c>
      <c r="K1" s="5" t="s">
        <v>23</v>
      </c>
      <c r="L1" s="5" t="s">
        <v>25</v>
      </c>
      <c r="M1" s="5"/>
      <c r="N1" s="5"/>
      <c r="O1" s="5"/>
      <c r="P1" s="5"/>
      <c r="Q1" s="5"/>
      <c r="R1" s="5"/>
    </row>
    <row r="2" spans="1:18" x14ac:dyDescent="0.25">
      <c r="A2" s="15" t="s">
        <v>49</v>
      </c>
      <c r="B2" s="5"/>
      <c r="C2" s="5"/>
      <c r="D2" s="5"/>
      <c r="E2" s="5"/>
      <c r="F2" s="5"/>
      <c r="G2" t="s">
        <v>114</v>
      </c>
      <c r="H2" s="5">
        <v>35</v>
      </c>
      <c r="I2" s="5"/>
      <c r="J2" t="s">
        <v>50</v>
      </c>
      <c r="K2" s="2" t="s">
        <v>419</v>
      </c>
      <c r="M2">
        <v>125</v>
      </c>
      <c r="N2" s="5"/>
      <c r="O2" s="5"/>
      <c r="P2" s="5"/>
      <c r="Q2" s="5"/>
      <c r="R2" s="5"/>
    </row>
    <row r="3" spans="1:18" x14ac:dyDescent="0.25">
      <c r="A3" s="15"/>
      <c r="B3" s="5"/>
      <c r="C3" s="5"/>
      <c r="D3" s="5"/>
      <c r="E3" s="5"/>
      <c r="F3" s="5"/>
      <c r="G3" t="s">
        <v>444</v>
      </c>
      <c r="H3" s="5">
        <v>100</v>
      </c>
      <c r="I3" s="5"/>
      <c r="J3" s="5" t="s">
        <v>14</v>
      </c>
      <c r="K3" s="2" t="s">
        <v>433</v>
      </c>
      <c r="M3" s="5">
        <v>26</v>
      </c>
      <c r="O3" s="5"/>
      <c r="P3" s="5"/>
      <c r="Q3" s="5"/>
      <c r="R3" s="5"/>
    </row>
    <row r="4" spans="1:18" x14ac:dyDescent="0.25">
      <c r="A4" s="5" t="s">
        <v>10</v>
      </c>
      <c r="B4" s="5"/>
      <c r="D4" s="5">
        <v>240</v>
      </c>
      <c r="E4" s="5"/>
      <c r="F4" s="5"/>
      <c r="G4" t="s">
        <v>445</v>
      </c>
      <c r="H4" s="5">
        <v>105</v>
      </c>
      <c r="I4" s="5"/>
      <c r="J4" s="5" t="s">
        <v>13</v>
      </c>
      <c r="K4" s="2" t="s">
        <v>435</v>
      </c>
      <c r="M4" s="5">
        <v>3.06</v>
      </c>
      <c r="N4" s="5"/>
      <c r="O4" s="5"/>
      <c r="P4" s="5"/>
      <c r="Q4" s="5"/>
      <c r="R4" s="5"/>
    </row>
    <row r="5" spans="1:18" x14ac:dyDescent="0.25">
      <c r="A5" s="5" t="s">
        <v>114</v>
      </c>
      <c r="B5" s="5"/>
      <c r="D5" s="5">
        <v>35</v>
      </c>
      <c r="E5" s="5"/>
      <c r="F5" s="5"/>
      <c r="G5" t="s">
        <v>446</v>
      </c>
      <c r="H5" s="5">
        <v>30</v>
      </c>
      <c r="I5" s="5"/>
      <c r="J5" s="5" t="s">
        <v>27</v>
      </c>
      <c r="K5" s="2" t="s">
        <v>435</v>
      </c>
      <c r="M5" s="5">
        <v>17.78</v>
      </c>
      <c r="N5" s="5"/>
      <c r="O5" s="5"/>
      <c r="P5" s="5"/>
      <c r="Q5" s="5"/>
      <c r="R5" s="5"/>
    </row>
    <row r="6" spans="1:18" x14ac:dyDescent="0.25">
      <c r="A6" s="5" t="s">
        <v>2</v>
      </c>
      <c r="B6" s="5"/>
      <c r="D6" s="5">
        <v>50</v>
      </c>
      <c r="E6" s="5"/>
      <c r="F6" s="5"/>
      <c r="G6" t="s">
        <v>443</v>
      </c>
      <c r="H6" s="5">
        <f>SUM(H2:H5)</f>
        <v>270</v>
      </c>
      <c r="I6" s="5"/>
      <c r="J6" s="5" t="s">
        <v>26</v>
      </c>
      <c r="K6" s="2" t="s">
        <v>437</v>
      </c>
      <c r="M6" s="5">
        <v>12.11</v>
      </c>
      <c r="N6" s="5">
        <f>1.34+0.34</f>
        <v>1.6800000000000002</v>
      </c>
      <c r="O6" s="5"/>
      <c r="P6" s="5"/>
      <c r="Q6" s="5"/>
      <c r="R6" s="5"/>
    </row>
    <row r="7" spans="1:18" x14ac:dyDescent="0.25">
      <c r="A7" s="5" t="s">
        <v>0</v>
      </c>
      <c r="B7" s="5"/>
      <c r="D7" s="5">
        <v>74</v>
      </c>
      <c r="E7" s="5"/>
      <c r="F7" s="5"/>
      <c r="G7" s="5"/>
      <c r="H7" s="5"/>
      <c r="I7" s="5"/>
      <c r="J7" s="5" t="s">
        <v>12</v>
      </c>
      <c r="K7" s="2" t="s">
        <v>438</v>
      </c>
      <c r="M7" s="5">
        <v>7.53</v>
      </c>
      <c r="N7" s="38"/>
      <c r="O7" s="5"/>
      <c r="P7" s="5"/>
      <c r="Q7" s="5"/>
      <c r="R7" s="5"/>
    </row>
    <row r="8" spans="1:18" x14ac:dyDescent="0.25">
      <c r="A8" s="5" t="s">
        <v>8</v>
      </c>
      <c r="B8" s="5"/>
      <c r="C8" s="5"/>
      <c r="E8" s="5"/>
      <c r="F8" s="5"/>
      <c r="G8" s="5"/>
      <c r="H8" s="5"/>
      <c r="I8" s="5"/>
      <c r="J8" s="5" t="s">
        <v>12</v>
      </c>
      <c r="K8" s="2" t="s">
        <v>438</v>
      </c>
      <c r="M8" s="5">
        <v>4.54</v>
      </c>
      <c r="N8" s="5"/>
      <c r="O8" s="5"/>
      <c r="P8" s="5"/>
      <c r="Q8" s="5"/>
      <c r="R8" s="5"/>
    </row>
    <row r="9" spans="1:18" x14ac:dyDescent="0.25">
      <c r="A9" s="5" t="s">
        <v>1</v>
      </c>
      <c r="B9" s="5"/>
      <c r="D9" s="5">
        <f>40-7.68-15.6</f>
        <v>16.72</v>
      </c>
      <c r="E9" s="5"/>
      <c r="F9" s="5"/>
      <c r="G9" s="5"/>
      <c r="H9" s="5"/>
      <c r="I9" s="5"/>
      <c r="J9" s="5" t="s">
        <v>36</v>
      </c>
      <c r="K9" s="2" t="s">
        <v>438</v>
      </c>
      <c r="M9" s="5">
        <f>11.96-2.53</f>
        <v>9.4300000000000015</v>
      </c>
      <c r="N9" s="38" t="s">
        <v>440</v>
      </c>
      <c r="O9" s="38" t="s">
        <v>441</v>
      </c>
      <c r="Q9" s="5">
        <v>11.96</v>
      </c>
      <c r="R9" s="5"/>
    </row>
    <row r="10" spans="1:18" x14ac:dyDescent="0.25">
      <c r="A10" s="5" t="s">
        <v>4</v>
      </c>
      <c r="B10" s="5"/>
      <c r="D10" s="5">
        <v>250</v>
      </c>
      <c r="E10" s="5"/>
      <c r="F10" s="5"/>
      <c r="G10" s="5"/>
      <c r="H10" s="5"/>
      <c r="I10" s="5"/>
      <c r="J10" s="5" t="s">
        <v>14</v>
      </c>
      <c r="K10" s="2" t="s">
        <v>439</v>
      </c>
      <c r="M10" s="5">
        <v>5.66</v>
      </c>
      <c r="N10" s="5"/>
      <c r="O10" s="5"/>
      <c r="P10" s="5"/>
      <c r="Q10" s="5"/>
      <c r="R10" s="5"/>
    </row>
    <row r="11" spans="1:18" x14ac:dyDescent="0.25">
      <c r="A11" s="5" t="s">
        <v>9</v>
      </c>
      <c r="B11" s="5"/>
      <c r="C11" s="5"/>
      <c r="E11" s="5"/>
      <c r="F11" s="5"/>
      <c r="G11" s="5"/>
      <c r="H11" s="5"/>
      <c r="I11" s="5"/>
      <c r="J11" s="5" t="s">
        <v>27</v>
      </c>
      <c r="K11" s="2" t="s">
        <v>447</v>
      </c>
      <c r="M11" s="5">
        <v>42.98</v>
      </c>
      <c r="N11" s="5"/>
      <c r="P11" s="5"/>
      <c r="Q11" s="5"/>
      <c r="R11" s="5"/>
    </row>
    <row r="12" spans="1:18" x14ac:dyDescent="0.25">
      <c r="A12" s="5" t="s">
        <v>115</v>
      </c>
      <c r="B12" s="5"/>
      <c r="C12" s="5"/>
      <c r="E12" s="5"/>
      <c r="F12" s="5"/>
      <c r="G12" s="5"/>
      <c r="H12" s="5"/>
      <c r="I12" s="5"/>
      <c r="J12" s="5" t="s">
        <v>12</v>
      </c>
      <c r="K12" s="2" t="s">
        <v>447</v>
      </c>
      <c r="L12" s="5"/>
      <c r="M12" s="5">
        <f>9.98-0.7</f>
        <v>9.2800000000000011</v>
      </c>
      <c r="N12" s="5"/>
      <c r="O12" s="38" t="s">
        <v>451</v>
      </c>
      <c r="P12" s="5"/>
      <c r="Q12" s="5">
        <v>9.98</v>
      </c>
      <c r="R12" s="5"/>
    </row>
    <row r="13" spans="1:18" x14ac:dyDescent="0.25">
      <c r="A13" s="5" t="s">
        <v>37</v>
      </c>
      <c r="B13" s="5"/>
      <c r="D13" s="5">
        <v>10</v>
      </c>
      <c r="E13" s="5"/>
      <c r="F13" s="5"/>
      <c r="G13" s="5">
        <f>17.03-15.6</f>
        <v>1.4300000000000015</v>
      </c>
      <c r="H13" s="5"/>
      <c r="I13" s="5"/>
      <c r="J13" s="5" t="s">
        <v>12</v>
      </c>
      <c r="K13" s="2" t="s">
        <v>452</v>
      </c>
      <c r="M13" s="5">
        <v>39.01</v>
      </c>
      <c r="N13" s="40"/>
      <c r="O13" s="38" t="s">
        <v>456</v>
      </c>
      <c r="P13" s="5"/>
      <c r="Q13" s="5"/>
      <c r="R13" s="5"/>
    </row>
    <row r="14" spans="1:18" x14ac:dyDescent="0.25">
      <c r="A14" s="5" t="s">
        <v>429</v>
      </c>
      <c r="B14" s="5"/>
      <c r="D14" s="5">
        <v>0</v>
      </c>
      <c r="E14" s="5"/>
      <c r="F14" s="5"/>
      <c r="G14" s="5"/>
      <c r="H14" s="5"/>
      <c r="I14" s="5"/>
      <c r="J14" s="5" t="s">
        <v>36</v>
      </c>
      <c r="K14" s="2" t="s">
        <v>453</v>
      </c>
      <c r="M14">
        <v>1.7</v>
      </c>
      <c r="N14" s="5"/>
      <c r="O14" s="5"/>
      <c r="P14" s="5"/>
      <c r="Q14" s="5"/>
      <c r="R14" s="5"/>
    </row>
    <row r="15" spans="1:18" x14ac:dyDescent="0.25">
      <c r="A15" s="5" t="s">
        <v>428</v>
      </c>
      <c r="B15" s="5"/>
      <c r="D15" s="5">
        <v>100</v>
      </c>
      <c r="E15" s="5"/>
      <c r="F15" s="5"/>
      <c r="G15" s="5">
        <f>157.66-140.63</f>
        <v>17.03</v>
      </c>
      <c r="H15" s="5"/>
      <c r="I15" s="5"/>
      <c r="J15" s="5" t="s">
        <v>36</v>
      </c>
      <c r="K15" s="2" t="s">
        <v>453</v>
      </c>
      <c r="M15">
        <v>9.74</v>
      </c>
      <c r="N15" s="5"/>
      <c r="O15" s="5"/>
      <c r="P15" s="5"/>
      <c r="Q15" s="5"/>
      <c r="R15" s="5"/>
    </row>
    <row r="16" spans="1:18" x14ac:dyDescent="0.25">
      <c r="A16" s="5" t="s">
        <v>434</v>
      </c>
      <c r="B16" s="5"/>
      <c r="D16" s="5">
        <v>105</v>
      </c>
      <c r="E16" s="5"/>
      <c r="F16" s="5"/>
      <c r="G16" s="5"/>
      <c r="H16" s="5"/>
      <c r="I16" s="5"/>
      <c r="J16" s="5" t="s">
        <v>36</v>
      </c>
      <c r="K16" s="2" t="s">
        <v>454</v>
      </c>
      <c r="M16">
        <v>11.5</v>
      </c>
      <c r="N16" s="5"/>
      <c r="O16" s="5"/>
      <c r="P16" s="5"/>
      <c r="Q16" s="5"/>
      <c r="R16" s="5"/>
    </row>
    <row r="17" spans="1:18" x14ac:dyDescent="0.25">
      <c r="A17" s="5" t="s">
        <v>371</v>
      </c>
      <c r="B17" s="5"/>
      <c r="D17" s="5">
        <v>30</v>
      </c>
      <c r="E17" s="5"/>
      <c r="F17" s="5"/>
      <c r="G17" s="5"/>
      <c r="H17" s="5">
        <f>157.66-15.6</f>
        <v>142.06</v>
      </c>
      <c r="I17" s="5"/>
      <c r="J17" s="5" t="s">
        <v>161</v>
      </c>
      <c r="K17" s="2" t="s">
        <v>455</v>
      </c>
      <c r="M17">
        <v>24.78</v>
      </c>
      <c r="N17" s="5"/>
      <c r="O17" s="5"/>
      <c r="P17" s="5"/>
      <c r="Q17" s="5"/>
      <c r="R17" s="5"/>
    </row>
    <row r="18" spans="1:18" x14ac:dyDescent="0.25">
      <c r="A18" s="5"/>
      <c r="B18" s="5"/>
      <c r="C18" s="5"/>
      <c r="D18" s="5"/>
      <c r="E18" s="5" t="s">
        <v>6</v>
      </c>
      <c r="F18" s="5"/>
      <c r="G18" s="5">
        <v>95</v>
      </c>
      <c r="I18" s="5"/>
      <c r="J18" s="5" t="s">
        <v>258</v>
      </c>
      <c r="K18" s="2" t="s">
        <v>457</v>
      </c>
      <c r="M18">
        <v>48.41</v>
      </c>
      <c r="N18" s="5"/>
      <c r="O18" s="5"/>
      <c r="P18" s="5"/>
      <c r="Q18" s="5"/>
      <c r="R18" s="5"/>
    </row>
    <row r="19" spans="1:18" x14ac:dyDescent="0.25">
      <c r="A19" s="5"/>
      <c r="B19" s="5"/>
      <c r="C19" s="5"/>
      <c r="D19" s="5"/>
      <c r="E19" s="5" t="s">
        <v>7</v>
      </c>
      <c r="F19" s="5"/>
      <c r="G19" s="5">
        <v>2.4300000000000002</v>
      </c>
      <c r="H19" s="5"/>
      <c r="I19" s="5" t="s">
        <v>90</v>
      </c>
      <c r="M19" s="5"/>
      <c r="N19" s="5"/>
      <c r="O19" s="5"/>
      <c r="P19" s="5"/>
      <c r="Q19" s="5"/>
      <c r="R19" s="5"/>
    </row>
    <row r="20" spans="1:18" x14ac:dyDescent="0.25">
      <c r="A20" s="5" t="s">
        <v>5</v>
      </c>
      <c r="B20" s="5"/>
      <c r="C20" s="5">
        <f>SUM(C4:C19)</f>
        <v>0</v>
      </c>
      <c r="D20" s="5"/>
      <c r="E20" s="5" t="s">
        <v>20</v>
      </c>
      <c r="F20" s="5"/>
      <c r="G20" s="5">
        <v>0</v>
      </c>
      <c r="H20" s="5"/>
      <c r="I20" s="5" t="s">
        <v>90</v>
      </c>
      <c r="M20" s="5"/>
      <c r="N20" s="5"/>
      <c r="O20" s="5"/>
      <c r="P20" s="5"/>
      <c r="Q20" s="5"/>
      <c r="R20" s="5"/>
    </row>
    <row r="21" spans="1:18" x14ac:dyDescent="0.25">
      <c r="A21" s="15"/>
      <c r="B21" s="5"/>
      <c r="C21" s="5"/>
      <c r="D21" s="5"/>
      <c r="E21" s="5" t="s">
        <v>138</v>
      </c>
      <c r="F21" s="5"/>
      <c r="G21" s="5">
        <v>0</v>
      </c>
      <c r="H21" s="5"/>
      <c r="I21" s="5"/>
      <c r="M21" s="5"/>
      <c r="N21" s="38"/>
      <c r="O21" s="5"/>
      <c r="P21" s="5"/>
      <c r="Q21" s="5"/>
      <c r="R21" s="5"/>
    </row>
    <row r="22" spans="1:18" x14ac:dyDescent="0.25">
      <c r="A22" s="15"/>
      <c r="B22" s="5"/>
      <c r="C22" s="5"/>
      <c r="D22" s="5"/>
      <c r="E22" s="5" t="s">
        <v>430</v>
      </c>
      <c r="F22" s="5"/>
      <c r="G22" s="5">
        <v>0</v>
      </c>
      <c r="H22" s="5"/>
      <c r="I22" s="5" t="s">
        <v>90</v>
      </c>
      <c r="M22" s="5"/>
      <c r="N22" s="5"/>
      <c r="O22" s="5"/>
      <c r="P22" s="5"/>
      <c r="Q22" s="5"/>
      <c r="R22" s="5"/>
    </row>
    <row r="23" spans="1:18" x14ac:dyDescent="0.25">
      <c r="A23" s="15"/>
      <c r="B23" s="5"/>
      <c r="C23" s="5"/>
      <c r="D23" s="5"/>
      <c r="E23" s="5" t="s">
        <v>5</v>
      </c>
      <c r="F23" s="5"/>
      <c r="G23" s="5">
        <f>SUM(G18:G22)</f>
        <v>97.43</v>
      </c>
      <c r="H23" s="5"/>
      <c r="I23" s="5" t="s">
        <v>90</v>
      </c>
      <c r="M23" s="5"/>
      <c r="N23" s="5"/>
      <c r="O23" s="5"/>
      <c r="P23" s="5"/>
      <c r="Q23" s="5"/>
      <c r="R23" s="5"/>
    </row>
    <row r="24" spans="1:18" x14ac:dyDescent="0.25">
      <c r="A24" s="15"/>
      <c r="B24" s="5"/>
      <c r="C24" s="5"/>
      <c r="D24" s="5"/>
      <c r="E24" s="5"/>
      <c r="F24" s="5"/>
      <c r="G24" s="5"/>
      <c r="H24" s="5"/>
      <c r="I24" s="5" t="s">
        <v>90</v>
      </c>
      <c r="M24" s="5"/>
      <c r="N24" s="5"/>
      <c r="O24" s="5"/>
      <c r="P24" s="5"/>
      <c r="Q24" s="5"/>
      <c r="R24" s="5"/>
    </row>
    <row r="25" spans="1:18" x14ac:dyDescent="0.25">
      <c r="A25" s="15" t="s">
        <v>468</v>
      </c>
      <c r="B25" s="5"/>
      <c r="C25" s="5"/>
      <c r="D25" s="5"/>
      <c r="E25" s="4" t="s">
        <v>17</v>
      </c>
      <c r="F25" s="4"/>
      <c r="G25" s="4">
        <f>G23-C20-L34</f>
        <v>97.43</v>
      </c>
      <c r="H25" s="5"/>
      <c r="I25" s="5" t="s">
        <v>90</v>
      </c>
      <c r="M25" s="5"/>
      <c r="N25" s="5"/>
      <c r="O25" s="5"/>
      <c r="P25" s="5"/>
      <c r="Q25" s="5"/>
      <c r="R25" s="5"/>
    </row>
    <row r="26" spans="1:18" x14ac:dyDescent="0.25">
      <c r="A26" s="15"/>
      <c r="B26" s="5"/>
      <c r="C26" s="5"/>
      <c r="D26" s="5"/>
      <c r="E26" s="5"/>
      <c r="F26" s="5"/>
      <c r="G26" s="5"/>
      <c r="H26" s="5"/>
      <c r="I26" s="5"/>
      <c r="M26" s="5"/>
      <c r="N26" s="38"/>
      <c r="O26" s="5"/>
      <c r="P26" s="5"/>
      <c r="Q26" s="5"/>
      <c r="R26" s="5"/>
    </row>
    <row r="27" spans="1:18" x14ac:dyDescent="0.25">
      <c r="A27" s="15" t="s">
        <v>6</v>
      </c>
      <c r="B27" s="5"/>
      <c r="C27" s="5">
        <v>95</v>
      </c>
      <c r="D27" s="5"/>
      <c r="E27" s="5"/>
      <c r="F27" s="5"/>
      <c r="G27" s="5"/>
      <c r="H27" s="5"/>
      <c r="I27" s="5" t="s">
        <v>90</v>
      </c>
      <c r="J27" s="5"/>
      <c r="K27" s="2"/>
      <c r="M27" s="5"/>
      <c r="N27" s="5"/>
      <c r="O27" s="5"/>
      <c r="P27" s="5"/>
      <c r="Q27" s="5"/>
      <c r="R27" s="5"/>
    </row>
    <row r="28" spans="1:18" x14ac:dyDescent="0.25">
      <c r="A28" s="15" t="s">
        <v>7</v>
      </c>
      <c r="B28" s="5"/>
      <c r="C28" s="5">
        <v>126.02</v>
      </c>
      <c r="D28" s="5"/>
      <c r="E28" s="5"/>
      <c r="F28" s="5"/>
      <c r="G28" s="5"/>
      <c r="H28" s="5"/>
      <c r="I28" s="5" t="s">
        <v>90</v>
      </c>
      <c r="J28" s="5"/>
      <c r="K28" s="2"/>
      <c r="M28" s="5"/>
      <c r="N28" s="5"/>
      <c r="O28" s="5"/>
      <c r="P28" s="5"/>
      <c r="Q28" s="5"/>
      <c r="R28" s="5"/>
    </row>
    <row r="29" spans="1:18" x14ac:dyDescent="0.25">
      <c r="A29" s="15" t="s">
        <v>20</v>
      </c>
      <c r="B29" s="5"/>
      <c r="C29">
        <v>100</v>
      </c>
      <c r="D29" s="5">
        <v>146.9</v>
      </c>
      <c r="E29" s="5"/>
      <c r="F29" s="5"/>
      <c r="G29" s="5"/>
      <c r="H29" s="5"/>
      <c r="I29" s="5"/>
      <c r="J29" s="5"/>
      <c r="K29" s="2"/>
      <c r="M29" s="5"/>
      <c r="N29" s="5"/>
      <c r="O29" s="5"/>
      <c r="P29" s="5"/>
      <c r="Q29" s="5"/>
      <c r="R29" s="5"/>
    </row>
    <row r="30" spans="1:18" x14ac:dyDescent="0.25">
      <c r="A30" s="5" t="s">
        <v>484</v>
      </c>
      <c r="B30" s="5"/>
      <c r="C30" s="5">
        <v>5</v>
      </c>
      <c r="D30" s="5"/>
      <c r="E30" s="5"/>
      <c r="F30" s="5"/>
      <c r="G30" s="5"/>
      <c r="H30" s="5"/>
      <c r="I30" s="5" t="s">
        <v>90</v>
      </c>
      <c r="K30" s="2"/>
      <c r="M30" s="5"/>
      <c r="N30" s="5"/>
      <c r="O30" s="5"/>
      <c r="P30" s="5"/>
      <c r="Q30" s="5"/>
      <c r="R30" s="5"/>
    </row>
    <row r="31" spans="1:18" x14ac:dyDescent="0.25">
      <c r="A31" s="15" t="s">
        <v>138</v>
      </c>
      <c r="B31" s="5"/>
      <c r="C31" s="5">
        <v>9</v>
      </c>
      <c r="D31" s="5"/>
      <c r="E31" s="5"/>
      <c r="F31" s="5"/>
      <c r="G31" s="5"/>
      <c r="H31" s="5"/>
      <c r="I31" s="5"/>
      <c r="M31" s="2"/>
      <c r="N31" s="5"/>
      <c r="O31" s="5"/>
      <c r="P31" s="5"/>
      <c r="Q31" s="5"/>
      <c r="R31" s="5"/>
    </row>
    <row r="32" spans="1:18" x14ac:dyDescent="0.25">
      <c r="A32" s="15" t="s">
        <v>5</v>
      </c>
      <c r="B32" s="5"/>
      <c r="C32" s="5">
        <f>SUM(C27:C31)</f>
        <v>335.02</v>
      </c>
      <c r="D32" s="5" t="s">
        <v>17</v>
      </c>
      <c r="E32" s="5">
        <f>C32-B46-I72</f>
        <v>335.02</v>
      </c>
      <c r="F32" s="5"/>
      <c r="G32" s="5"/>
      <c r="H32" s="5"/>
      <c r="I32" s="5"/>
      <c r="M32" s="5"/>
      <c r="N32" s="40"/>
      <c r="O32" s="5"/>
      <c r="P32" s="5"/>
      <c r="Q32" s="5"/>
      <c r="R32" s="5"/>
    </row>
    <row r="33" spans="1:18" x14ac:dyDescent="0.25">
      <c r="A33" s="15" t="s">
        <v>18</v>
      </c>
      <c r="B33" s="5"/>
      <c r="C33" s="5"/>
      <c r="D33" s="5"/>
      <c r="E33" s="5"/>
      <c r="F33" s="5"/>
      <c r="G33" s="5"/>
      <c r="H33" s="5"/>
      <c r="I33" s="5"/>
      <c r="J33" s="5"/>
      <c r="M33" s="5"/>
      <c r="N33" s="2"/>
      <c r="O33" s="5"/>
      <c r="P33" s="5"/>
      <c r="Q33" s="5"/>
      <c r="R33" s="5"/>
    </row>
    <row r="34" spans="1:18" x14ac:dyDescent="0.25">
      <c r="A34" s="15"/>
      <c r="B34" s="5"/>
      <c r="C34" s="5"/>
      <c r="D34" s="5"/>
      <c r="E34" s="5"/>
      <c r="F34" s="5"/>
      <c r="G34" s="5" t="s">
        <v>24</v>
      </c>
      <c r="H34" s="5" t="s">
        <v>23</v>
      </c>
      <c r="I34" s="5" t="s">
        <v>25</v>
      </c>
      <c r="J34" s="5"/>
      <c r="K34" s="5" t="s">
        <v>5</v>
      </c>
      <c r="L34" s="5">
        <f>SUM(L2:L33)</f>
        <v>0</v>
      </c>
      <c r="M34" s="5"/>
      <c r="N34" s="5"/>
      <c r="O34" s="5"/>
      <c r="P34" s="5"/>
      <c r="Q34" s="5"/>
      <c r="R34" s="5"/>
    </row>
    <row r="35" spans="1:18" x14ac:dyDescent="0.25">
      <c r="A35" s="15" t="s">
        <v>1</v>
      </c>
      <c r="C35" s="5">
        <f>12.62-7.56</f>
        <v>5.0599999999999996</v>
      </c>
      <c r="D35" s="5"/>
      <c r="E35" s="5"/>
      <c r="F35" s="5"/>
      <c r="G35" s="5" t="s">
        <v>26</v>
      </c>
      <c r="H35" s="2" t="s">
        <v>457</v>
      </c>
      <c r="J35">
        <v>12.92</v>
      </c>
      <c r="K35" s="40"/>
      <c r="L35" s="5"/>
      <c r="M35" s="5"/>
      <c r="N35" s="5"/>
      <c r="O35" s="5"/>
      <c r="P35" s="5"/>
      <c r="Q35" s="5"/>
      <c r="R35" s="5"/>
    </row>
    <row r="36" spans="1:18" x14ac:dyDescent="0.25">
      <c r="A36" s="15" t="s">
        <v>3</v>
      </c>
      <c r="C36" s="5">
        <v>20.76</v>
      </c>
      <c r="D36" s="5"/>
      <c r="E36" s="5"/>
      <c r="F36" s="5"/>
      <c r="G36" s="5" t="s">
        <v>458</v>
      </c>
      <c r="H36" s="2" t="s">
        <v>459</v>
      </c>
      <c r="J36" s="4">
        <v>31.85</v>
      </c>
      <c r="K36" s="5"/>
      <c r="L36" s="5"/>
      <c r="M36" s="5"/>
      <c r="N36" s="5"/>
      <c r="O36" s="5"/>
      <c r="P36" s="5"/>
      <c r="Q36" s="5"/>
      <c r="R36" s="5"/>
    </row>
    <row r="37" spans="1:18" x14ac:dyDescent="0.25">
      <c r="A37" s="15" t="s">
        <v>4</v>
      </c>
      <c r="C37" s="5">
        <v>250</v>
      </c>
      <c r="D37" s="5"/>
      <c r="E37" s="5"/>
      <c r="F37" s="5"/>
      <c r="G37" s="5" t="s">
        <v>460</v>
      </c>
      <c r="H37" s="2" t="s">
        <v>459</v>
      </c>
      <c r="J37" s="4">
        <v>61.97</v>
      </c>
      <c r="K37" s="5"/>
      <c r="L37" s="5"/>
      <c r="M37" s="5"/>
      <c r="N37" s="5"/>
      <c r="O37" s="5"/>
      <c r="P37" s="5"/>
      <c r="Q37" s="5"/>
      <c r="R37" s="5"/>
    </row>
    <row r="38" spans="1:18" x14ac:dyDescent="0.25">
      <c r="A38" s="15" t="s">
        <v>37</v>
      </c>
      <c r="C38" s="5">
        <v>10</v>
      </c>
      <c r="D38" s="5"/>
      <c r="E38" s="5"/>
      <c r="F38" s="5"/>
      <c r="G38" s="5" t="s">
        <v>36</v>
      </c>
      <c r="H38" s="2" t="s">
        <v>459</v>
      </c>
      <c r="J38" s="4">
        <v>5.97</v>
      </c>
      <c r="K38" s="5"/>
      <c r="L38" s="5"/>
      <c r="M38" s="5"/>
      <c r="N38" s="5"/>
      <c r="O38" s="5"/>
      <c r="P38" s="5"/>
      <c r="Q38" s="5"/>
      <c r="R38" s="5"/>
    </row>
    <row r="39" spans="1:18" x14ac:dyDescent="0.25">
      <c r="A39" s="15" t="s">
        <v>128</v>
      </c>
      <c r="C39" s="5">
        <v>11</v>
      </c>
      <c r="D39" s="2"/>
      <c r="E39" s="5"/>
      <c r="F39" s="5"/>
      <c r="G39" s="5" t="s">
        <v>12</v>
      </c>
      <c r="H39" s="2" t="s">
        <v>459</v>
      </c>
      <c r="J39" s="4">
        <v>20.86</v>
      </c>
      <c r="K39" s="5"/>
      <c r="L39" s="5"/>
      <c r="M39" s="5"/>
      <c r="N39" s="5"/>
      <c r="O39" s="5"/>
      <c r="P39" s="5"/>
      <c r="Q39" s="5"/>
      <c r="R39" s="5"/>
    </row>
    <row r="40" spans="1:18" x14ac:dyDescent="0.25">
      <c r="A40" s="15" t="s">
        <v>472</v>
      </c>
      <c r="B40" s="5">
        <v>0</v>
      </c>
      <c r="C40" s="5"/>
      <c r="D40" s="5"/>
      <c r="E40" s="5"/>
      <c r="F40" s="5"/>
      <c r="G40" s="5" t="s">
        <v>12</v>
      </c>
      <c r="H40" s="2" t="s">
        <v>459</v>
      </c>
      <c r="J40" s="4">
        <v>40.36</v>
      </c>
      <c r="K40" s="5"/>
      <c r="L40" s="5"/>
      <c r="M40" s="5"/>
      <c r="N40" s="5"/>
      <c r="O40" s="5"/>
      <c r="P40" s="5"/>
      <c r="Q40" s="5"/>
      <c r="R40" s="5"/>
    </row>
    <row r="41" spans="1:18" x14ac:dyDescent="0.25">
      <c r="A41" s="5" t="s">
        <v>48</v>
      </c>
      <c r="C41" s="5">
        <v>12.51</v>
      </c>
      <c r="D41" s="5"/>
      <c r="E41" s="5"/>
      <c r="F41" s="5"/>
      <c r="G41" s="5" t="s">
        <v>461</v>
      </c>
      <c r="H41" s="2" t="s">
        <v>459</v>
      </c>
      <c r="J41" s="4">
        <v>9.9499999999999993</v>
      </c>
      <c r="K41" s="5"/>
      <c r="L41" s="5"/>
      <c r="M41" s="5"/>
      <c r="N41" s="5"/>
      <c r="O41" s="5"/>
      <c r="P41" s="5"/>
      <c r="Q41" s="5"/>
      <c r="R41" s="5"/>
    </row>
    <row r="42" spans="1:18" x14ac:dyDescent="0.25">
      <c r="A42" s="5" t="s">
        <v>40</v>
      </c>
      <c r="C42" s="5">
        <v>11.3</v>
      </c>
      <c r="D42" s="5"/>
      <c r="E42" s="5"/>
      <c r="F42" s="5"/>
      <c r="G42" s="5" t="s">
        <v>462</v>
      </c>
      <c r="H42" s="2" t="s">
        <v>459</v>
      </c>
      <c r="J42" s="4">
        <v>37.49</v>
      </c>
      <c r="K42" s="5"/>
      <c r="L42" s="5"/>
      <c r="M42" s="5"/>
      <c r="N42" s="5"/>
      <c r="O42" s="5"/>
      <c r="P42" s="5"/>
      <c r="Q42" s="5"/>
      <c r="R42" s="5"/>
    </row>
    <row r="43" spans="1:18" x14ac:dyDescent="0.25">
      <c r="A43" s="15" t="s">
        <v>479</v>
      </c>
      <c r="C43">
        <v>40</v>
      </c>
      <c r="D43" s="5"/>
      <c r="E43" s="5"/>
      <c r="F43" s="5"/>
      <c r="G43" s="5" t="s">
        <v>36</v>
      </c>
      <c r="H43" s="2" t="s">
        <v>470</v>
      </c>
      <c r="J43">
        <f>4.48-4.29</f>
        <v>0.19000000000000039</v>
      </c>
      <c r="K43" s="38" t="s">
        <v>473</v>
      </c>
      <c r="L43" s="5"/>
      <c r="M43" s="5">
        <v>4.4800000000000004</v>
      </c>
      <c r="N43" s="5">
        <v>9.91</v>
      </c>
      <c r="O43" s="5"/>
      <c r="P43" s="5"/>
      <c r="Q43" s="5"/>
      <c r="R43" s="5"/>
    </row>
    <row r="44" spans="1:18" x14ac:dyDescent="0.25">
      <c r="A44" s="15"/>
      <c r="B44" s="5"/>
      <c r="C44" s="5"/>
      <c r="D44" s="5"/>
      <c r="E44" s="5"/>
      <c r="F44" s="5"/>
      <c r="G44" s="5" t="s">
        <v>12</v>
      </c>
      <c r="H44" s="2" t="s">
        <v>470</v>
      </c>
      <c r="J44" s="5">
        <v>4.72</v>
      </c>
      <c r="K44" s="5"/>
      <c r="L44" s="5"/>
      <c r="M44" s="5"/>
      <c r="N44" s="5"/>
      <c r="O44" s="5"/>
      <c r="P44" s="5"/>
      <c r="Q44" s="5"/>
      <c r="R44" s="5"/>
    </row>
    <row r="45" spans="1:18" x14ac:dyDescent="0.25">
      <c r="A45" s="5"/>
      <c r="B45" s="5"/>
      <c r="C45" s="5"/>
      <c r="D45" s="5"/>
      <c r="E45" s="5"/>
      <c r="F45" s="5"/>
      <c r="G45" s="5" t="s">
        <v>26</v>
      </c>
      <c r="H45" s="2" t="s">
        <v>471</v>
      </c>
      <c r="J45" s="5">
        <f>9.29-0.33</f>
        <v>8.9599999999999991</v>
      </c>
      <c r="K45" s="38" t="s">
        <v>474</v>
      </c>
      <c r="L45" s="5"/>
      <c r="M45" s="5">
        <v>9.2899999999999991</v>
      </c>
      <c r="N45" s="5"/>
      <c r="O45" s="5"/>
      <c r="P45" s="5"/>
      <c r="Q45" s="5"/>
      <c r="R45" s="5"/>
    </row>
    <row r="46" spans="1:18" x14ac:dyDescent="0.25">
      <c r="A46" s="15" t="s">
        <v>19</v>
      </c>
      <c r="B46" s="5">
        <f>SUM(B35:B45)</f>
        <v>0</v>
      </c>
      <c r="C46" s="5"/>
      <c r="D46" s="5"/>
      <c r="E46" s="5"/>
      <c r="F46" s="5"/>
      <c r="G46" s="5" t="s">
        <v>45</v>
      </c>
      <c r="H46" s="2" t="s">
        <v>475</v>
      </c>
      <c r="J46" s="5">
        <v>647.04999999999995</v>
      </c>
      <c r="K46" s="5"/>
      <c r="L46" s="5"/>
      <c r="M46" s="5"/>
      <c r="N46" s="5"/>
      <c r="O46" s="5"/>
      <c r="P46" s="5"/>
      <c r="Q46" s="5"/>
      <c r="R46" s="5"/>
    </row>
    <row r="47" spans="1:18" x14ac:dyDescent="0.25">
      <c r="A47" s="15"/>
      <c r="B47" s="5"/>
      <c r="C47" s="5"/>
      <c r="D47" s="5"/>
      <c r="E47" s="5"/>
      <c r="F47" s="5"/>
      <c r="G47" s="5" t="s">
        <v>13</v>
      </c>
      <c r="H47" s="2" t="s">
        <v>475</v>
      </c>
      <c r="J47" s="5">
        <v>16.64</v>
      </c>
      <c r="K47" s="38"/>
      <c r="L47" s="5"/>
      <c r="M47" s="5"/>
      <c r="N47" s="5"/>
      <c r="O47" s="5"/>
      <c r="P47" s="5"/>
      <c r="Q47" s="5"/>
      <c r="R47" s="5"/>
    </row>
    <row r="48" spans="1:18" x14ac:dyDescent="0.25">
      <c r="A48" s="15"/>
      <c r="B48" s="5"/>
      <c r="C48" s="5"/>
      <c r="D48" s="5"/>
      <c r="E48" s="5"/>
      <c r="F48" s="5"/>
      <c r="G48" s="5" t="s">
        <v>48</v>
      </c>
      <c r="H48" s="2" t="s">
        <v>478</v>
      </c>
      <c r="J48" s="5">
        <v>12.51</v>
      </c>
      <c r="K48" s="5"/>
      <c r="L48" s="5"/>
      <c r="M48" s="5"/>
      <c r="N48" s="5"/>
      <c r="O48" s="5"/>
      <c r="P48" s="5"/>
      <c r="Q48" s="5"/>
      <c r="R48" s="5"/>
    </row>
    <row r="49" spans="1:18" x14ac:dyDescent="0.25">
      <c r="A49" s="15"/>
      <c r="B49" s="5"/>
      <c r="C49" s="5"/>
      <c r="D49" s="5"/>
      <c r="E49" s="5"/>
      <c r="F49" s="5"/>
      <c r="G49" s="5" t="s">
        <v>16</v>
      </c>
      <c r="H49" s="2" t="s">
        <v>478</v>
      </c>
      <c r="J49" s="5">
        <v>20.76</v>
      </c>
      <c r="K49" s="5"/>
      <c r="L49" s="5"/>
      <c r="M49" s="5"/>
      <c r="N49" s="5"/>
      <c r="O49" s="5"/>
      <c r="P49" s="5"/>
      <c r="Q49" s="5"/>
      <c r="R49" s="5"/>
    </row>
    <row r="50" spans="1:18" ht="15.75" thickBot="1" x14ac:dyDescent="0.3">
      <c r="A50" s="15"/>
      <c r="B50" s="5"/>
      <c r="C50" s="5"/>
      <c r="D50" s="5"/>
      <c r="E50" s="5"/>
      <c r="F50" s="5"/>
      <c r="G50" s="5" t="s">
        <v>236</v>
      </c>
      <c r="H50" s="2" t="s">
        <v>478</v>
      </c>
      <c r="J50" s="5">
        <v>7.96</v>
      </c>
      <c r="K50" s="5"/>
      <c r="L50" s="5"/>
      <c r="M50" s="5"/>
      <c r="N50" s="5"/>
      <c r="O50" s="5"/>
      <c r="P50" s="5"/>
      <c r="Q50" s="5"/>
      <c r="R50" s="5"/>
    </row>
    <row r="51" spans="1:18" ht="15.75" thickBot="1" x14ac:dyDescent="0.3">
      <c r="A51" s="8"/>
      <c r="B51" s="9"/>
      <c r="C51" s="9"/>
      <c r="D51" s="10"/>
      <c r="E51" s="5"/>
      <c r="F51" s="5"/>
      <c r="G51" s="5" t="s">
        <v>12</v>
      </c>
      <c r="H51" s="2" t="s">
        <v>480</v>
      </c>
      <c r="J51">
        <v>23.08</v>
      </c>
      <c r="K51" s="5"/>
      <c r="L51" s="5"/>
      <c r="M51" s="5"/>
      <c r="N51" s="5"/>
      <c r="O51" s="5"/>
      <c r="P51" s="5"/>
      <c r="Q51" s="5"/>
      <c r="R51" s="5"/>
    </row>
    <row r="52" spans="1:18" ht="24" x14ac:dyDescent="0.25">
      <c r="A52" s="20" t="s">
        <v>51</v>
      </c>
      <c r="B52" s="21" t="s">
        <v>52</v>
      </c>
      <c r="C52" s="21" t="s">
        <v>53</v>
      </c>
      <c r="D52" s="22" t="s">
        <v>54</v>
      </c>
      <c r="E52" s="5"/>
      <c r="F52" s="5"/>
      <c r="G52" s="5" t="s">
        <v>12</v>
      </c>
      <c r="H52" s="2" t="s">
        <v>481</v>
      </c>
      <c r="J52" s="5">
        <f>26.7-1.62</f>
        <v>25.08</v>
      </c>
      <c r="K52" s="38" t="s">
        <v>483</v>
      </c>
      <c r="L52" s="5"/>
      <c r="M52" s="5">
        <v>26.7</v>
      </c>
      <c r="N52" s="5"/>
      <c r="O52" s="5"/>
      <c r="P52" s="5"/>
      <c r="Q52" s="5"/>
      <c r="R52" s="5"/>
    </row>
    <row r="53" spans="1:18" x14ac:dyDescent="0.25">
      <c r="A53" s="34">
        <v>3450041444</v>
      </c>
      <c r="B53" s="33" t="s">
        <v>71</v>
      </c>
      <c r="C53" s="33" t="s">
        <v>47</v>
      </c>
      <c r="D53" s="35" t="s">
        <v>47</v>
      </c>
      <c r="E53" s="5"/>
      <c r="F53" s="5"/>
      <c r="G53" s="5" t="s">
        <v>26</v>
      </c>
      <c r="H53" s="2" t="s">
        <v>482</v>
      </c>
      <c r="J53">
        <f>7.38-1.87</f>
        <v>5.51</v>
      </c>
      <c r="K53" s="38" t="s">
        <v>486</v>
      </c>
      <c r="L53" s="5"/>
      <c r="M53" s="5">
        <v>7.38</v>
      </c>
      <c r="N53" s="5"/>
      <c r="O53" s="5"/>
      <c r="P53" s="5"/>
      <c r="Q53" s="5"/>
      <c r="R53" s="5"/>
    </row>
    <row r="54" spans="1:18" x14ac:dyDescent="0.25">
      <c r="A54" s="11">
        <v>4390750000073610</v>
      </c>
      <c r="B54" s="7" t="s">
        <v>66</v>
      </c>
      <c r="C54" s="7" t="s">
        <v>47</v>
      </c>
      <c r="D54" s="12" t="s">
        <v>67</v>
      </c>
      <c r="E54" s="5"/>
      <c r="F54" s="5"/>
      <c r="G54" s="5" t="s">
        <v>234</v>
      </c>
      <c r="H54" s="2" t="s">
        <v>482</v>
      </c>
      <c r="J54" s="5">
        <v>374</v>
      </c>
      <c r="K54" s="5"/>
      <c r="L54" s="5"/>
      <c r="M54" s="5"/>
      <c r="N54" s="5"/>
      <c r="O54" s="5"/>
      <c r="P54" s="5"/>
      <c r="Q54" s="5"/>
      <c r="R54" s="5"/>
    </row>
    <row r="55" spans="1:18" ht="15.75" thickBot="1" x14ac:dyDescent="0.3">
      <c r="A55" s="13" t="s">
        <v>5</v>
      </c>
      <c r="B55" s="14" t="s">
        <v>72</v>
      </c>
      <c r="C55" s="14" t="s">
        <v>47</v>
      </c>
      <c r="D55" s="19" t="s">
        <v>67</v>
      </c>
      <c r="E55" s="5"/>
      <c r="F55" s="5"/>
      <c r="G55" s="5" t="s">
        <v>36</v>
      </c>
      <c r="H55" s="2" t="s">
        <v>485</v>
      </c>
      <c r="J55" s="5">
        <v>6.47</v>
      </c>
      <c r="K55" s="5"/>
      <c r="L55" s="5"/>
      <c r="M55" s="5"/>
      <c r="N55" s="5"/>
      <c r="O55" s="5"/>
      <c r="P55" s="5"/>
    </row>
    <row r="56" spans="1:18" ht="15.75" thickBot="1" x14ac:dyDescent="0.3">
      <c r="A56" s="5"/>
      <c r="B56" s="5"/>
      <c r="C56" s="5"/>
      <c r="D56" s="5"/>
      <c r="E56" s="5"/>
      <c r="F56" s="5"/>
      <c r="G56" s="5" t="s">
        <v>26</v>
      </c>
      <c r="H56" s="2" t="s">
        <v>487</v>
      </c>
      <c r="J56" s="5">
        <v>7.56</v>
      </c>
      <c r="K56" s="5"/>
      <c r="L56" s="5"/>
      <c r="M56" s="5"/>
      <c r="N56" s="5"/>
      <c r="O56" s="5"/>
      <c r="P56" s="5"/>
    </row>
    <row r="57" spans="1:18" x14ac:dyDescent="0.25">
      <c r="A57" s="23"/>
      <c r="B57" s="24"/>
      <c r="C57" s="24"/>
      <c r="D57" s="25"/>
      <c r="E57" s="5"/>
      <c r="F57" s="5"/>
      <c r="G57" s="5" t="s">
        <v>491</v>
      </c>
      <c r="H57" s="2" t="s">
        <v>487</v>
      </c>
      <c r="J57" s="5">
        <v>146.9</v>
      </c>
      <c r="K57" s="5"/>
      <c r="L57" s="5"/>
      <c r="M57" s="5"/>
      <c r="N57" s="5"/>
      <c r="O57" s="5"/>
      <c r="P57" s="5"/>
    </row>
    <row r="58" spans="1:18" x14ac:dyDescent="0.25">
      <c r="A58" s="26"/>
      <c r="B58" s="27"/>
      <c r="C58" s="27"/>
      <c r="D58" s="28"/>
      <c r="E58" s="5"/>
      <c r="F58" s="5"/>
      <c r="G58" s="5" t="s">
        <v>495</v>
      </c>
      <c r="H58" s="2" t="s">
        <v>487</v>
      </c>
      <c r="J58" s="5">
        <v>9.9499999999999993</v>
      </c>
      <c r="K58" s="5"/>
      <c r="L58" s="5"/>
      <c r="M58" s="5"/>
      <c r="N58" s="5"/>
      <c r="O58" s="5"/>
      <c r="P58" s="5"/>
    </row>
    <row r="59" spans="1:18" ht="15.75" thickBot="1" x14ac:dyDescent="0.3">
      <c r="A59" s="5"/>
      <c r="B59" s="29"/>
      <c r="C59" s="29"/>
      <c r="D59" s="30"/>
      <c r="E59" s="5"/>
      <c r="F59" s="5"/>
      <c r="G59" s="5" t="s">
        <v>36</v>
      </c>
      <c r="H59" s="2" t="s">
        <v>487</v>
      </c>
      <c r="J59" s="5">
        <v>2</v>
      </c>
      <c r="K59" s="5"/>
      <c r="L59" s="5"/>
      <c r="M59" s="5"/>
      <c r="N59" s="5"/>
      <c r="O59" s="5"/>
      <c r="P59" s="5"/>
    </row>
    <row r="60" spans="1:18" x14ac:dyDescent="0.25">
      <c r="A60" s="31"/>
      <c r="B60" s="32"/>
      <c r="C60" s="32"/>
      <c r="D60" s="32"/>
      <c r="E60" s="5"/>
      <c r="F60" s="5"/>
      <c r="G60" s="5" t="s">
        <v>14</v>
      </c>
      <c r="H60" s="2" t="s">
        <v>487</v>
      </c>
      <c r="J60" s="5">
        <v>12.8</v>
      </c>
      <c r="K60" s="5"/>
      <c r="L60" s="5"/>
      <c r="M60" s="5"/>
      <c r="N60" s="5"/>
      <c r="O60" s="5"/>
      <c r="P60" s="5"/>
    </row>
    <row r="61" spans="1:18" ht="15.75" thickBot="1" x14ac:dyDescent="0.3">
      <c r="A61" s="31"/>
      <c r="B61" s="32"/>
      <c r="C61" s="32"/>
      <c r="D61" s="32"/>
      <c r="E61" s="5"/>
      <c r="F61" s="5"/>
      <c r="G61" s="5" t="s">
        <v>12</v>
      </c>
      <c r="H61" s="2" t="s">
        <v>492</v>
      </c>
      <c r="J61" s="5">
        <v>4.62</v>
      </c>
      <c r="K61" s="5"/>
      <c r="L61" s="5"/>
      <c r="M61" s="5"/>
      <c r="N61" s="5"/>
      <c r="O61" s="5"/>
      <c r="P61" s="5"/>
    </row>
    <row r="62" spans="1:18" x14ac:dyDescent="0.25">
      <c r="A62" s="23"/>
      <c r="B62" s="24"/>
      <c r="C62" s="24"/>
      <c r="D62" s="25"/>
      <c r="E62" s="5"/>
      <c r="F62" s="5"/>
      <c r="G62" s="5" t="s">
        <v>12</v>
      </c>
      <c r="H62" s="2" t="s">
        <v>492</v>
      </c>
      <c r="J62" s="5">
        <v>37.380000000000003</v>
      </c>
      <c r="K62" s="5"/>
      <c r="L62" s="5"/>
      <c r="M62" s="5"/>
      <c r="N62" s="5"/>
      <c r="O62" s="5"/>
      <c r="P62" s="5"/>
    </row>
    <row r="63" spans="1:18" x14ac:dyDescent="0.25">
      <c r="A63" s="26"/>
      <c r="B63" s="27"/>
      <c r="C63" s="27"/>
      <c r="D63" s="28"/>
      <c r="E63" s="5"/>
      <c r="F63" s="5"/>
      <c r="G63" s="5" t="s">
        <v>26</v>
      </c>
      <c r="H63" s="2" t="s">
        <v>496</v>
      </c>
      <c r="J63" s="5">
        <v>3.44</v>
      </c>
      <c r="K63" s="5"/>
      <c r="L63" s="5"/>
      <c r="M63" s="5"/>
      <c r="N63" s="5"/>
      <c r="O63" s="5"/>
      <c r="P63" s="5"/>
    </row>
    <row r="64" spans="1:18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</row>
    <row r="65" spans="1:16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</row>
    <row r="66" spans="1:16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</row>
    <row r="67" spans="1:16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</row>
    <row r="68" spans="1:16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</row>
    <row r="69" spans="1:16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</row>
    <row r="70" spans="1:16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</row>
    <row r="71" spans="1:16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</row>
    <row r="72" spans="1:16" x14ac:dyDescent="0.25">
      <c r="A72" s="5"/>
      <c r="B72" s="5"/>
      <c r="C72" s="5"/>
      <c r="D72" s="5"/>
      <c r="E72" s="5"/>
      <c r="F72" s="5"/>
      <c r="G72" s="5" t="s">
        <v>5</v>
      </c>
      <c r="H72" s="5"/>
      <c r="I72" s="5">
        <f>SUM(I35:I71)</f>
        <v>0</v>
      </c>
      <c r="J72" s="5"/>
      <c r="K72" s="5"/>
      <c r="L72" s="5"/>
      <c r="M72" s="5"/>
      <c r="N72" s="5"/>
      <c r="O72" s="5"/>
      <c r="P72" s="5"/>
    </row>
    <row r="73" spans="1:16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</row>
    <row r="74" spans="1:16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45"/>
  <sheetViews>
    <sheetView tabSelected="1" workbookViewId="0">
      <selection activeCell="E10" sqref="E10"/>
    </sheetView>
  </sheetViews>
  <sheetFormatPr defaultRowHeight="15" x14ac:dyDescent="0.25"/>
  <cols>
    <col min="1" max="1" width="21.28515625" customWidth="1"/>
    <col min="4" max="4" width="9.85546875" customWidth="1"/>
    <col min="7" max="7" width="13.42578125" customWidth="1"/>
    <col min="8" max="8" width="10.5703125" customWidth="1"/>
    <col min="10" max="10" width="14.85546875" bestFit="1" customWidth="1"/>
    <col min="11" max="11" width="10.42578125" customWidth="1"/>
    <col min="18" max="18" width="22" bestFit="1" customWidth="1"/>
    <col min="19" max="19" width="10.7109375" bestFit="1" customWidth="1"/>
    <col min="21" max="21" width="12.7109375" customWidth="1"/>
    <col min="23" max="23" width="13.28515625" customWidth="1"/>
  </cols>
  <sheetData>
    <row r="1" spans="1:25" s="5" customFormat="1" x14ac:dyDescent="0.25">
      <c r="A1" s="15" t="s">
        <v>477</v>
      </c>
      <c r="R1" t="s">
        <v>97</v>
      </c>
      <c r="U1" s="5">
        <f>1775.12-647.05-240</f>
        <v>888.06999999999994</v>
      </c>
      <c r="W1" s="5" t="s">
        <v>463</v>
      </c>
    </row>
    <row r="2" spans="1:25" x14ac:dyDescent="0.25">
      <c r="A2" s="4" t="s">
        <v>91</v>
      </c>
      <c r="B2" s="4">
        <v>2241.6799999999998</v>
      </c>
      <c r="C2" s="5"/>
      <c r="D2" s="5">
        <v>2241.6799999999998</v>
      </c>
      <c r="E2" s="5">
        <v>521.48</v>
      </c>
      <c r="F2" s="5" t="s">
        <v>489</v>
      </c>
      <c r="G2" s="5"/>
      <c r="J2" t="s">
        <v>96</v>
      </c>
      <c r="K2" s="5">
        <v>521.48</v>
      </c>
      <c r="R2" t="s">
        <v>103</v>
      </c>
      <c r="W2" s="5" t="s">
        <v>458</v>
      </c>
      <c r="X2" s="2" t="s">
        <v>459</v>
      </c>
      <c r="Y2" s="5">
        <v>31.85</v>
      </c>
    </row>
    <row r="3" spans="1:25" x14ac:dyDescent="0.25">
      <c r="A3" s="5"/>
      <c r="B3" s="5"/>
      <c r="C3" s="5"/>
      <c r="D3" s="5">
        <v>2320.14</v>
      </c>
      <c r="E3" s="5" t="s">
        <v>94</v>
      </c>
      <c r="F3" s="5"/>
      <c r="G3" s="5">
        <f>(2320.14*521.48)/2241.68</f>
        <v>539.73207915491957</v>
      </c>
      <c r="J3" t="s">
        <v>95</v>
      </c>
      <c r="K3">
        <v>1775.12</v>
      </c>
      <c r="R3" s="5" t="s">
        <v>7</v>
      </c>
      <c r="S3" s="5"/>
      <c r="T3" s="5">
        <v>541.41</v>
      </c>
      <c r="W3" s="5" t="s">
        <v>461</v>
      </c>
      <c r="X3" s="2" t="s">
        <v>459</v>
      </c>
      <c r="Y3" s="5">
        <v>9.9499999999999993</v>
      </c>
    </row>
    <row r="4" spans="1:25" x14ac:dyDescent="0.25">
      <c r="A4" s="15" t="s">
        <v>77</v>
      </c>
      <c r="B4" s="5"/>
      <c r="C4" s="5"/>
      <c r="D4" s="5"/>
      <c r="E4" s="5"/>
      <c r="F4" s="5"/>
      <c r="G4" s="5"/>
      <c r="H4" s="5"/>
      <c r="I4" s="5"/>
      <c r="J4" s="5">
        <f>2241.68-1775.12</f>
        <v>466.55999999999995</v>
      </c>
      <c r="K4" s="5"/>
      <c r="L4" s="5"/>
      <c r="M4" s="5"/>
      <c r="N4" s="5"/>
      <c r="O4" s="5"/>
      <c r="P4" s="5"/>
      <c r="Q4" s="5"/>
      <c r="R4" t="s">
        <v>105</v>
      </c>
      <c r="T4">
        <v>24.66</v>
      </c>
      <c r="W4" s="5" t="s">
        <v>462</v>
      </c>
      <c r="X4" s="2" t="s">
        <v>459</v>
      </c>
      <c r="Y4" s="5">
        <v>37.49</v>
      </c>
    </row>
    <row r="5" spans="1:25" x14ac:dyDescent="0.25">
      <c r="A5" s="15"/>
      <c r="B5" s="5"/>
      <c r="C5" s="5"/>
      <c r="D5" s="4" t="s">
        <v>488</v>
      </c>
      <c r="E5" s="4"/>
      <c r="F5" s="4">
        <f>2320.14-1775.12</f>
        <v>545.02</v>
      </c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 t="s">
        <v>17</v>
      </c>
      <c r="T5">
        <f>(T3+T2+T4)-S16</f>
        <v>66.069999999999936</v>
      </c>
      <c r="W5" s="5" t="s">
        <v>460</v>
      </c>
      <c r="X5" s="2" t="s">
        <v>459</v>
      </c>
      <c r="Y5" s="5">
        <v>61.97</v>
      </c>
    </row>
    <row r="6" spans="1:25" x14ac:dyDescent="0.25">
      <c r="A6" s="5" t="s">
        <v>10</v>
      </c>
      <c r="C6" s="5">
        <v>240</v>
      </c>
      <c r="D6" s="5"/>
      <c r="E6" s="5"/>
      <c r="F6" s="5"/>
      <c r="G6" s="5"/>
      <c r="H6" s="5"/>
      <c r="I6" s="5"/>
      <c r="J6" s="5" t="s">
        <v>24</v>
      </c>
      <c r="K6" s="5" t="s">
        <v>23</v>
      </c>
      <c r="L6" s="5" t="s">
        <v>25</v>
      </c>
      <c r="M6" s="5"/>
      <c r="N6" s="5"/>
      <c r="O6" s="5"/>
      <c r="P6" s="5"/>
      <c r="Q6" s="5"/>
      <c r="R6" t="s">
        <v>104</v>
      </c>
      <c r="T6">
        <v>240</v>
      </c>
      <c r="U6" t="s">
        <v>467</v>
      </c>
      <c r="W6" t="s">
        <v>495</v>
      </c>
      <c r="X6" s="2" t="s">
        <v>497</v>
      </c>
      <c r="Y6">
        <v>9.9499999999999993</v>
      </c>
    </row>
    <row r="7" spans="1:25" x14ac:dyDescent="0.25">
      <c r="A7" s="5" t="s">
        <v>114</v>
      </c>
      <c r="C7" s="5">
        <v>35</v>
      </c>
      <c r="D7" s="5"/>
      <c r="E7" s="5"/>
      <c r="F7" s="5"/>
      <c r="G7" s="5"/>
      <c r="H7" s="5">
        <f>1160.07*2</f>
        <v>2320.14</v>
      </c>
      <c r="I7" s="5"/>
      <c r="J7" s="5" t="s">
        <v>27</v>
      </c>
      <c r="K7" s="2" t="s">
        <v>496</v>
      </c>
      <c r="L7" s="5"/>
      <c r="M7">
        <f>62.96-2.94</f>
        <v>60.02</v>
      </c>
      <c r="N7" s="38" t="s">
        <v>498</v>
      </c>
      <c r="O7" s="5"/>
      <c r="Q7" s="5">
        <v>62.96</v>
      </c>
      <c r="R7" t="s">
        <v>98</v>
      </c>
      <c r="T7">
        <v>374</v>
      </c>
      <c r="U7" t="s">
        <v>464</v>
      </c>
      <c r="V7">
        <v>40</v>
      </c>
      <c r="W7" s="5" t="s">
        <v>502</v>
      </c>
      <c r="X7" s="2" t="s">
        <v>503</v>
      </c>
      <c r="Y7" s="5">
        <v>22.95</v>
      </c>
    </row>
    <row r="8" spans="1:25" x14ac:dyDescent="0.25">
      <c r="A8" s="5" t="s">
        <v>2</v>
      </c>
      <c r="C8" s="5">
        <v>50</v>
      </c>
      <c r="D8" s="5"/>
      <c r="E8" s="5"/>
      <c r="F8" s="5"/>
      <c r="G8" s="5"/>
      <c r="H8" s="5"/>
      <c r="I8" s="5"/>
      <c r="J8" s="5" t="s">
        <v>26</v>
      </c>
      <c r="K8" s="2" t="s">
        <v>496</v>
      </c>
      <c r="L8" s="5"/>
      <c r="M8" s="5">
        <f>3.44-1.73</f>
        <v>1.71</v>
      </c>
      <c r="N8" s="38" t="s">
        <v>387</v>
      </c>
      <c r="O8" s="5"/>
      <c r="P8" s="5"/>
      <c r="Q8" s="5">
        <v>3.44</v>
      </c>
      <c r="R8" t="s">
        <v>50</v>
      </c>
      <c r="S8">
        <v>0</v>
      </c>
      <c r="U8" t="s">
        <v>465</v>
      </c>
      <c r="V8">
        <v>118</v>
      </c>
    </row>
    <row r="9" spans="1:25" x14ac:dyDescent="0.25">
      <c r="A9" s="5" t="s">
        <v>0</v>
      </c>
      <c r="C9" s="5">
        <v>80</v>
      </c>
      <c r="D9" s="5"/>
      <c r="E9" s="5"/>
      <c r="F9" s="5"/>
      <c r="G9" s="5"/>
      <c r="H9" s="5"/>
      <c r="I9" s="5"/>
      <c r="J9" s="5" t="s">
        <v>12</v>
      </c>
      <c r="K9" s="2" t="s">
        <v>497</v>
      </c>
      <c r="M9" s="5">
        <v>24.66</v>
      </c>
      <c r="N9" s="5"/>
      <c r="O9" s="5"/>
      <c r="P9" s="5"/>
      <c r="Q9" s="5"/>
      <c r="R9" t="s">
        <v>504</v>
      </c>
      <c r="T9">
        <v>40</v>
      </c>
      <c r="U9" t="s">
        <v>466</v>
      </c>
      <c r="V9">
        <v>44</v>
      </c>
    </row>
    <row r="10" spans="1:25" x14ac:dyDescent="0.25">
      <c r="A10" s="5" t="s">
        <v>8</v>
      </c>
      <c r="C10" s="5">
        <v>35</v>
      </c>
      <c r="D10" s="5"/>
      <c r="E10" s="4" t="s">
        <v>514</v>
      </c>
      <c r="F10" s="4"/>
      <c r="G10" s="4">
        <f>T5+H25+E33</f>
        <v>562.44999999999993</v>
      </c>
      <c r="H10" s="5"/>
      <c r="I10" s="5"/>
      <c r="J10" s="5" t="s">
        <v>36</v>
      </c>
      <c r="K10" s="2" t="s">
        <v>487</v>
      </c>
      <c r="M10" s="5">
        <v>6.47</v>
      </c>
      <c r="N10" s="5"/>
      <c r="O10" s="5"/>
      <c r="P10" s="5"/>
      <c r="Q10" s="5"/>
      <c r="R10" t="s">
        <v>100</v>
      </c>
      <c r="T10">
        <v>126</v>
      </c>
      <c r="U10" t="s">
        <v>513</v>
      </c>
      <c r="V10">
        <f>43*4</f>
        <v>172</v>
      </c>
    </row>
    <row r="11" spans="1:25" x14ac:dyDescent="0.25">
      <c r="A11" s="5" t="s">
        <v>1</v>
      </c>
      <c r="B11" s="5">
        <v>7</v>
      </c>
      <c r="D11" s="5"/>
      <c r="E11" s="5"/>
      <c r="F11" s="5"/>
      <c r="G11" s="5"/>
      <c r="H11" s="5"/>
      <c r="I11" s="5"/>
      <c r="J11" s="5" t="s">
        <v>26</v>
      </c>
      <c r="K11" s="2" t="s">
        <v>505</v>
      </c>
      <c r="M11" s="5">
        <v>9.27</v>
      </c>
      <c r="N11" s="5"/>
      <c r="O11" s="5"/>
      <c r="P11" s="5"/>
      <c r="Q11" s="5"/>
      <c r="R11" t="s">
        <v>102</v>
      </c>
      <c r="T11" s="38"/>
      <c r="V11">
        <f>SUM(V7:V10)</f>
        <v>374</v>
      </c>
      <c r="W11">
        <v>53.98</v>
      </c>
      <c r="X11" t="s">
        <v>499</v>
      </c>
    </row>
    <row r="12" spans="1:25" x14ac:dyDescent="0.25">
      <c r="A12" s="5" t="s">
        <v>4</v>
      </c>
      <c r="C12" s="5">
        <v>250</v>
      </c>
      <c r="D12" s="5"/>
      <c r="E12" s="5"/>
      <c r="F12" s="5"/>
      <c r="G12" s="5"/>
      <c r="H12" s="5"/>
      <c r="I12" s="5"/>
      <c r="J12" s="5" t="s">
        <v>12</v>
      </c>
      <c r="K12" s="2" t="s">
        <v>503</v>
      </c>
      <c r="M12" s="5">
        <v>44.28</v>
      </c>
      <c r="N12" s="5"/>
      <c r="O12" s="5"/>
      <c r="P12" s="5"/>
      <c r="Q12" s="5"/>
    </row>
    <row r="13" spans="1:25" x14ac:dyDescent="0.25">
      <c r="A13" s="5" t="s">
        <v>9</v>
      </c>
      <c r="B13" s="5">
        <v>0</v>
      </c>
      <c r="D13" s="5"/>
      <c r="E13" s="5"/>
      <c r="F13" s="5"/>
      <c r="G13" s="5"/>
      <c r="H13" s="5"/>
      <c r="I13" s="5"/>
      <c r="J13" s="5" t="s">
        <v>36</v>
      </c>
      <c r="K13" s="2" t="s">
        <v>503</v>
      </c>
      <c r="M13" s="5">
        <v>7.88</v>
      </c>
      <c r="N13" s="5"/>
      <c r="O13" s="5"/>
      <c r="P13" s="5"/>
      <c r="Q13" s="5"/>
      <c r="R13" t="s">
        <v>450</v>
      </c>
      <c r="S13">
        <v>500</v>
      </c>
    </row>
    <row r="14" spans="1:25" x14ac:dyDescent="0.25">
      <c r="A14" s="5" t="s">
        <v>115</v>
      </c>
      <c r="B14" s="5">
        <v>0</v>
      </c>
      <c r="D14" s="5"/>
      <c r="E14" s="5"/>
      <c r="F14" s="5"/>
      <c r="G14" s="5"/>
      <c r="H14" s="5"/>
      <c r="I14" s="5"/>
      <c r="J14" s="5" t="s">
        <v>13</v>
      </c>
      <c r="K14" s="2" t="s">
        <v>503</v>
      </c>
      <c r="M14" s="5">
        <f>10.98-3.1</f>
        <v>7.8800000000000008</v>
      </c>
      <c r="N14" s="38" t="s">
        <v>508</v>
      </c>
      <c r="O14" s="5"/>
      <c r="P14" s="5"/>
      <c r="Q14" s="5">
        <v>10.98</v>
      </c>
      <c r="R14" t="s">
        <v>493</v>
      </c>
      <c r="S14">
        <v>0</v>
      </c>
      <c r="T14">
        <v>647.04999999999995</v>
      </c>
    </row>
    <row r="15" spans="1:25" x14ac:dyDescent="0.25">
      <c r="A15" s="5" t="s">
        <v>37</v>
      </c>
      <c r="C15">
        <v>10</v>
      </c>
      <c r="D15" s="5"/>
      <c r="E15" s="5"/>
      <c r="F15" s="5"/>
      <c r="G15" s="5"/>
      <c r="H15" s="5"/>
      <c r="I15" s="5"/>
      <c r="J15" s="5" t="s">
        <v>161</v>
      </c>
      <c r="K15" s="2" t="s">
        <v>506</v>
      </c>
      <c r="M15" s="5">
        <v>24.13</v>
      </c>
      <c r="N15" s="5"/>
      <c r="O15" s="5"/>
      <c r="P15" s="5"/>
      <c r="Q15" s="5"/>
      <c r="R15" t="s">
        <v>476</v>
      </c>
      <c r="T15">
        <v>700</v>
      </c>
    </row>
    <row r="16" spans="1:25" x14ac:dyDescent="0.25">
      <c r="A16" s="5" t="s">
        <v>371</v>
      </c>
      <c r="C16">
        <v>25</v>
      </c>
      <c r="D16" s="5"/>
      <c r="E16" s="5"/>
      <c r="F16" s="5"/>
      <c r="G16" s="5"/>
      <c r="H16" s="5"/>
      <c r="I16" s="5"/>
      <c r="J16" t="s">
        <v>26</v>
      </c>
      <c r="K16" s="2" t="s">
        <v>509</v>
      </c>
      <c r="L16">
        <v>13.81</v>
      </c>
      <c r="M16" s="5"/>
      <c r="N16" s="5"/>
      <c r="O16" s="5"/>
      <c r="P16" s="5"/>
      <c r="Q16" s="5"/>
      <c r="R16" t="s">
        <v>101</v>
      </c>
      <c r="S16">
        <f>SUM(S6:S15)</f>
        <v>500</v>
      </c>
    </row>
    <row r="17" spans="1:23" x14ac:dyDescent="0.25">
      <c r="A17" s="5" t="s">
        <v>448</v>
      </c>
      <c r="B17">
        <v>120</v>
      </c>
      <c r="D17" s="5"/>
      <c r="E17" s="5"/>
      <c r="F17" s="5"/>
      <c r="G17" s="5"/>
      <c r="H17" s="5"/>
      <c r="I17" s="5"/>
      <c r="J17" s="5" t="s">
        <v>36</v>
      </c>
      <c r="K17" s="2" t="s">
        <v>509</v>
      </c>
      <c r="L17" s="5">
        <v>11.98</v>
      </c>
      <c r="M17" s="5"/>
      <c r="N17" s="5"/>
      <c r="O17" s="5"/>
      <c r="P17" s="5"/>
      <c r="Q17" s="5"/>
      <c r="R17" s="5"/>
    </row>
    <row r="18" spans="1:23" x14ac:dyDescent="0.25">
      <c r="A18" s="5" t="s">
        <v>500</v>
      </c>
      <c r="B18">
        <v>100</v>
      </c>
      <c r="C18" s="5"/>
      <c r="D18" s="5"/>
      <c r="E18" s="5"/>
      <c r="F18" s="5"/>
      <c r="G18" s="5"/>
      <c r="H18" s="5"/>
      <c r="I18" s="5"/>
      <c r="J18" s="5" t="s">
        <v>510</v>
      </c>
      <c r="K18" s="2" t="s">
        <v>509</v>
      </c>
      <c r="M18" s="5">
        <v>31.09</v>
      </c>
      <c r="N18" s="5"/>
      <c r="O18" s="5"/>
      <c r="P18" s="5"/>
      <c r="Q18" s="5"/>
      <c r="R18" s="5"/>
      <c r="S18" s="2"/>
      <c r="U18" s="5">
        <v>44.64</v>
      </c>
    </row>
    <row r="19" spans="1:23" x14ac:dyDescent="0.25">
      <c r="A19" t="s">
        <v>501</v>
      </c>
      <c r="C19">
        <v>100</v>
      </c>
      <c r="D19" s="5"/>
      <c r="E19" s="5"/>
      <c r="F19" s="5" t="s">
        <v>494</v>
      </c>
      <c r="G19" s="5"/>
      <c r="H19" s="5">
        <v>108.58</v>
      </c>
      <c r="I19" s="5"/>
      <c r="J19" s="5" t="s">
        <v>258</v>
      </c>
      <c r="K19" s="2" t="s">
        <v>511</v>
      </c>
      <c r="M19" s="5">
        <v>48.84</v>
      </c>
      <c r="N19" s="5"/>
      <c r="O19" s="5"/>
      <c r="P19" s="5"/>
      <c r="Q19" s="5"/>
      <c r="R19" s="5"/>
      <c r="S19" s="2"/>
      <c r="U19" s="5">
        <v>21.72</v>
      </c>
      <c r="V19" s="5"/>
    </row>
    <row r="20" spans="1:23" x14ac:dyDescent="0.25">
      <c r="A20" s="15"/>
      <c r="B20" s="5"/>
      <c r="C20" s="5"/>
      <c r="D20" s="5"/>
      <c r="E20" s="5"/>
      <c r="F20" s="5" t="s">
        <v>7</v>
      </c>
      <c r="G20" s="5"/>
      <c r="H20" s="5">
        <v>1027.25</v>
      </c>
      <c r="I20" s="5"/>
      <c r="J20" s="5" t="s">
        <v>14</v>
      </c>
      <c r="K20" s="2" t="s">
        <v>511</v>
      </c>
      <c r="L20" s="5">
        <v>75.709999999999994</v>
      </c>
      <c r="M20" s="5"/>
      <c r="N20" s="5"/>
      <c r="O20" s="5"/>
      <c r="P20" s="5"/>
      <c r="Q20" s="5"/>
      <c r="R20" s="5"/>
      <c r="S20" s="2"/>
      <c r="U20" s="5">
        <v>42.73</v>
      </c>
    </row>
    <row r="21" spans="1:23" x14ac:dyDescent="0.25">
      <c r="A21" s="15"/>
      <c r="B21" s="5"/>
      <c r="C21" s="5"/>
      <c r="D21" s="5"/>
      <c r="E21" s="5"/>
      <c r="F21" s="5" t="s">
        <v>20</v>
      </c>
      <c r="G21" s="5"/>
      <c r="H21" s="5">
        <v>60</v>
      </c>
      <c r="I21" s="5"/>
      <c r="J21" s="5" t="s">
        <v>36</v>
      </c>
      <c r="K21" s="2" t="s">
        <v>492</v>
      </c>
      <c r="L21" s="5"/>
      <c r="M21" s="5"/>
      <c r="N21" s="5"/>
      <c r="O21" s="5"/>
      <c r="P21" s="5"/>
      <c r="Q21" s="5"/>
      <c r="R21" s="5"/>
      <c r="S21" s="2"/>
      <c r="U21" s="5">
        <v>11.84</v>
      </c>
    </row>
    <row r="22" spans="1:23" x14ac:dyDescent="0.25">
      <c r="A22" s="15"/>
      <c r="B22" s="5"/>
      <c r="C22" s="5"/>
      <c r="D22" s="5"/>
      <c r="E22" s="5"/>
      <c r="F22" s="5" t="s">
        <v>484</v>
      </c>
      <c r="G22" s="5"/>
      <c r="H22" s="5">
        <v>5</v>
      </c>
      <c r="I22" s="5"/>
      <c r="J22" s="5" t="s">
        <v>161</v>
      </c>
      <c r="K22" s="2" t="s">
        <v>492</v>
      </c>
      <c r="M22" s="5"/>
      <c r="N22" s="5"/>
      <c r="O22" s="5"/>
      <c r="P22" s="5"/>
      <c r="Q22" s="5"/>
      <c r="R22" s="5"/>
      <c r="S22" s="2"/>
      <c r="U22" s="5">
        <v>39.99</v>
      </c>
    </row>
    <row r="23" spans="1:23" x14ac:dyDescent="0.25">
      <c r="D23" s="5"/>
      <c r="E23" s="5"/>
      <c r="F23" s="15" t="s">
        <v>507</v>
      </c>
      <c r="H23">
        <v>0</v>
      </c>
      <c r="I23" s="5"/>
      <c r="J23" s="5" t="s">
        <v>258</v>
      </c>
      <c r="K23" s="2" t="s">
        <v>492</v>
      </c>
      <c r="L23" s="5"/>
      <c r="M23" s="5"/>
      <c r="N23" s="5"/>
      <c r="O23" s="5"/>
      <c r="P23" s="5"/>
      <c r="Q23" s="5"/>
      <c r="R23" s="5"/>
      <c r="S23" s="2"/>
      <c r="U23" s="5">
        <v>8.9700000000000006</v>
      </c>
    </row>
    <row r="24" spans="1:23" x14ac:dyDescent="0.25">
      <c r="A24" s="15"/>
      <c r="B24" s="5"/>
      <c r="C24" s="5"/>
      <c r="D24" s="5"/>
      <c r="E24" s="5"/>
      <c r="F24" s="5" t="s">
        <v>5</v>
      </c>
      <c r="G24" s="5"/>
      <c r="H24" s="5">
        <f>SUM(H19:H23)</f>
        <v>1200.83</v>
      </c>
      <c r="I24" s="5"/>
      <c r="J24" s="5"/>
      <c r="K24" s="2"/>
      <c r="L24" s="5"/>
      <c r="M24" s="5"/>
      <c r="N24" s="5"/>
      <c r="O24" s="5"/>
      <c r="P24" s="5"/>
      <c r="Q24" s="5"/>
      <c r="R24" s="5"/>
      <c r="S24" s="2"/>
      <c r="U24" s="5">
        <v>4.17</v>
      </c>
    </row>
    <row r="25" spans="1:23" x14ac:dyDescent="0.25">
      <c r="A25" s="15" t="s">
        <v>5</v>
      </c>
      <c r="B25" s="5">
        <f>SUM(B6:B24)</f>
        <v>227</v>
      </c>
      <c r="C25" s="5"/>
      <c r="D25" s="5"/>
      <c r="E25" s="5"/>
      <c r="F25" s="5" t="s">
        <v>512</v>
      </c>
      <c r="G25" s="5"/>
      <c r="H25" s="5">
        <f>H24-B25-L35-S16</f>
        <v>372.32999999999993</v>
      </c>
      <c r="I25" s="5"/>
      <c r="J25" s="5"/>
      <c r="K25" s="2"/>
      <c r="L25" s="5"/>
      <c r="M25" s="5"/>
      <c r="N25" s="5"/>
      <c r="O25" s="5"/>
      <c r="Q25" s="5"/>
      <c r="R25" s="5"/>
      <c r="S25" s="2"/>
      <c r="U25" s="5">
        <v>5</v>
      </c>
    </row>
    <row r="26" spans="1:23" x14ac:dyDescent="0.25">
      <c r="A26" s="15"/>
      <c r="B26" s="5"/>
      <c r="C26" s="5"/>
      <c r="D26" s="5"/>
      <c r="E26" s="5"/>
      <c r="F26" s="5"/>
      <c r="G26" s="5"/>
      <c r="H26" s="5"/>
      <c r="I26" s="5"/>
      <c r="J26" s="5"/>
      <c r="K26" s="2"/>
      <c r="L26" s="5"/>
      <c r="M26" s="5"/>
      <c r="N26" s="5"/>
      <c r="O26" s="5"/>
      <c r="P26" s="5"/>
      <c r="Q26" s="5"/>
      <c r="R26" s="5"/>
      <c r="S26" s="2"/>
      <c r="U26" s="5">
        <v>9.98</v>
      </c>
    </row>
    <row r="27" spans="1:23" x14ac:dyDescent="0.25">
      <c r="A27" s="15" t="s">
        <v>469</v>
      </c>
      <c r="B27" s="5"/>
      <c r="C27" s="5"/>
      <c r="D27" s="5"/>
      <c r="E27" s="5"/>
      <c r="F27" s="5"/>
      <c r="G27" s="5"/>
      <c r="H27" s="5"/>
      <c r="I27" s="5"/>
      <c r="M27" s="5"/>
      <c r="N27" s="5"/>
      <c r="O27" s="5"/>
      <c r="P27" s="5"/>
      <c r="Q27" s="5"/>
      <c r="R27" s="5"/>
      <c r="S27" s="2"/>
      <c r="U27" s="5">
        <v>10.98</v>
      </c>
    </row>
    <row r="28" spans="1:23" x14ac:dyDescent="0.25">
      <c r="A28" s="15" t="s">
        <v>6</v>
      </c>
      <c r="B28" s="5"/>
      <c r="C28" s="5">
        <v>0</v>
      </c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2"/>
      <c r="U28" s="5">
        <v>21.3</v>
      </c>
    </row>
    <row r="29" spans="1:23" x14ac:dyDescent="0.25">
      <c r="A29" s="15" t="s">
        <v>7</v>
      </c>
      <c r="B29" s="5"/>
      <c r="C29" s="5">
        <v>540.32000000000005</v>
      </c>
      <c r="D29" s="5"/>
      <c r="E29" s="5"/>
      <c r="F29" s="5"/>
      <c r="G29" s="5" t="s">
        <v>68</v>
      </c>
      <c r="H29" s="5">
        <f>2.4+0.6+2.4+0.6</f>
        <v>6</v>
      </c>
      <c r="I29" s="5"/>
      <c r="J29" s="5"/>
      <c r="K29" s="5"/>
      <c r="L29" s="5"/>
      <c r="M29" s="5"/>
      <c r="N29" s="5"/>
      <c r="O29" s="5"/>
      <c r="P29" s="5"/>
      <c r="Q29" s="5"/>
      <c r="R29" s="5"/>
      <c r="S29" s="2"/>
      <c r="U29">
        <v>13.65</v>
      </c>
    </row>
    <row r="30" spans="1:23" x14ac:dyDescent="0.25">
      <c r="A30" s="15" t="s">
        <v>20</v>
      </c>
      <c r="B30" s="5"/>
      <c r="C30" s="5">
        <v>0</v>
      </c>
      <c r="D30" s="5"/>
      <c r="E30" s="5"/>
      <c r="F30" s="5"/>
      <c r="G30" s="5" t="s">
        <v>69</v>
      </c>
      <c r="H30" s="5">
        <f>6.8+1.7</f>
        <v>8.5</v>
      </c>
      <c r="I30" s="5"/>
      <c r="J30" s="5"/>
      <c r="K30" s="5"/>
      <c r="L30" s="5"/>
      <c r="M30" s="2"/>
      <c r="N30" s="5"/>
      <c r="O30" s="5"/>
      <c r="P30" s="5"/>
      <c r="Q30" s="5"/>
      <c r="R30" s="5"/>
      <c r="S30" s="2"/>
      <c r="U30">
        <v>17.739999999999998</v>
      </c>
    </row>
    <row r="31" spans="1:23" x14ac:dyDescent="0.25">
      <c r="A31" s="5" t="s">
        <v>430</v>
      </c>
      <c r="B31" s="5"/>
      <c r="C31" s="5">
        <v>0</v>
      </c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2"/>
      <c r="U31">
        <v>25.93</v>
      </c>
    </row>
    <row r="32" spans="1:23" x14ac:dyDescent="0.25">
      <c r="A32" s="15" t="s">
        <v>138</v>
      </c>
      <c r="B32" s="5"/>
      <c r="C32" s="5">
        <v>37</v>
      </c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2"/>
      <c r="U32">
        <v>3.2</v>
      </c>
      <c r="V32" t="s">
        <v>112</v>
      </c>
      <c r="W32">
        <v>8.6999999999999993</v>
      </c>
    </row>
    <row r="33" spans="1:21" x14ac:dyDescent="0.25">
      <c r="A33" s="15" t="s">
        <v>5</v>
      </c>
      <c r="B33" s="5"/>
      <c r="C33" s="5">
        <f>SUM(C28:C32)</f>
        <v>577.32000000000005</v>
      </c>
      <c r="D33" s="5" t="s">
        <v>17</v>
      </c>
      <c r="E33" s="5">
        <f>C33-B47-I81</f>
        <v>124.05000000000007</v>
      </c>
      <c r="F33" s="5"/>
      <c r="G33" s="5"/>
      <c r="H33" s="5"/>
      <c r="I33" s="5"/>
      <c r="J33" s="5"/>
      <c r="K33" s="5"/>
      <c r="L33" s="5"/>
      <c r="M33" s="2"/>
      <c r="N33" s="5"/>
      <c r="O33" s="5"/>
      <c r="P33" s="5"/>
      <c r="Q33" s="5"/>
      <c r="S33" s="2"/>
      <c r="U33">
        <v>17.52</v>
      </c>
    </row>
    <row r="34" spans="1:21" x14ac:dyDescent="0.25">
      <c r="A34" s="1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2"/>
      <c r="O34" s="5"/>
      <c r="P34" s="5"/>
      <c r="Q34" s="5"/>
      <c r="R34" s="5"/>
      <c r="S34" s="2"/>
      <c r="U34">
        <v>39.35</v>
      </c>
    </row>
    <row r="35" spans="1:21" x14ac:dyDescent="0.25">
      <c r="A35" s="15" t="s">
        <v>18</v>
      </c>
      <c r="B35" s="5"/>
      <c r="C35" s="5"/>
      <c r="D35" s="5"/>
      <c r="E35" s="5"/>
      <c r="F35" s="5"/>
      <c r="G35" s="5"/>
      <c r="H35" s="5"/>
      <c r="I35" s="5"/>
      <c r="J35" s="5"/>
      <c r="K35" s="5" t="s">
        <v>5</v>
      </c>
      <c r="L35" s="5">
        <f>SUM(L7:L34)</f>
        <v>101.5</v>
      </c>
      <c r="M35" s="5"/>
      <c r="N35" s="2"/>
      <c r="O35" s="5"/>
      <c r="P35" s="5"/>
      <c r="Q35" s="5"/>
      <c r="R35" s="5"/>
      <c r="S35" s="2"/>
      <c r="U35">
        <v>18.5</v>
      </c>
    </row>
    <row r="36" spans="1:21" x14ac:dyDescent="0.25">
      <c r="A36" s="15"/>
      <c r="B36" s="5"/>
      <c r="C36" s="5"/>
      <c r="D36" s="5"/>
      <c r="E36" s="5"/>
      <c r="F36" s="5"/>
      <c r="G36" s="5" t="s">
        <v>24</v>
      </c>
      <c r="H36" s="5" t="s">
        <v>23</v>
      </c>
      <c r="I36" s="5" t="s">
        <v>25</v>
      </c>
      <c r="J36" s="5"/>
      <c r="K36" s="5"/>
      <c r="L36" s="5"/>
      <c r="M36" s="5"/>
      <c r="N36" s="5"/>
      <c r="O36" s="5"/>
      <c r="P36" s="5"/>
      <c r="Q36" s="5"/>
      <c r="R36" s="5"/>
      <c r="S36" s="2"/>
      <c r="U36">
        <v>7.49</v>
      </c>
    </row>
    <row r="37" spans="1:21" x14ac:dyDescent="0.25">
      <c r="A37" s="15" t="s">
        <v>1</v>
      </c>
      <c r="B37" s="5">
        <v>40</v>
      </c>
      <c r="C37" s="5"/>
      <c r="D37" s="5"/>
      <c r="E37" s="5"/>
      <c r="F37" s="5"/>
      <c r="G37" s="5" t="s">
        <v>78</v>
      </c>
      <c r="H37" s="2" t="s">
        <v>79</v>
      </c>
      <c r="I37" s="5"/>
      <c r="J37" s="5"/>
      <c r="K37" s="5"/>
      <c r="L37" s="5"/>
      <c r="M37" s="5"/>
      <c r="N37" s="5"/>
      <c r="O37" s="5"/>
      <c r="P37" s="5"/>
      <c r="Q37" s="5"/>
      <c r="R37" s="5"/>
      <c r="S37" s="2"/>
      <c r="U37">
        <v>4.4000000000000004</v>
      </c>
    </row>
    <row r="38" spans="1:21" x14ac:dyDescent="0.25">
      <c r="A38" s="15" t="s">
        <v>3</v>
      </c>
      <c r="B38" s="5">
        <v>20.76</v>
      </c>
      <c r="D38" s="5"/>
      <c r="E38" s="5"/>
      <c r="F38" s="5"/>
      <c r="G38" s="5" t="s">
        <v>44</v>
      </c>
      <c r="H38" s="2" t="s">
        <v>79</v>
      </c>
      <c r="I38" s="5"/>
      <c r="J38" s="5">
        <v>61.74</v>
      </c>
      <c r="K38" s="5"/>
      <c r="L38" s="5"/>
      <c r="M38" s="5"/>
      <c r="N38" s="5"/>
      <c r="O38" s="5"/>
      <c r="P38" s="5"/>
      <c r="Q38" s="5"/>
      <c r="R38" s="5"/>
      <c r="S38" s="2"/>
      <c r="U38">
        <v>40</v>
      </c>
    </row>
    <row r="39" spans="1:21" x14ac:dyDescent="0.25">
      <c r="A39" s="15" t="s">
        <v>4</v>
      </c>
      <c r="B39" s="5">
        <v>250</v>
      </c>
      <c r="D39" s="5"/>
      <c r="E39" s="5" t="s">
        <v>81</v>
      </c>
      <c r="F39" s="5"/>
      <c r="G39" s="5" t="s">
        <v>44</v>
      </c>
      <c r="H39" s="2" t="s">
        <v>79</v>
      </c>
      <c r="I39" s="5"/>
      <c r="J39" s="5"/>
      <c r="K39" s="5" t="s">
        <v>80</v>
      </c>
      <c r="L39" s="5">
        <v>21.99</v>
      </c>
      <c r="M39" s="5"/>
      <c r="N39" s="5"/>
      <c r="O39" s="5"/>
      <c r="P39" s="5"/>
      <c r="Q39" s="5"/>
      <c r="R39" s="5"/>
      <c r="S39" s="2"/>
      <c r="U39">
        <v>9.3800000000000008</v>
      </c>
    </row>
    <row r="40" spans="1:21" x14ac:dyDescent="0.25">
      <c r="A40" s="15" t="s">
        <v>37</v>
      </c>
      <c r="B40" s="5">
        <v>20</v>
      </c>
      <c r="C40" s="5"/>
      <c r="D40" s="5"/>
      <c r="E40" s="5"/>
      <c r="F40" s="5"/>
      <c r="G40" s="5" t="s">
        <v>43</v>
      </c>
      <c r="H40" s="2" t="s">
        <v>79</v>
      </c>
      <c r="I40" s="5"/>
      <c r="J40" s="5"/>
      <c r="K40" s="5"/>
      <c r="L40" s="5"/>
      <c r="M40" s="5"/>
      <c r="N40" s="5"/>
      <c r="O40" s="5"/>
      <c r="P40" s="5"/>
      <c r="Q40" s="5"/>
      <c r="R40" s="5"/>
    </row>
    <row r="41" spans="1:21" x14ac:dyDescent="0.25">
      <c r="A41" s="15" t="s">
        <v>128</v>
      </c>
      <c r="B41" s="5">
        <v>10</v>
      </c>
      <c r="D41" s="2"/>
      <c r="E41" s="5"/>
      <c r="F41" s="5"/>
      <c r="G41" s="5" t="s">
        <v>26</v>
      </c>
      <c r="H41" s="2" t="s">
        <v>79</v>
      </c>
      <c r="I41" s="5"/>
      <c r="J41" s="5"/>
      <c r="K41" s="5"/>
      <c r="L41" s="5"/>
      <c r="M41" s="5"/>
      <c r="N41" s="5"/>
      <c r="O41" s="5"/>
      <c r="P41" s="5"/>
      <c r="Q41" s="5"/>
      <c r="R41" s="5"/>
    </row>
    <row r="42" spans="1:21" x14ac:dyDescent="0.25">
      <c r="A42" s="5" t="s">
        <v>449</v>
      </c>
      <c r="C42" s="5"/>
      <c r="D42" s="5"/>
      <c r="E42" s="5"/>
      <c r="F42" s="5"/>
      <c r="G42" s="5" t="s">
        <v>46</v>
      </c>
      <c r="H42" s="2" t="s">
        <v>82</v>
      </c>
      <c r="I42" s="5"/>
      <c r="J42" s="5"/>
      <c r="K42" s="5"/>
      <c r="L42" s="5"/>
      <c r="M42" s="5"/>
      <c r="N42" s="5"/>
      <c r="O42" s="5"/>
      <c r="P42" s="5"/>
      <c r="Q42" s="5"/>
    </row>
    <row r="43" spans="1:21" x14ac:dyDescent="0.25">
      <c r="A43" s="5" t="s">
        <v>48</v>
      </c>
      <c r="B43" s="5">
        <v>12.51</v>
      </c>
      <c r="D43" s="5"/>
      <c r="E43" s="5"/>
      <c r="F43" s="5"/>
      <c r="G43" s="5" t="s">
        <v>36</v>
      </c>
      <c r="H43" s="2" t="s">
        <v>83</v>
      </c>
      <c r="I43" s="5"/>
      <c r="J43" s="5"/>
      <c r="K43" s="5"/>
      <c r="L43" s="5"/>
      <c r="M43" s="5"/>
      <c r="N43" s="5"/>
      <c r="O43" s="5"/>
      <c r="P43" s="5"/>
      <c r="Q43" s="5"/>
      <c r="R43" s="5"/>
    </row>
    <row r="44" spans="1:21" x14ac:dyDescent="0.25">
      <c r="A44" s="5" t="s">
        <v>144</v>
      </c>
      <c r="B44" s="5">
        <v>0</v>
      </c>
      <c r="D44" s="5"/>
      <c r="E44" s="5" t="s">
        <v>70</v>
      </c>
      <c r="F44" s="5"/>
      <c r="G44" s="5" t="s">
        <v>14</v>
      </c>
      <c r="H44" s="2" t="s">
        <v>83</v>
      </c>
      <c r="I44" s="5"/>
      <c r="J44" s="5"/>
      <c r="K44" s="5"/>
      <c r="L44" s="5"/>
      <c r="M44" s="5"/>
      <c r="N44" s="5"/>
      <c r="O44" s="5"/>
      <c r="P44" s="5"/>
      <c r="Q44" s="5"/>
      <c r="R44" s="5"/>
    </row>
    <row r="45" spans="1:21" x14ac:dyDescent="0.25">
      <c r="A45" s="5" t="s">
        <v>490</v>
      </c>
      <c r="B45" s="5">
        <v>100</v>
      </c>
      <c r="D45" s="5"/>
      <c r="E45" s="5" t="s">
        <v>74</v>
      </c>
      <c r="F45" s="5"/>
      <c r="G45" s="5" t="s">
        <v>84</v>
      </c>
      <c r="H45" s="2" t="s">
        <v>83</v>
      </c>
      <c r="I45" s="5"/>
      <c r="J45" s="5"/>
      <c r="K45" s="5" t="s">
        <v>73</v>
      </c>
      <c r="L45" s="5">
        <v>9.93</v>
      </c>
      <c r="M45" s="5"/>
      <c r="N45" s="5"/>
      <c r="O45" s="5"/>
      <c r="P45" s="5"/>
      <c r="Q45" s="5"/>
      <c r="R45" s="5" t="s">
        <v>22</v>
      </c>
      <c r="T45">
        <f>SUM(T18:T41)</f>
        <v>0</v>
      </c>
    </row>
    <row r="46" spans="1:21" x14ac:dyDescent="0.25">
      <c r="A46" s="15"/>
      <c r="C46" s="5"/>
      <c r="D46" s="5"/>
      <c r="E46" s="5"/>
      <c r="F46" s="5"/>
      <c r="G46" s="5" t="s">
        <v>46</v>
      </c>
      <c r="H46" s="2" t="s">
        <v>83</v>
      </c>
      <c r="I46" s="5"/>
      <c r="J46" s="5"/>
      <c r="K46" s="5" t="s">
        <v>75</v>
      </c>
      <c r="L46" s="5">
        <v>10.49</v>
      </c>
      <c r="M46" s="5"/>
      <c r="N46" s="5"/>
      <c r="O46" s="5"/>
      <c r="P46" s="5"/>
      <c r="Q46" s="5"/>
      <c r="R46" s="5"/>
    </row>
    <row r="47" spans="1:21" x14ac:dyDescent="0.25">
      <c r="A47" s="15" t="s">
        <v>19</v>
      </c>
      <c r="B47" s="5">
        <f>SUM(B37:B46)</f>
        <v>453.27</v>
      </c>
      <c r="C47" s="5"/>
      <c r="D47" s="5"/>
      <c r="E47" s="5"/>
      <c r="F47" s="5"/>
      <c r="G47" s="5" t="s">
        <v>40</v>
      </c>
      <c r="H47" s="2" t="s">
        <v>92</v>
      </c>
      <c r="I47" s="5"/>
      <c r="J47" s="5"/>
      <c r="K47" s="5"/>
      <c r="L47" s="5"/>
      <c r="M47" s="5"/>
      <c r="N47" s="5"/>
      <c r="O47" s="5"/>
      <c r="P47" s="5"/>
      <c r="Q47" s="5"/>
      <c r="R47" s="5"/>
    </row>
    <row r="48" spans="1:21" x14ac:dyDescent="0.25">
      <c r="A48" s="15"/>
      <c r="B48" s="5"/>
      <c r="C48" s="5"/>
      <c r="D48" s="5"/>
      <c r="E48" s="5"/>
      <c r="F48" s="5"/>
      <c r="G48" s="5" t="s">
        <v>12</v>
      </c>
      <c r="H48" s="2" t="s">
        <v>93</v>
      </c>
      <c r="I48" s="5"/>
      <c r="J48" s="5"/>
      <c r="K48" s="5"/>
      <c r="L48" s="5"/>
      <c r="M48" s="5"/>
      <c r="N48" s="5"/>
      <c r="O48" s="5"/>
      <c r="P48" s="5"/>
      <c r="Q48" s="5"/>
      <c r="R48" s="5"/>
    </row>
    <row r="49" spans="1:18" x14ac:dyDescent="0.25">
      <c r="A49" s="15"/>
      <c r="B49" s="5"/>
      <c r="C49" s="5"/>
      <c r="D49" s="5"/>
      <c r="E49" s="5"/>
      <c r="F49" s="5"/>
      <c r="G49" s="5"/>
      <c r="H49" s="2" t="s">
        <v>93</v>
      </c>
      <c r="I49" s="5"/>
      <c r="J49" s="5"/>
      <c r="K49" s="5"/>
      <c r="L49" s="5"/>
      <c r="M49" s="5"/>
      <c r="N49" s="5"/>
      <c r="O49" s="5"/>
      <c r="P49" s="5"/>
      <c r="Q49" s="5"/>
      <c r="R49" s="5"/>
    </row>
    <row r="50" spans="1:18" x14ac:dyDescent="0.25">
      <c r="A50" s="15"/>
      <c r="B50" s="5"/>
      <c r="C50" s="5"/>
      <c r="D50" s="5"/>
      <c r="E50" s="5"/>
      <c r="F50" s="5"/>
      <c r="G50" s="5"/>
      <c r="H50" s="2" t="s">
        <v>93</v>
      </c>
      <c r="I50" s="5"/>
      <c r="J50" s="5"/>
      <c r="K50" s="5"/>
      <c r="L50" s="5"/>
      <c r="M50" s="5"/>
      <c r="N50" s="5"/>
      <c r="O50" s="5"/>
      <c r="P50" s="5"/>
      <c r="Q50" s="5"/>
      <c r="R50" s="5"/>
    </row>
    <row r="51" spans="1:18" x14ac:dyDescent="0.25">
      <c r="A51" s="15"/>
      <c r="B51" s="5"/>
      <c r="C51" s="5"/>
      <c r="D51" s="5"/>
      <c r="E51" s="5"/>
      <c r="F51" s="5"/>
      <c r="G51" s="5"/>
      <c r="H51" s="2" t="s">
        <v>93</v>
      </c>
      <c r="I51" s="5"/>
      <c r="J51" s="5"/>
      <c r="K51" s="5"/>
      <c r="L51" s="5"/>
      <c r="M51" s="5"/>
      <c r="N51" s="5"/>
      <c r="O51" s="5"/>
      <c r="P51" s="5"/>
      <c r="Q51" s="5"/>
      <c r="R51" s="5"/>
    </row>
    <row r="52" spans="1:18" ht="15.75" thickBot="1" x14ac:dyDescent="0.3">
      <c r="A52" s="15"/>
      <c r="B52" s="5"/>
      <c r="C52" s="5"/>
      <c r="D52" s="5"/>
      <c r="E52" s="5" t="s">
        <v>76</v>
      </c>
      <c r="F52" s="5"/>
      <c r="G52" s="5"/>
      <c r="H52" s="2" t="s">
        <v>93</v>
      </c>
      <c r="I52" s="5"/>
      <c r="J52" s="5"/>
      <c r="K52" s="5"/>
      <c r="L52" s="5"/>
      <c r="M52" s="5"/>
      <c r="N52" s="5"/>
      <c r="O52" s="5"/>
      <c r="P52" s="5"/>
      <c r="Q52" s="5"/>
      <c r="R52" s="5"/>
    </row>
    <row r="53" spans="1:18" ht="15.75" thickBot="1" x14ac:dyDescent="0.3">
      <c r="A53" s="8"/>
      <c r="B53" s="9"/>
      <c r="C53" s="9"/>
      <c r="D53" s="10"/>
      <c r="E53" s="5"/>
      <c r="F53" s="5"/>
      <c r="G53" s="5"/>
      <c r="H53" s="2"/>
      <c r="I53" s="5"/>
      <c r="J53" s="5"/>
      <c r="K53" s="5"/>
      <c r="L53" s="5"/>
      <c r="M53" s="5"/>
      <c r="N53" s="5"/>
      <c r="O53" s="5"/>
      <c r="P53" s="5"/>
      <c r="Q53" s="5"/>
      <c r="R53" s="5"/>
    </row>
    <row r="54" spans="1:18" ht="24.75" thickBot="1" x14ac:dyDescent="0.3">
      <c r="A54" s="20" t="s">
        <v>51</v>
      </c>
      <c r="B54" s="21" t="s">
        <v>52</v>
      </c>
      <c r="C54" s="21" t="s">
        <v>53</v>
      </c>
      <c r="D54" s="22" t="s">
        <v>54</v>
      </c>
      <c r="E54" s="5"/>
      <c r="F54" s="5"/>
      <c r="G54" s="5"/>
      <c r="H54" s="2"/>
      <c r="I54" s="5"/>
      <c r="J54" s="5"/>
      <c r="K54" s="5"/>
      <c r="L54" s="5"/>
      <c r="M54" s="5"/>
      <c r="N54" s="5"/>
      <c r="O54" s="5"/>
      <c r="P54" s="5"/>
      <c r="Q54" s="5"/>
      <c r="R54" s="5"/>
    </row>
    <row r="55" spans="1:18" x14ac:dyDescent="0.25">
      <c r="A55" s="16">
        <v>3450041444</v>
      </c>
      <c r="B55" s="17" t="s">
        <v>85</v>
      </c>
      <c r="C55" s="17" t="s">
        <v>47</v>
      </c>
      <c r="D55" s="18" t="s">
        <v>47</v>
      </c>
      <c r="E55" s="5"/>
      <c r="F55" s="5"/>
      <c r="G55" s="5"/>
      <c r="H55" s="2"/>
      <c r="I55" s="5"/>
      <c r="J55" s="5"/>
      <c r="K55" s="5"/>
      <c r="L55" s="5"/>
      <c r="M55" s="5"/>
      <c r="N55" s="5"/>
      <c r="O55" s="5"/>
      <c r="P55" s="5"/>
      <c r="Q55" s="5"/>
      <c r="R55" s="5"/>
    </row>
    <row r="56" spans="1:18" x14ac:dyDescent="0.25">
      <c r="A56" s="11">
        <v>4390750000073610</v>
      </c>
      <c r="B56" s="7" t="s">
        <v>86</v>
      </c>
      <c r="C56" s="7" t="s">
        <v>47</v>
      </c>
      <c r="D56" s="12" t="s">
        <v>87</v>
      </c>
      <c r="E56" s="5"/>
      <c r="F56" s="5"/>
      <c r="G56" s="5"/>
      <c r="H56" s="2"/>
      <c r="I56" s="5"/>
      <c r="J56" s="5"/>
      <c r="K56" s="5"/>
      <c r="L56" s="5"/>
      <c r="M56" s="5"/>
      <c r="N56" s="5"/>
      <c r="O56" s="5"/>
      <c r="P56" s="5"/>
      <c r="Q56" s="5"/>
      <c r="R56" s="5"/>
    </row>
    <row r="57" spans="1:18" ht="15.75" thickBot="1" x14ac:dyDescent="0.3">
      <c r="A57" s="13" t="s">
        <v>5</v>
      </c>
      <c r="B57" s="14" t="s">
        <v>88</v>
      </c>
      <c r="C57" s="14" t="s">
        <v>47</v>
      </c>
      <c r="D57" s="19" t="s">
        <v>87</v>
      </c>
      <c r="E57" s="5"/>
      <c r="F57" s="5"/>
      <c r="G57" s="5"/>
      <c r="H57" s="2"/>
      <c r="I57" s="5"/>
      <c r="J57" s="5"/>
      <c r="K57" s="5"/>
      <c r="L57" s="5"/>
      <c r="M57" s="5"/>
      <c r="N57" s="5"/>
      <c r="O57" s="5"/>
      <c r="P57" s="5"/>
      <c r="Q57" s="5"/>
      <c r="R57" s="5"/>
    </row>
    <row r="58" spans="1:18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</row>
    <row r="70" spans="1:20" x14ac:dyDescent="0.25">
      <c r="A70" s="15" t="s">
        <v>110</v>
      </c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>
        <f>720.28-17.52-39.35-18.5-7.49-4.4</f>
        <v>633.02</v>
      </c>
      <c r="N70" s="5"/>
      <c r="O70" s="5"/>
      <c r="P70" s="5"/>
      <c r="Q70" s="5"/>
      <c r="R70" s="5" t="s">
        <v>97</v>
      </c>
      <c r="S70" s="5"/>
      <c r="T70" s="5"/>
    </row>
    <row r="71" spans="1:20" x14ac:dyDescent="0.25">
      <c r="A71" s="5" t="s">
        <v>91</v>
      </c>
      <c r="B71" s="5">
        <v>2241.6799999999998</v>
      </c>
      <c r="C71" s="5"/>
      <c r="D71" s="5">
        <v>2187</v>
      </c>
      <c r="E71" s="5">
        <v>509.82</v>
      </c>
      <c r="F71" s="5"/>
      <c r="G71" s="5">
        <f>2241.68-521.73</f>
        <v>1719.9499999999998</v>
      </c>
      <c r="H71" s="5"/>
      <c r="I71" s="5"/>
      <c r="J71" s="5" t="s">
        <v>96</v>
      </c>
      <c r="K71" s="5">
        <v>521.48</v>
      </c>
      <c r="L71" s="5"/>
      <c r="M71" s="5"/>
      <c r="N71" s="5"/>
      <c r="O71" s="5"/>
      <c r="P71" s="5"/>
      <c r="Q71" s="5"/>
      <c r="R71" s="5" t="s">
        <v>103</v>
      </c>
      <c r="S71" s="5"/>
      <c r="T71" s="5">
        <v>270</v>
      </c>
    </row>
    <row r="72" spans="1:20" x14ac:dyDescent="0.25">
      <c r="A72" s="5"/>
      <c r="B72" s="5"/>
      <c r="C72" s="5"/>
      <c r="D72" s="5">
        <v>2241.6799999999998</v>
      </c>
      <c r="E72" s="5" t="s">
        <v>94</v>
      </c>
      <c r="F72" s="5">
        <f>((2241.68*509)/2187)</f>
        <v>521.72616369455875</v>
      </c>
      <c r="G72" s="5"/>
      <c r="H72" s="5"/>
      <c r="I72" s="5"/>
      <c r="J72" s="5" t="s">
        <v>95</v>
      </c>
      <c r="K72" s="5">
        <v>1720.2</v>
      </c>
      <c r="L72" s="5"/>
      <c r="M72" s="5"/>
      <c r="N72" s="5"/>
      <c r="O72" s="5"/>
      <c r="P72" s="5"/>
      <c r="Q72" s="5"/>
      <c r="R72" s="5" t="s">
        <v>7</v>
      </c>
      <c r="S72" s="5"/>
      <c r="T72" s="5">
        <v>633.02</v>
      </c>
    </row>
    <row r="73" spans="1:20" x14ac:dyDescent="0.25">
      <c r="A73" s="15" t="s">
        <v>77</v>
      </c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 t="s">
        <v>105</v>
      </c>
      <c r="S73" s="5"/>
      <c r="T73" s="5">
        <f>95+600</f>
        <v>695</v>
      </c>
    </row>
    <row r="74" spans="1:20" x14ac:dyDescent="0.25">
      <c r="A74" s="1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 t="s">
        <v>17</v>
      </c>
      <c r="S74" s="5"/>
      <c r="T74" s="5">
        <f>(T72+T71+T73)-S83-T114</f>
        <v>1178.02</v>
      </c>
    </row>
    <row r="75" spans="1:20" x14ac:dyDescent="0.25">
      <c r="A75" s="1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 t="s">
        <v>104</v>
      </c>
      <c r="S75" s="5"/>
      <c r="T75" s="5">
        <v>230</v>
      </c>
    </row>
    <row r="76" spans="1:20" x14ac:dyDescent="0.25">
      <c r="A76" s="15"/>
      <c r="B76" s="5"/>
      <c r="C76" s="5"/>
      <c r="D76" s="5"/>
      <c r="E76" s="5"/>
      <c r="F76" s="5"/>
      <c r="G76" s="5"/>
      <c r="H76" s="5"/>
      <c r="I76" s="5"/>
      <c r="J76" s="5"/>
      <c r="K76" s="2"/>
      <c r="L76" s="5"/>
      <c r="M76" s="5"/>
      <c r="N76" s="5"/>
      <c r="O76" s="5"/>
      <c r="P76" s="5"/>
      <c r="Q76" s="5"/>
      <c r="R76" s="5" t="s">
        <v>98</v>
      </c>
      <c r="S76" s="5"/>
      <c r="T76" s="5">
        <v>205</v>
      </c>
    </row>
    <row r="77" spans="1:20" x14ac:dyDescent="0.25">
      <c r="A77" s="15"/>
      <c r="B77" s="5"/>
      <c r="C77" s="5"/>
      <c r="D77" s="5"/>
      <c r="E77" s="5"/>
      <c r="F77" s="5"/>
      <c r="G77" s="5"/>
      <c r="H77" s="5"/>
      <c r="I77" s="5"/>
      <c r="J77" s="5"/>
      <c r="K77" s="2"/>
      <c r="L77" s="5"/>
      <c r="M77" s="5"/>
      <c r="N77" s="5"/>
      <c r="O77" s="5"/>
      <c r="P77" s="5"/>
      <c r="Q77" s="5"/>
      <c r="R77" s="5" t="s">
        <v>50</v>
      </c>
      <c r="S77" s="5"/>
      <c r="T77" s="5">
        <v>125</v>
      </c>
    </row>
    <row r="78" spans="1:20" x14ac:dyDescent="0.25">
      <c r="A78" s="15"/>
      <c r="B78" s="5"/>
      <c r="C78" s="5"/>
      <c r="D78" s="5"/>
      <c r="E78" s="5"/>
      <c r="F78" s="5"/>
      <c r="G78" s="5"/>
      <c r="H78" s="5"/>
      <c r="I78" s="5"/>
      <c r="J78" s="5"/>
      <c r="K78" s="2"/>
      <c r="L78" s="5"/>
      <c r="M78" s="5"/>
      <c r="N78" s="5"/>
      <c r="O78" s="5"/>
      <c r="P78" s="5"/>
      <c r="Q78" s="5"/>
      <c r="R78" s="5" t="s">
        <v>99</v>
      </c>
      <c r="S78" s="5">
        <v>70</v>
      </c>
      <c r="T78" s="5"/>
    </row>
    <row r="79" spans="1:20" x14ac:dyDescent="0.25">
      <c r="A79" s="15"/>
      <c r="B79" s="5"/>
      <c r="C79" s="5"/>
      <c r="D79" s="5"/>
      <c r="E79" s="5"/>
      <c r="F79" s="5"/>
      <c r="G79" s="5"/>
      <c r="H79" s="5"/>
      <c r="I79" s="5"/>
      <c r="J79" s="5"/>
      <c r="K79" s="2"/>
      <c r="L79" s="5"/>
      <c r="M79" s="5"/>
      <c r="N79" s="5"/>
      <c r="O79" s="5"/>
      <c r="P79" s="5"/>
      <c r="Q79" s="5"/>
      <c r="R79" s="5" t="s">
        <v>100</v>
      </c>
      <c r="S79" s="5">
        <v>110</v>
      </c>
      <c r="T79" s="5"/>
    </row>
    <row r="80" spans="1:20" x14ac:dyDescent="0.25">
      <c r="A80" s="15"/>
      <c r="B80" s="5"/>
      <c r="C80" s="5"/>
      <c r="D80" s="5"/>
      <c r="E80" s="5"/>
      <c r="F80" s="5"/>
      <c r="G80" s="5"/>
      <c r="H80" s="5"/>
      <c r="I80" s="5"/>
      <c r="J80" s="5"/>
      <c r="K80" s="2"/>
      <c r="L80" s="5"/>
      <c r="M80" s="5"/>
      <c r="N80" s="5"/>
      <c r="O80" s="5"/>
      <c r="P80" s="5"/>
      <c r="Q80" s="5"/>
      <c r="R80" s="5" t="s">
        <v>102</v>
      </c>
      <c r="S80" s="5">
        <v>80</v>
      </c>
      <c r="T80" s="5"/>
    </row>
    <row r="81" spans="1:20" x14ac:dyDescent="0.25">
      <c r="A81" s="15"/>
      <c r="B81" s="5"/>
      <c r="C81" s="5"/>
      <c r="D81" s="5"/>
      <c r="E81" s="5"/>
      <c r="F81" s="5"/>
      <c r="G81" s="5"/>
      <c r="H81" s="5" t="s">
        <v>5</v>
      </c>
      <c r="I81" s="5"/>
      <c r="J81" s="5"/>
      <c r="K81" s="2"/>
      <c r="L81" s="5"/>
      <c r="M81" s="5"/>
      <c r="N81" s="5"/>
      <c r="O81" s="5"/>
      <c r="P81" s="5"/>
      <c r="Q81" s="5"/>
      <c r="R81" s="5" t="s">
        <v>113</v>
      </c>
      <c r="S81" s="5">
        <v>100</v>
      </c>
      <c r="T81" s="5"/>
    </row>
    <row r="82" spans="1:20" x14ac:dyDescent="0.25">
      <c r="A82" s="15"/>
      <c r="B82" s="5"/>
      <c r="C82" s="5"/>
      <c r="D82" s="5"/>
      <c r="E82" s="5"/>
      <c r="F82" s="5"/>
      <c r="G82" s="5"/>
      <c r="H82" s="5"/>
      <c r="I82" s="5"/>
      <c r="J82" s="5"/>
      <c r="K82" s="2"/>
      <c r="L82" s="5"/>
      <c r="M82" s="5"/>
      <c r="N82" s="5"/>
      <c r="O82" s="5"/>
      <c r="P82" s="5"/>
      <c r="Q82" s="5"/>
      <c r="R82" s="5" t="s">
        <v>107</v>
      </c>
      <c r="S82" s="5">
        <v>60</v>
      </c>
      <c r="T82" s="5"/>
    </row>
    <row r="83" spans="1:20" x14ac:dyDescent="0.25">
      <c r="A83" s="15"/>
      <c r="B83" s="5"/>
      <c r="C83" s="5"/>
      <c r="D83" s="5"/>
      <c r="E83" s="5"/>
      <c r="F83" s="5"/>
      <c r="G83" s="5"/>
      <c r="H83" s="5"/>
      <c r="I83" s="5"/>
      <c r="J83" s="5"/>
      <c r="K83" s="2"/>
      <c r="L83" s="5"/>
      <c r="M83" s="5"/>
      <c r="N83" s="5"/>
      <c r="O83" s="5"/>
      <c r="P83" s="5"/>
      <c r="Q83" s="5"/>
      <c r="R83" s="5" t="s">
        <v>101</v>
      </c>
      <c r="S83" s="5">
        <f>SUM(S75:S82)</f>
        <v>420</v>
      </c>
      <c r="T83" s="5"/>
    </row>
    <row r="84" spans="1:20" x14ac:dyDescent="0.25">
      <c r="A84" s="15"/>
      <c r="B84" s="5"/>
      <c r="C84" s="5"/>
      <c r="D84" s="5"/>
      <c r="E84" s="5"/>
      <c r="F84" s="5"/>
      <c r="G84" s="5"/>
      <c r="H84" s="5"/>
      <c r="I84" s="5"/>
      <c r="J84" s="5"/>
      <c r="K84" s="2"/>
      <c r="L84" s="5"/>
      <c r="M84" s="5"/>
      <c r="N84" s="5"/>
      <c r="O84" s="5"/>
      <c r="P84" s="5"/>
      <c r="Q84" s="5"/>
      <c r="R84" s="5"/>
      <c r="S84" s="5"/>
      <c r="T84" s="5"/>
    </row>
    <row r="85" spans="1:20" x14ac:dyDescent="0.25">
      <c r="A85" s="15"/>
      <c r="B85" s="5"/>
      <c r="C85" s="5"/>
      <c r="D85" s="5"/>
      <c r="E85" s="5"/>
      <c r="F85" s="5"/>
      <c r="G85" s="5"/>
      <c r="H85" s="5"/>
      <c r="I85" s="5"/>
      <c r="J85" s="5"/>
      <c r="K85" s="2"/>
      <c r="L85" s="5"/>
      <c r="M85" s="5"/>
      <c r="N85" s="5"/>
      <c r="O85" s="5"/>
      <c r="P85" s="5"/>
      <c r="Q85" s="5"/>
      <c r="R85" s="5"/>
      <c r="S85" s="5"/>
      <c r="T85" s="5"/>
    </row>
    <row r="86" spans="1:20" x14ac:dyDescent="0.25">
      <c r="A86" s="15"/>
      <c r="B86" s="5"/>
      <c r="C86" s="5"/>
      <c r="D86" s="5"/>
      <c r="E86" s="5"/>
      <c r="F86" s="5"/>
      <c r="G86" s="5"/>
      <c r="H86" s="5"/>
      <c r="I86" s="5"/>
      <c r="J86" s="5"/>
      <c r="K86" s="2"/>
      <c r="L86" s="5"/>
      <c r="M86" s="5"/>
      <c r="N86" s="5"/>
      <c r="O86" s="5"/>
      <c r="P86" s="5"/>
      <c r="Q86" s="5"/>
      <c r="R86" s="5" t="s">
        <v>24</v>
      </c>
      <c r="S86" s="5" t="s">
        <v>23</v>
      </c>
      <c r="T86" s="5" t="s">
        <v>25</v>
      </c>
    </row>
    <row r="87" spans="1:20" x14ac:dyDescent="0.25">
      <c r="A87" s="15"/>
      <c r="B87" s="5"/>
      <c r="C87" s="5"/>
      <c r="D87" s="5"/>
      <c r="E87" s="5"/>
      <c r="F87" s="5"/>
      <c r="G87" s="5"/>
      <c r="H87" s="5"/>
      <c r="I87" s="5"/>
      <c r="J87" s="5"/>
      <c r="K87" s="2"/>
      <c r="L87" s="5"/>
      <c r="M87" s="5"/>
      <c r="N87" s="5"/>
      <c r="O87" s="5"/>
      <c r="P87" s="5"/>
      <c r="Q87" s="5"/>
      <c r="R87" s="5" t="s">
        <v>78</v>
      </c>
      <c r="S87" s="2" t="s">
        <v>79</v>
      </c>
      <c r="T87" s="5"/>
    </row>
    <row r="88" spans="1:20" x14ac:dyDescent="0.25">
      <c r="A88" s="15"/>
      <c r="B88" s="5"/>
      <c r="C88" s="5"/>
      <c r="D88" s="5"/>
      <c r="E88" s="5"/>
      <c r="F88" s="5"/>
      <c r="G88" s="5"/>
      <c r="H88" s="5"/>
      <c r="I88" s="5"/>
      <c r="J88" s="5"/>
      <c r="K88" s="2"/>
      <c r="L88" s="5"/>
      <c r="M88" s="5"/>
      <c r="N88" s="5"/>
      <c r="O88" s="5"/>
      <c r="P88" s="5"/>
      <c r="Q88" s="5"/>
      <c r="R88" s="5" t="s">
        <v>44</v>
      </c>
      <c r="S88" s="2" t="s">
        <v>79</v>
      </c>
      <c r="T88" s="5"/>
    </row>
    <row r="89" spans="1:20" x14ac:dyDescent="0.25">
      <c r="A89" s="15"/>
      <c r="B89" s="5"/>
      <c r="C89" s="5"/>
      <c r="D89" s="5"/>
      <c r="E89" s="5"/>
      <c r="F89" s="5"/>
      <c r="G89" s="5"/>
      <c r="H89" s="5"/>
      <c r="I89" s="5"/>
      <c r="J89" s="5"/>
      <c r="K89" s="2"/>
      <c r="L89" s="5"/>
      <c r="M89" s="5"/>
      <c r="N89" s="5"/>
      <c r="O89" s="5"/>
      <c r="P89" s="5"/>
      <c r="Q89" s="5"/>
      <c r="R89" s="5" t="s">
        <v>43</v>
      </c>
      <c r="S89" s="2" t="s">
        <v>79</v>
      </c>
      <c r="T89" s="5"/>
    </row>
    <row r="90" spans="1:20" x14ac:dyDescent="0.25">
      <c r="A90" s="15"/>
      <c r="B90" s="5"/>
      <c r="C90" s="5"/>
      <c r="D90" s="5"/>
      <c r="E90" s="5"/>
      <c r="F90" s="5"/>
      <c r="G90" s="5"/>
      <c r="H90" s="5"/>
      <c r="I90" s="5"/>
      <c r="J90" s="5"/>
      <c r="K90" s="2"/>
      <c r="L90" s="5"/>
      <c r="M90" s="5"/>
      <c r="N90" s="5"/>
      <c r="O90" s="5"/>
      <c r="P90" s="5"/>
      <c r="Q90" s="5"/>
      <c r="R90" s="5" t="s">
        <v>26</v>
      </c>
      <c r="S90" s="2" t="s">
        <v>79</v>
      </c>
      <c r="T90" s="5"/>
    </row>
    <row r="91" spans="1:20" x14ac:dyDescent="0.25">
      <c r="A91" s="15"/>
      <c r="B91" s="5"/>
      <c r="C91" s="5"/>
      <c r="D91" s="5"/>
      <c r="E91" s="5"/>
      <c r="F91" s="5"/>
      <c r="G91" s="5"/>
      <c r="H91" s="5"/>
      <c r="I91" s="5"/>
      <c r="J91" s="5"/>
      <c r="K91" s="2"/>
      <c r="L91" s="5"/>
      <c r="M91" s="5"/>
      <c r="N91" s="5"/>
      <c r="O91" s="5"/>
      <c r="P91" s="5"/>
      <c r="Q91" s="5"/>
      <c r="R91" s="5" t="s">
        <v>46</v>
      </c>
      <c r="S91" s="2" t="s">
        <v>82</v>
      </c>
      <c r="T91" s="5"/>
    </row>
    <row r="92" spans="1:20" x14ac:dyDescent="0.25">
      <c r="A92" s="15"/>
      <c r="B92" s="5"/>
      <c r="C92" s="5"/>
      <c r="D92" s="5"/>
      <c r="E92" s="5"/>
      <c r="F92" s="5"/>
      <c r="G92" s="5"/>
      <c r="H92" s="5"/>
      <c r="I92" s="5"/>
      <c r="J92" s="5"/>
      <c r="K92" s="2"/>
      <c r="L92" s="5"/>
      <c r="M92" s="5"/>
      <c r="N92" s="5"/>
      <c r="O92" s="5"/>
      <c r="P92" s="5"/>
      <c r="Q92" s="5"/>
      <c r="R92" s="5" t="s">
        <v>36</v>
      </c>
      <c r="S92" s="2" t="s">
        <v>83</v>
      </c>
      <c r="T92" s="5"/>
    </row>
    <row r="93" spans="1:20" x14ac:dyDescent="0.25">
      <c r="A93" s="15"/>
      <c r="B93" s="5"/>
      <c r="C93" s="5"/>
      <c r="D93" s="5"/>
      <c r="E93" s="5"/>
      <c r="F93" s="5"/>
      <c r="G93" s="5"/>
      <c r="H93" s="5"/>
      <c r="I93" s="5"/>
      <c r="J93" s="5"/>
      <c r="K93" s="2"/>
      <c r="L93" s="5"/>
      <c r="M93" s="5"/>
      <c r="N93" s="5"/>
      <c r="O93" s="5"/>
      <c r="P93" s="5"/>
      <c r="Q93" s="5"/>
      <c r="R93" s="5" t="s">
        <v>14</v>
      </c>
      <c r="S93" s="2" t="s">
        <v>83</v>
      </c>
      <c r="T93" s="5"/>
    </row>
    <row r="94" spans="1:20" x14ac:dyDescent="0.25">
      <c r="A94" s="15"/>
      <c r="B94" s="5"/>
      <c r="C94" s="5"/>
      <c r="D94" s="5"/>
      <c r="E94" s="5"/>
      <c r="F94" s="5"/>
      <c r="G94" s="5"/>
      <c r="H94" s="5"/>
      <c r="I94" s="5"/>
      <c r="J94" s="5"/>
      <c r="K94" s="2"/>
      <c r="L94" s="5"/>
      <c r="M94" s="5"/>
      <c r="N94" s="5"/>
      <c r="O94" s="5"/>
      <c r="P94" s="5"/>
      <c r="Q94" s="5"/>
      <c r="R94" s="5" t="s">
        <v>26</v>
      </c>
      <c r="S94" s="2" t="s">
        <v>106</v>
      </c>
      <c r="T94" s="5"/>
    </row>
    <row r="95" spans="1:20" x14ac:dyDescent="0.25">
      <c r="A95" s="15"/>
      <c r="B95" s="5"/>
      <c r="C95" s="5"/>
      <c r="D95" s="5"/>
      <c r="E95" s="5"/>
      <c r="F95" s="5"/>
      <c r="G95" s="5"/>
      <c r="H95" s="5"/>
      <c r="I95" s="5"/>
      <c r="J95" s="5"/>
      <c r="K95" s="2"/>
      <c r="L95" s="5"/>
      <c r="M95" s="5"/>
      <c r="N95" s="5"/>
      <c r="O95" s="5"/>
      <c r="P95" s="5"/>
      <c r="Q95" s="5" t="s">
        <v>111</v>
      </c>
      <c r="R95" s="5" t="s">
        <v>27</v>
      </c>
      <c r="S95" s="2" t="s">
        <v>108</v>
      </c>
      <c r="T95" s="5"/>
    </row>
    <row r="96" spans="1:20" x14ac:dyDescent="0.25">
      <c r="A96" s="1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2"/>
      <c r="T96" s="5"/>
    </row>
    <row r="97" spans="1:20" x14ac:dyDescent="0.25">
      <c r="A97" s="1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2"/>
      <c r="T97" s="5"/>
    </row>
    <row r="98" spans="1:20" x14ac:dyDescent="0.25">
      <c r="A98" s="1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2"/>
      <c r="T98" s="5"/>
    </row>
    <row r="99" spans="1:20" x14ac:dyDescent="0.25">
      <c r="A99" s="1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2"/>
      <c r="N99" s="5"/>
      <c r="O99" s="5"/>
      <c r="P99" s="5"/>
      <c r="Q99" s="5"/>
      <c r="R99" s="5"/>
      <c r="S99" s="2"/>
      <c r="T99" s="5"/>
    </row>
    <row r="100" spans="1:20" x14ac:dyDescent="0.25">
      <c r="A100" s="1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2"/>
      <c r="T100" s="5"/>
    </row>
    <row r="101" spans="1:20" x14ac:dyDescent="0.25">
      <c r="A101" s="1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2"/>
      <c r="T101" s="5"/>
    </row>
    <row r="102" spans="1:20" x14ac:dyDescent="0.25">
      <c r="A102" s="1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2"/>
      <c r="N102" s="5"/>
      <c r="O102" s="5"/>
      <c r="P102" s="5"/>
      <c r="Q102" s="5"/>
      <c r="R102" s="5"/>
      <c r="S102" s="2"/>
      <c r="T102" s="5"/>
    </row>
    <row r="103" spans="1:20" x14ac:dyDescent="0.25">
      <c r="A103" s="1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2"/>
      <c r="O103" s="5"/>
      <c r="P103" s="5"/>
      <c r="Q103" s="5"/>
      <c r="R103" s="5"/>
      <c r="S103" s="2"/>
      <c r="T103" s="5"/>
    </row>
    <row r="104" spans="1:20" x14ac:dyDescent="0.25">
      <c r="A104" s="1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2"/>
      <c r="O104" s="5"/>
      <c r="P104" s="5"/>
      <c r="Q104" s="5"/>
      <c r="R104" s="5"/>
      <c r="S104" s="2"/>
      <c r="T104" s="5"/>
    </row>
    <row r="105" spans="1:20" x14ac:dyDescent="0.25">
      <c r="A105" s="1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2"/>
      <c r="T105" s="5"/>
    </row>
    <row r="106" spans="1:20" x14ac:dyDescent="0.25">
      <c r="A106" s="15"/>
      <c r="B106" s="5"/>
      <c r="C106" s="5"/>
      <c r="D106" s="5"/>
      <c r="E106" s="5"/>
      <c r="F106" s="5"/>
      <c r="G106" s="5"/>
      <c r="H106" s="2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2"/>
      <c r="T106" s="5"/>
    </row>
    <row r="107" spans="1:20" x14ac:dyDescent="0.25">
      <c r="A107" s="15"/>
      <c r="B107" s="5"/>
      <c r="C107" s="5"/>
      <c r="D107" s="5"/>
      <c r="E107" s="5"/>
      <c r="F107" s="5"/>
      <c r="G107" s="5"/>
      <c r="H107" s="2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2"/>
      <c r="T107" s="5"/>
    </row>
    <row r="108" spans="1:20" x14ac:dyDescent="0.25">
      <c r="A108" s="15"/>
      <c r="B108" s="5"/>
      <c r="C108" s="5"/>
      <c r="D108" s="5"/>
      <c r="E108" s="5"/>
      <c r="F108" s="5"/>
      <c r="G108" s="5"/>
      <c r="H108" s="2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2"/>
      <c r="T108" s="5"/>
    </row>
    <row r="109" spans="1:20" x14ac:dyDescent="0.25">
      <c r="A109" s="15"/>
      <c r="B109" s="5"/>
      <c r="C109" s="5"/>
      <c r="D109" s="5"/>
      <c r="E109" s="5"/>
      <c r="F109" s="5"/>
      <c r="G109" s="5"/>
      <c r="H109" s="2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</row>
    <row r="110" spans="1:20" x14ac:dyDescent="0.25">
      <c r="A110" s="15"/>
      <c r="B110" s="5"/>
      <c r="C110" s="5"/>
      <c r="D110" s="2"/>
      <c r="E110" s="5"/>
      <c r="F110" s="5"/>
      <c r="G110" s="5"/>
      <c r="H110" s="2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</row>
    <row r="111" spans="1:20" x14ac:dyDescent="0.25">
      <c r="A111" s="15"/>
      <c r="B111" s="5"/>
      <c r="C111" s="5"/>
      <c r="D111" s="5"/>
      <c r="E111" s="5"/>
      <c r="F111" s="5"/>
      <c r="G111" s="5"/>
      <c r="H111" s="2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</row>
    <row r="112" spans="1:20" x14ac:dyDescent="0.25">
      <c r="A112" s="15"/>
      <c r="B112" s="5"/>
      <c r="C112" s="5"/>
      <c r="D112" s="5"/>
      <c r="E112" s="5"/>
      <c r="F112" s="5"/>
      <c r="G112" s="5"/>
      <c r="H112" s="2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</row>
    <row r="113" spans="1:20" x14ac:dyDescent="0.25">
      <c r="A113" s="15"/>
      <c r="B113" s="5"/>
      <c r="C113" s="5"/>
      <c r="D113" s="5"/>
      <c r="E113" s="5"/>
      <c r="F113" s="5"/>
      <c r="G113" s="5"/>
      <c r="H113" s="2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</row>
    <row r="114" spans="1:20" x14ac:dyDescent="0.25">
      <c r="A114" s="15"/>
      <c r="B114" s="5"/>
      <c r="C114" s="5"/>
      <c r="D114" s="5"/>
      <c r="E114" s="5"/>
      <c r="F114" s="5"/>
      <c r="G114" s="5"/>
      <c r="H114" s="2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</row>
    <row r="115" spans="1:20" x14ac:dyDescent="0.25">
      <c r="A115" s="15"/>
      <c r="B115" s="5"/>
      <c r="C115" s="5"/>
      <c r="D115" s="5"/>
      <c r="E115" s="5"/>
      <c r="F115" s="5"/>
      <c r="G115" s="5"/>
      <c r="H115" s="2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</row>
    <row r="116" spans="1:20" x14ac:dyDescent="0.25">
      <c r="A116" s="15"/>
      <c r="B116" s="5"/>
      <c r="C116" s="5"/>
      <c r="D116" s="5"/>
      <c r="E116" s="5"/>
      <c r="F116" s="5"/>
      <c r="G116" s="5"/>
      <c r="H116" s="2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</row>
    <row r="117" spans="1:20" x14ac:dyDescent="0.25">
      <c r="A117" s="15"/>
      <c r="B117" s="5"/>
      <c r="C117" s="5"/>
      <c r="D117" s="5"/>
      <c r="E117" s="5"/>
      <c r="F117" s="5"/>
      <c r="G117" s="5"/>
      <c r="H117" s="2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</row>
    <row r="118" spans="1:20" x14ac:dyDescent="0.25">
      <c r="A118" s="15"/>
      <c r="B118" s="5"/>
      <c r="C118" s="5"/>
      <c r="D118" s="5"/>
      <c r="E118" s="5"/>
      <c r="F118" s="5"/>
      <c r="G118" s="5"/>
      <c r="H118" s="2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</row>
    <row r="119" spans="1:20" x14ac:dyDescent="0.25">
      <c r="A119" s="15"/>
      <c r="B119" s="5"/>
      <c r="C119" s="5"/>
      <c r="D119" s="5"/>
      <c r="E119" s="5"/>
      <c r="F119" s="5"/>
      <c r="G119" s="5"/>
      <c r="H119" s="2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</row>
    <row r="120" spans="1:20" x14ac:dyDescent="0.25">
      <c r="A120" s="15"/>
      <c r="B120" s="5"/>
      <c r="C120" s="5"/>
      <c r="D120" s="5"/>
      <c r="E120" s="5"/>
      <c r="F120" s="5"/>
      <c r="G120" s="5"/>
      <c r="H120" s="2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</row>
    <row r="121" spans="1:20" ht="15.75" thickBot="1" x14ac:dyDescent="0.3">
      <c r="A121" s="15"/>
      <c r="B121" s="5"/>
      <c r="C121" s="5"/>
      <c r="D121" s="5"/>
      <c r="E121" s="5"/>
      <c r="F121" s="5"/>
      <c r="G121" s="5"/>
      <c r="H121" s="2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</row>
    <row r="122" spans="1:20" x14ac:dyDescent="0.25">
      <c r="A122" s="8"/>
      <c r="B122" s="9"/>
      <c r="C122" s="9"/>
      <c r="D122" s="10"/>
      <c r="E122" s="5"/>
      <c r="F122" s="5"/>
      <c r="G122" s="5"/>
      <c r="H122" s="2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</row>
    <row r="123" spans="1:20" x14ac:dyDescent="0.25">
      <c r="A123" s="5"/>
      <c r="B123" s="5"/>
      <c r="C123" s="5"/>
      <c r="D123" s="5"/>
      <c r="E123" s="5"/>
      <c r="F123" s="5"/>
      <c r="G123" s="5"/>
      <c r="H123" s="2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</row>
    <row r="124" spans="1:20" x14ac:dyDescent="0.25">
      <c r="A124" s="5"/>
      <c r="B124" s="5"/>
      <c r="C124" s="5"/>
      <c r="D124" s="5"/>
      <c r="E124" s="5"/>
      <c r="F124" s="5"/>
      <c r="G124" s="5"/>
      <c r="H124" s="2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</row>
    <row r="125" spans="1:20" x14ac:dyDescent="0.25">
      <c r="A125" s="5"/>
      <c r="B125" s="5"/>
      <c r="C125" s="5"/>
      <c r="D125" s="5"/>
      <c r="E125" s="5"/>
      <c r="F125" s="5"/>
      <c r="G125" s="5"/>
      <c r="H125" s="2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</row>
    <row r="126" spans="1:20" x14ac:dyDescent="0.25">
      <c r="A126" s="5"/>
      <c r="B126" s="5"/>
      <c r="C126" s="5"/>
      <c r="D126" s="5"/>
      <c r="E126" s="5"/>
      <c r="F126" s="5"/>
      <c r="G126" s="5"/>
      <c r="H126" s="2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</row>
    <row r="127" spans="1:20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</row>
    <row r="128" spans="1:20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</row>
    <row r="129" spans="1:20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</row>
    <row r="130" spans="1:20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</row>
    <row r="131" spans="1:20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</row>
    <row r="132" spans="1:20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</row>
    <row r="133" spans="1:20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</row>
    <row r="134" spans="1:20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</row>
    <row r="135" spans="1:20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</row>
    <row r="136" spans="1:20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</row>
    <row r="137" spans="1:20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</row>
    <row r="138" spans="1:20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</row>
    <row r="139" spans="1:20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</row>
    <row r="140" spans="1:20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</row>
    <row r="141" spans="1:20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</row>
    <row r="142" spans="1:20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</row>
    <row r="143" spans="1:20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</row>
    <row r="144" spans="1:20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</row>
    <row r="145" spans="1:20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9"/>
  <sheetViews>
    <sheetView topLeftCell="A16" workbookViewId="0">
      <selection activeCell="A25" sqref="A25"/>
    </sheetView>
  </sheetViews>
  <sheetFormatPr defaultRowHeight="15" x14ac:dyDescent="0.25"/>
  <cols>
    <col min="1" max="1" width="29.42578125" bestFit="1" customWidth="1"/>
    <col min="7" max="7" width="19.85546875" bestFit="1" customWidth="1"/>
    <col min="8" max="8" width="10.7109375" bestFit="1" customWidth="1"/>
    <col min="9" max="9" width="11.140625" customWidth="1"/>
    <col min="11" max="11" width="12.42578125" customWidth="1"/>
    <col min="12" max="12" width="11.7109375" bestFit="1" customWidth="1"/>
    <col min="13" max="13" width="14.28515625" customWidth="1"/>
    <col min="14" max="14" width="10.7109375" bestFit="1" customWidth="1"/>
  </cols>
  <sheetData>
    <row r="1" spans="1:21" x14ac:dyDescent="0.25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 t="s">
        <v>24</v>
      </c>
      <c r="N1" s="5" t="s">
        <v>23</v>
      </c>
      <c r="O1" s="5" t="s">
        <v>25</v>
      </c>
      <c r="P1" s="5"/>
      <c r="Q1" s="5"/>
      <c r="R1" s="5"/>
    </row>
    <row r="2" spans="1:21" x14ac:dyDescent="0.25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 t="s">
        <v>27</v>
      </c>
      <c r="N2" s="2" t="s">
        <v>147</v>
      </c>
      <c r="O2" s="5"/>
      <c r="P2" s="5">
        <f>19.48-1.16</f>
        <v>18.32</v>
      </c>
      <c r="Q2" s="38" t="s">
        <v>149</v>
      </c>
      <c r="R2" s="5"/>
      <c r="S2" s="5"/>
      <c r="T2" s="2">
        <v>19.48</v>
      </c>
    </row>
    <row r="3" spans="1:21" x14ac:dyDescent="0.2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 t="s">
        <v>12</v>
      </c>
      <c r="N3" s="2" t="s">
        <v>146</v>
      </c>
      <c r="P3" s="5">
        <v>41.62</v>
      </c>
      <c r="Q3" s="5"/>
      <c r="R3" s="5"/>
      <c r="S3" s="5"/>
      <c r="T3" s="2"/>
    </row>
    <row r="4" spans="1:21" x14ac:dyDescent="0.25">
      <c r="A4" s="5" t="s">
        <v>10</v>
      </c>
      <c r="B4" s="5"/>
      <c r="C4" s="5"/>
      <c r="E4" s="5">
        <v>230</v>
      </c>
      <c r="F4" s="5"/>
      <c r="G4" s="5"/>
      <c r="H4" s="5"/>
      <c r="I4" s="5"/>
      <c r="J4" s="5"/>
      <c r="K4" s="5"/>
      <c r="L4" s="5"/>
      <c r="M4" s="5" t="s">
        <v>12</v>
      </c>
      <c r="N4" s="2" t="s">
        <v>146</v>
      </c>
      <c r="P4" s="5">
        <v>4.5999999999999996</v>
      </c>
      <c r="Q4" s="5"/>
      <c r="R4" s="37"/>
      <c r="S4" s="37"/>
      <c r="T4" s="2"/>
    </row>
    <row r="5" spans="1:21" x14ac:dyDescent="0.25">
      <c r="A5" s="5" t="s">
        <v>114</v>
      </c>
      <c r="B5" s="5"/>
      <c r="C5" s="5"/>
      <c r="E5" s="5">
        <v>35</v>
      </c>
      <c r="F5" s="5"/>
      <c r="G5" s="5"/>
      <c r="H5" s="5"/>
      <c r="I5" s="5"/>
      <c r="J5" s="5"/>
      <c r="K5" s="5"/>
      <c r="L5" s="5"/>
      <c r="M5" s="5" t="s">
        <v>26</v>
      </c>
      <c r="N5" s="2" t="s">
        <v>146</v>
      </c>
      <c r="P5" s="5">
        <v>14.25</v>
      </c>
      <c r="Q5" s="5"/>
      <c r="R5" s="5"/>
      <c r="S5" s="5"/>
      <c r="T5" s="2"/>
    </row>
    <row r="6" spans="1:21" x14ac:dyDescent="0.25">
      <c r="A6" s="5" t="s">
        <v>2</v>
      </c>
      <c r="B6" s="5"/>
      <c r="C6" s="5"/>
      <c r="E6" s="5">
        <v>50</v>
      </c>
      <c r="F6" s="5"/>
      <c r="G6" s="5"/>
      <c r="H6" s="5"/>
      <c r="I6" s="5"/>
      <c r="J6" s="5"/>
      <c r="K6" s="5"/>
      <c r="L6" s="5"/>
      <c r="M6" s="5"/>
      <c r="N6" s="2"/>
      <c r="P6" s="5"/>
      <c r="Q6" s="5"/>
      <c r="R6" s="5"/>
      <c r="S6" s="5"/>
      <c r="T6" s="5"/>
    </row>
    <row r="7" spans="1:21" x14ac:dyDescent="0.25">
      <c r="A7" s="5" t="s">
        <v>0</v>
      </c>
      <c r="B7" s="5"/>
      <c r="C7" s="5"/>
      <c r="D7" s="5"/>
      <c r="E7">
        <v>90</v>
      </c>
      <c r="F7" s="5"/>
      <c r="G7" s="5"/>
      <c r="H7" s="5"/>
      <c r="I7" s="5"/>
      <c r="J7" s="5"/>
      <c r="K7" s="5"/>
      <c r="L7" s="5"/>
      <c r="M7" s="5" t="s">
        <v>27</v>
      </c>
      <c r="N7" s="2" t="s">
        <v>150</v>
      </c>
      <c r="P7" s="5">
        <v>4.49</v>
      </c>
      <c r="Q7" s="5"/>
      <c r="R7" s="5"/>
      <c r="S7" s="5"/>
      <c r="T7" s="5"/>
    </row>
    <row r="8" spans="1:21" x14ac:dyDescent="0.25">
      <c r="A8" s="5" t="s">
        <v>8</v>
      </c>
      <c r="B8" s="5"/>
      <c r="C8" s="5"/>
      <c r="E8" s="5">
        <v>30</v>
      </c>
      <c r="F8" s="5"/>
      <c r="G8" s="5"/>
      <c r="H8" s="5"/>
      <c r="I8" s="5"/>
      <c r="J8" s="5"/>
      <c r="K8" s="5"/>
      <c r="L8" s="5"/>
      <c r="M8" s="5" t="s">
        <v>45</v>
      </c>
      <c r="N8" s="2" t="s">
        <v>150</v>
      </c>
      <c r="P8" s="5">
        <v>155.33000000000001</v>
      </c>
      <c r="Q8" s="38" t="s">
        <v>157</v>
      </c>
      <c r="R8" s="5"/>
      <c r="S8" s="5"/>
      <c r="T8" s="5"/>
      <c r="U8">
        <v>167.11</v>
      </c>
    </row>
    <row r="9" spans="1:21" x14ac:dyDescent="0.25">
      <c r="A9" s="5" t="s">
        <v>1</v>
      </c>
      <c r="B9" s="5"/>
      <c r="C9" s="5"/>
      <c r="E9" s="5">
        <v>10</v>
      </c>
      <c r="F9" s="5"/>
      <c r="G9" s="5"/>
      <c r="H9" s="5"/>
      <c r="I9" s="5"/>
      <c r="J9" s="5"/>
      <c r="K9" s="5"/>
      <c r="L9" s="5"/>
      <c r="M9" s="5" t="s">
        <v>13</v>
      </c>
      <c r="N9" s="2" t="s">
        <v>150</v>
      </c>
      <c r="P9" s="5">
        <v>22.2</v>
      </c>
      <c r="Q9" s="5"/>
      <c r="R9" s="5"/>
      <c r="S9" s="5"/>
      <c r="T9" s="5"/>
    </row>
    <row r="10" spans="1:21" x14ac:dyDescent="0.25">
      <c r="A10" s="5" t="s">
        <v>4</v>
      </c>
      <c r="B10" s="5"/>
      <c r="C10" s="5"/>
      <c r="E10" s="5">
        <v>125</v>
      </c>
      <c r="F10" s="5"/>
      <c r="G10" s="5"/>
      <c r="H10" s="5"/>
      <c r="I10" s="5"/>
      <c r="J10" s="5"/>
      <c r="K10" s="5"/>
      <c r="L10" s="5"/>
      <c r="M10" s="5" t="s">
        <v>13</v>
      </c>
      <c r="N10" s="2" t="s">
        <v>150</v>
      </c>
      <c r="P10" s="5">
        <f>6.5-3.23</f>
        <v>3.27</v>
      </c>
      <c r="Q10" s="38" t="s">
        <v>152</v>
      </c>
      <c r="R10" s="5"/>
      <c r="S10" s="5"/>
      <c r="T10" s="5">
        <v>6.5</v>
      </c>
    </row>
    <row r="11" spans="1:21" x14ac:dyDescent="0.25">
      <c r="A11" s="5" t="s">
        <v>9</v>
      </c>
      <c r="B11" s="5"/>
      <c r="C11" s="5"/>
      <c r="E11" s="5">
        <v>15</v>
      </c>
      <c r="F11" s="5"/>
      <c r="G11" s="5"/>
      <c r="H11" s="5"/>
      <c r="I11" s="5"/>
      <c r="J11" s="5"/>
      <c r="K11" s="5"/>
      <c r="L11" s="5"/>
      <c r="M11" s="5" t="s">
        <v>26</v>
      </c>
      <c r="N11" s="2" t="s">
        <v>154</v>
      </c>
      <c r="P11" s="5">
        <v>7.51</v>
      </c>
      <c r="R11" s="5"/>
      <c r="S11" s="5"/>
      <c r="T11" s="5"/>
    </row>
    <row r="12" spans="1:21" x14ac:dyDescent="0.25">
      <c r="A12" s="2" t="s">
        <v>168</v>
      </c>
      <c r="B12" s="5"/>
      <c r="C12" s="5"/>
      <c r="D12" s="5"/>
      <c r="F12" s="5"/>
      <c r="G12" s="5"/>
      <c r="H12" s="5"/>
      <c r="I12" s="5"/>
      <c r="J12" s="5"/>
      <c r="K12" s="5"/>
      <c r="L12" s="5"/>
      <c r="M12" s="5" t="s">
        <v>12</v>
      </c>
      <c r="N12" s="2" t="s">
        <v>155</v>
      </c>
      <c r="P12" s="5">
        <v>51.36</v>
      </c>
      <c r="Q12" s="5"/>
      <c r="R12" s="5"/>
    </row>
    <row r="13" spans="1:21" x14ac:dyDescent="0.25">
      <c r="A13" s="5" t="s">
        <v>115</v>
      </c>
      <c r="B13" s="5"/>
      <c r="C13" s="5"/>
      <c r="D13" s="5">
        <v>116</v>
      </c>
      <c r="F13" s="5"/>
      <c r="G13" s="5"/>
      <c r="H13" s="5"/>
      <c r="I13" s="5"/>
      <c r="J13" s="5"/>
      <c r="K13" s="5"/>
      <c r="L13" s="5"/>
      <c r="M13" s="5" t="s">
        <v>26</v>
      </c>
      <c r="N13" s="2" t="s">
        <v>156</v>
      </c>
      <c r="P13" s="5">
        <f>20.59-4.09</f>
        <v>16.5</v>
      </c>
      <c r="Q13" s="38" t="s">
        <v>160</v>
      </c>
      <c r="R13" s="5"/>
      <c r="T13">
        <v>20.59</v>
      </c>
    </row>
    <row r="14" spans="1:21" x14ac:dyDescent="0.25">
      <c r="A14" s="5" t="s">
        <v>37</v>
      </c>
      <c r="B14" s="5"/>
      <c r="C14" s="5"/>
      <c r="E14" s="5">
        <v>20</v>
      </c>
      <c r="F14" s="5"/>
      <c r="G14" s="5"/>
      <c r="H14" s="5"/>
      <c r="I14" s="5"/>
      <c r="J14" s="5"/>
      <c r="K14" s="5"/>
      <c r="L14" s="5"/>
      <c r="M14" s="5" t="s">
        <v>40</v>
      </c>
      <c r="N14" s="2" t="s">
        <v>156</v>
      </c>
      <c r="P14" s="5">
        <v>10.92</v>
      </c>
      <c r="Q14" s="5"/>
      <c r="R14" s="5"/>
    </row>
    <row r="15" spans="1:21" x14ac:dyDescent="0.25">
      <c r="A15" s="5" t="s">
        <v>116</v>
      </c>
      <c r="B15" s="5"/>
      <c r="C15" s="5"/>
      <c r="E15" s="5">
        <v>150</v>
      </c>
      <c r="F15" s="5"/>
      <c r="G15" s="5"/>
      <c r="H15" s="5"/>
      <c r="I15" s="5"/>
      <c r="J15" s="5"/>
      <c r="K15" s="5"/>
      <c r="L15" s="5"/>
      <c r="M15" s="5" t="s">
        <v>12</v>
      </c>
      <c r="N15" s="2" t="s">
        <v>156</v>
      </c>
      <c r="P15" s="5">
        <v>7.07</v>
      </c>
      <c r="Q15" s="5"/>
      <c r="R15" s="5"/>
    </row>
    <row r="16" spans="1:21" x14ac:dyDescent="0.2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 t="s">
        <v>13</v>
      </c>
      <c r="N16" s="2" t="s">
        <v>158</v>
      </c>
      <c r="P16" s="5">
        <v>10.42</v>
      </c>
      <c r="Q16" s="5"/>
      <c r="R16" s="5"/>
    </row>
    <row r="17" spans="1:20" x14ac:dyDescent="0.25">
      <c r="A17" s="5"/>
      <c r="B17" s="5"/>
      <c r="C17" s="5"/>
      <c r="D17" s="5"/>
      <c r="E17" s="5"/>
      <c r="F17" s="5" t="s">
        <v>6</v>
      </c>
      <c r="G17" s="5"/>
      <c r="I17" s="5">
        <f>503+45</f>
        <v>548</v>
      </c>
      <c r="J17" s="5"/>
      <c r="K17" s="5"/>
      <c r="L17" s="5"/>
      <c r="M17" s="5" t="s">
        <v>27</v>
      </c>
      <c r="N17" s="2" t="s">
        <v>159</v>
      </c>
      <c r="P17" s="5">
        <v>40.99</v>
      </c>
      <c r="Q17" s="5"/>
      <c r="R17" s="5"/>
    </row>
    <row r="18" spans="1:20" x14ac:dyDescent="0.25">
      <c r="A18" s="5"/>
      <c r="B18" s="5"/>
      <c r="C18" s="5"/>
      <c r="D18" s="5"/>
      <c r="E18" s="5"/>
      <c r="F18" s="5" t="s">
        <v>7</v>
      </c>
      <c r="G18" s="5"/>
      <c r="H18" s="5">
        <v>28.53</v>
      </c>
      <c r="I18" s="5" t="s">
        <v>153</v>
      </c>
      <c r="J18" s="5">
        <v>1120.8399999999999</v>
      </c>
      <c r="K18" s="5"/>
      <c r="L18" s="5"/>
      <c r="M18" s="5" t="s">
        <v>161</v>
      </c>
      <c r="N18" s="2" t="s">
        <v>162</v>
      </c>
      <c r="P18" s="5">
        <v>24</v>
      </c>
      <c r="Q18" s="5"/>
      <c r="R18" s="5"/>
    </row>
    <row r="19" spans="1:20" x14ac:dyDescent="0.25">
      <c r="A19" s="5"/>
      <c r="B19" s="5"/>
      <c r="C19" s="5"/>
      <c r="D19" s="5"/>
      <c r="E19" s="5"/>
      <c r="F19" s="5" t="s">
        <v>20</v>
      </c>
      <c r="G19" s="5"/>
      <c r="H19" s="5">
        <f>33+57+6.99+80</f>
        <v>176.99</v>
      </c>
      <c r="I19" s="5"/>
      <c r="J19" s="5"/>
      <c r="K19" s="5"/>
      <c r="L19" s="5"/>
      <c r="M19" s="5" t="s">
        <v>27</v>
      </c>
      <c r="N19" s="2" t="s">
        <v>162</v>
      </c>
      <c r="P19" s="5">
        <v>70.33</v>
      </c>
      <c r="Q19" s="38" t="s">
        <v>166</v>
      </c>
      <c r="R19" s="5"/>
      <c r="T19">
        <v>72.56</v>
      </c>
    </row>
    <row r="20" spans="1:20" x14ac:dyDescent="0.25">
      <c r="A20" s="5" t="s">
        <v>5</v>
      </c>
      <c r="B20" s="5"/>
      <c r="C20" s="5"/>
      <c r="D20" s="5">
        <f>SUM(D4:D19)</f>
        <v>116</v>
      </c>
      <c r="E20" s="5"/>
      <c r="F20" s="15" t="s">
        <v>138</v>
      </c>
      <c r="G20" s="5"/>
      <c r="H20" s="5">
        <v>50</v>
      </c>
      <c r="I20" s="5"/>
      <c r="J20" s="5"/>
      <c r="K20" s="5"/>
      <c r="L20" s="5"/>
      <c r="M20" s="5" t="s">
        <v>26</v>
      </c>
      <c r="N20" s="2" t="s">
        <v>162</v>
      </c>
      <c r="P20" s="5">
        <v>7.49</v>
      </c>
      <c r="Q20" s="5"/>
      <c r="R20" s="5"/>
    </row>
    <row r="21" spans="1:20" x14ac:dyDescent="0.25">
      <c r="A21" s="5"/>
      <c r="B21" s="5"/>
      <c r="C21" s="5"/>
      <c r="D21" s="5"/>
      <c r="E21" s="5"/>
      <c r="F21" s="5" t="s">
        <v>5</v>
      </c>
      <c r="G21" s="5"/>
      <c r="H21" s="5">
        <f>SUM(H17:H20)</f>
        <v>255.52</v>
      </c>
      <c r="I21" s="5"/>
      <c r="J21" s="5"/>
      <c r="K21" s="5"/>
      <c r="L21" s="5"/>
      <c r="M21" s="5" t="s">
        <v>27</v>
      </c>
      <c r="N21" s="2" t="s">
        <v>162</v>
      </c>
      <c r="P21" s="5">
        <v>5.99</v>
      </c>
      <c r="R21" s="5"/>
    </row>
    <row r="22" spans="1:20" x14ac:dyDescent="0.2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 t="s">
        <v>27</v>
      </c>
      <c r="N22" s="2" t="s">
        <v>163</v>
      </c>
      <c r="P22" s="5">
        <v>6.98</v>
      </c>
      <c r="Q22" s="38"/>
      <c r="R22" s="5"/>
    </row>
    <row r="23" spans="1:20" x14ac:dyDescent="0.25">
      <c r="A23" s="5"/>
      <c r="B23" s="5"/>
      <c r="C23" s="5"/>
      <c r="D23" s="5"/>
      <c r="E23" s="5"/>
      <c r="F23" s="5" t="s">
        <v>17</v>
      </c>
      <c r="G23" s="5"/>
      <c r="H23" s="5">
        <f>H21-D20-O31</f>
        <v>34.450000000000017</v>
      </c>
      <c r="I23" s="5"/>
      <c r="J23" s="5"/>
      <c r="K23" s="5"/>
      <c r="L23" s="5"/>
      <c r="M23" t="s">
        <v>12</v>
      </c>
      <c r="N23" s="2" t="s">
        <v>163</v>
      </c>
      <c r="P23">
        <v>31.79</v>
      </c>
      <c r="Q23" s="5"/>
      <c r="R23" s="5"/>
    </row>
    <row r="24" spans="1:20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 t="s">
        <v>164</v>
      </c>
      <c r="N24" s="2" t="s">
        <v>163</v>
      </c>
      <c r="P24" s="5">
        <v>4</v>
      </c>
      <c r="Q24" s="5"/>
      <c r="R24" s="5"/>
    </row>
    <row r="25" spans="1:20" x14ac:dyDescent="0.25">
      <c r="A25" s="5" t="s">
        <v>174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 t="s">
        <v>164</v>
      </c>
      <c r="N25" s="2" t="s">
        <v>165</v>
      </c>
      <c r="P25" s="5">
        <v>4</v>
      </c>
      <c r="Q25" s="5"/>
      <c r="R25" s="5"/>
    </row>
    <row r="26" spans="1:20" x14ac:dyDescent="0.25">
      <c r="A26" s="5" t="s">
        <v>143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 t="s">
        <v>26</v>
      </c>
      <c r="N26" s="2" t="s">
        <v>167</v>
      </c>
      <c r="O26" s="5">
        <v>10.28</v>
      </c>
      <c r="P26" s="5"/>
      <c r="Q26" s="5"/>
      <c r="R26" s="5"/>
    </row>
    <row r="27" spans="1:20" x14ac:dyDescent="0.25">
      <c r="A27" s="5" t="s">
        <v>6</v>
      </c>
      <c r="B27" s="5"/>
      <c r="D27" s="5">
        <v>538</v>
      </c>
      <c r="E27" s="5"/>
      <c r="F27" s="5"/>
      <c r="G27" s="5" t="s">
        <v>24</v>
      </c>
      <c r="H27" s="5" t="s">
        <v>23</v>
      </c>
      <c r="I27" s="5" t="s">
        <v>25</v>
      </c>
      <c r="J27" s="5"/>
      <c r="K27" s="5"/>
      <c r="L27" s="5"/>
      <c r="M27" s="5" t="s">
        <v>27</v>
      </c>
      <c r="N27" s="2" t="s">
        <v>167</v>
      </c>
      <c r="O27" s="5">
        <v>6.99</v>
      </c>
      <c r="P27" s="5"/>
      <c r="Q27" s="5"/>
      <c r="R27" s="5"/>
    </row>
    <row r="28" spans="1:20" x14ac:dyDescent="0.25">
      <c r="A28" s="5" t="s">
        <v>7</v>
      </c>
      <c r="B28" s="5"/>
      <c r="C28" s="5">
        <v>31.35</v>
      </c>
      <c r="D28" s="5"/>
      <c r="E28" s="5"/>
      <c r="F28" s="5"/>
      <c r="G28" s="5" t="s">
        <v>26</v>
      </c>
      <c r="H28" s="2" t="s">
        <v>167</v>
      </c>
      <c r="J28" s="5">
        <v>10.28</v>
      </c>
      <c r="K28" s="5"/>
      <c r="L28" s="5"/>
      <c r="M28" s="5" t="s">
        <v>27</v>
      </c>
      <c r="N28" s="2" t="s">
        <v>167</v>
      </c>
      <c r="O28" s="5">
        <v>11.49</v>
      </c>
      <c r="P28" s="5"/>
      <c r="Q28" s="5"/>
      <c r="R28" s="5"/>
    </row>
    <row r="29" spans="1:20" x14ac:dyDescent="0.25">
      <c r="A29" s="5" t="s">
        <v>20</v>
      </c>
      <c r="B29" s="5"/>
      <c r="C29" s="5">
        <f>33+57+115+83.53</f>
        <v>288.52999999999997</v>
      </c>
      <c r="D29" s="5" t="s">
        <v>172</v>
      </c>
      <c r="E29" s="5"/>
      <c r="F29" s="5"/>
      <c r="G29" t="s">
        <v>27</v>
      </c>
      <c r="H29" s="2" t="s">
        <v>167</v>
      </c>
      <c r="J29">
        <v>6.99</v>
      </c>
      <c r="K29" s="5"/>
      <c r="L29" s="5"/>
      <c r="M29" s="5" t="s">
        <v>27</v>
      </c>
      <c r="N29" s="2" t="s">
        <v>167</v>
      </c>
      <c r="O29" s="5">
        <v>76.31</v>
      </c>
      <c r="P29" s="5"/>
      <c r="Q29" s="5"/>
      <c r="R29" s="5"/>
    </row>
    <row r="30" spans="1:20" x14ac:dyDescent="0.25">
      <c r="A30" s="5" t="s">
        <v>139</v>
      </c>
      <c r="B30" s="5"/>
      <c r="C30" s="5">
        <v>50</v>
      </c>
      <c r="D30" s="5"/>
      <c r="E30" s="5"/>
      <c r="F30" s="5"/>
      <c r="G30" s="5" t="s">
        <v>27</v>
      </c>
      <c r="H30" s="2" t="s">
        <v>167</v>
      </c>
      <c r="J30" s="5">
        <v>11.49</v>
      </c>
      <c r="L30" s="5"/>
      <c r="M30" t="s">
        <v>13</v>
      </c>
      <c r="N30" s="2" t="s">
        <v>167</v>
      </c>
      <c r="P30" s="5">
        <v>5.64</v>
      </c>
      <c r="Q30" s="38" t="s">
        <v>169</v>
      </c>
      <c r="R30" s="5"/>
      <c r="T30">
        <v>5.71</v>
      </c>
    </row>
    <row r="31" spans="1:20" x14ac:dyDescent="0.25">
      <c r="A31" s="5" t="s">
        <v>5</v>
      </c>
      <c r="B31" s="5"/>
      <c r="C31" s="5">
        <f>SUM(C27:C30)</f>
        <v>369.88</v>
      </c>
      <c r="D31" s="5"/>
      <c r="E31" s="5"/>
      <c r="F31" s="5"/>
      <c r="G31" t="s">
        <v>27</v>
      </c>
      <c r="H31" s="2" t="s">
        <v>167</v>
      </c>
      <c r="J31">
        <v>76.31</v>
      </c>
      <c r="K31" s="5"/>
      <c r="L31" s="5"/>
      <c r="M31" s="5" t="s">
        <v>15</v>
      </c>
      <c r="N31" s="5"/>
      <c r="O31" s="5">
        <f>SUM(O2:O30)</f>
        <v>105.07</v>
      </c>
      <c r="P31" s="5"/>
      <c r="Q31" s="5"/>
      <c r="R31" s="5"/>
    </row>
    <row r="32" spans="1:20" x14ac:dyDescent="0.25">
      <c r="A32" s="5"/>
      <c r="B32" s="5"/>
      <c r="C32" s="5"/>
      <c r="D32" s="5"/>
      <c r="E32" s="5"/>
      <c r="F32" s="5"/>
      <c r="G32" s="5" t="s">
        <v>12</v>
      </c>
      <c r="H32" s="2" t="s">
        <v>146</v>
      </c>
      <c r="J32" s="5">
        <v>13.07</v>
      </c>
      <c r="K32" s="5"/>
      <c r="L32" s="37"/>
      <c r="M32" s="37"/>
      <c r="N32" s="2"/>
      <c r="O32" s="5"/>
      <c r="P32" s="5"/>
      <c r="Q32" s="5"/>
      <c r="R32" s="5"/>
    </row>
    <row r="33" spans="1:18" x14ac:dyDescent="0.25">
      <c r="A33" s="5" t="s">
        <v>18</v>
      </c>
      <c r="B33" s="5"/>
      <c r="C33" s="5"/>
      <c r="D33" s="5"/>
      <c r="E33" s="5"/>
      <c r="F33" s="5"/>
      <c r="G33" s="5" t="s">
        <v>26</v>
      </c>
      <c r="H33" s="2" t="s">
        <v>178</v>
      </c>
      <c r="J33" s="5">
        <f>12.28-0.91</f>
        <v>11.37</v>
      </c>
      <c r="K33" s="38" t="s">
        <v>177</v>
      </c>
      <c r="L33" s="5"/>
      <c r="M33" s="5">
        <v>12.28</v>
      </c>
      <c r="N33" s="2"/>
      <c r="O33" s="5"/>
      <c r="P33" s="5"/>
      <c r="Q33" s="5"/>
      <c r="R33" s="5"/>
    </row>
    <row r="34" spans="1:18" x14ac:dyDescent="0.25">
      <c r="A34" s="5"/>
      <c r="B34" s="5"/>
      <c r="C34" s="5"/>
      <c r="D34" s="5"/>
      <c r="E34" s="5"/>
      <c r="F34" s="5"/>
      <c r="G34" s="5" t="s">
        <v>12</v>
      </c>
      <c r="H34" s="2" t="s">
        <v>178</v>
      </c>
      <c r="J34" s="5">
        <v>26.3</v>
      </c>
      <c r="K34" s="5"/>
      <c r="L34" s="5"/>
      <c r="M34" s="5"/>
      <c r="N34" s="5"/>
      <c r="O34" s="5"/>
      <c r="P34" s="5"/>
      <c r="Q34" s="5"/>
      <c r="R34" s="5"/>
    </row>
    <row r="35" spans="1:18" x14ac:dyDescent="0.25">
      <c r="A35" s="5" t="s">
        <v>1</v>
      </c>
      <c r="B35" s="5"/>
      <c r="D35" s="5">
        <v>20</v>
      </c>
      <c r="E35" s="5"/>
      <c r="F35" s="5"/>
      <c r="G35" s="5" t="s">
        <v>179</v>
      </c>
      <c r="H35" s="2" t="s">
        <v>180</v>
      </c>
      <c r="J35" s="5">
        <v>7.63</v>
      </c>
      <c r="K35" s="5"/>
      <c r="L35" s="5"/>
      <c r="M35" s="5"/>
      <c r="N35" s="5"/>
      <c r="O35" s="5"/>
      <c r="P35" s="5"/>
      <c r="Q35" s="5"/>
      <c r="R35" s="5"/>
    </row>
    <row r="36" spans="1:18" x14ac:dyDescent="0.25">
      <c r="A36" s="5" t="s">
        <v>3</v>
      </c>
      <c r="B36" s="5"/>
      <c r="D36" s="5">
        <v>20</v>
      </c>
      <c r="E36" s="5"/>
      <c r="F36" s="5"/>
      <c r="G36" s="5" t="s">
        <v>179</v>
      </c>
      <c r="H36" s="2" t="s">
        <v>180</v>
      </c>
      <c r="J36" s="5">
        <v>12.78</v>
      </c>
      <c r="K36" s="5"/>
      <c r="L36" s="5"/>
      <c r="M36" s="5"/>
      <c r="N36" s="5"/>
      <c r="O36" s="5"/>
      <c r="P36" s="5"/>
      <c r="Q36" s="5"/>
      <c r="R36" s="5"/>
    </row>
    <row r="37" spans="1:18" x14ac:dyDescent="0.25">
      <c r="A37" s="5" t="s">
        <v>4</v>
      </c>
      <c r="B37" s="5"/>
      <c r="C37" s="5">
        <v>100</v>
      </c>
      <c r="D37">
        <v>250</v>
      </c>
      <c r="E37" s="5"/>
      <c r="F37" s="5"/>
      <c r="G37" s="5" t="s">
        <v>27</v>
      </c>
      <c r="H37" s="2" t="s">
        <v>182</v>
      </c>
      <c r="I37" s="5">
        <f>17.87-1.84</f>
        <v>16.03</v>
      </c>
      <c r="J37" s="2"/>
      <c r="K37" s="38" t="s">
        <v>181</v>
      </c>
      <c r="L37" s="5"/>
      <c r="M37" s="5">
        <v>17.87</v>
      </c>
      <c r="N37" s="5"/>
      <c r="O37" s="5"/>
      <c r="P37" s="5"/>
      <c r="Q37" s="5"/>
      <c r="R37" s="5"/>
    </row>
    <row r="38" spans="1:18" x14ac:dyDescent="0.25">
      <c r="A38" s="5" t="s">
        <v>128</v>
      </c>
      <c r="B38" s="5"/>
      <c r="D38" s="5">
        <v>10</v>
      </c>
      <c r="E38" s="5"/>
      <c r="F38" s="5"/>
      <c r="G38" s="5" t="s">
        <v>27</v>
      </c>
      <c r="H38" s="2" t="s">
        <v>182</v>
      </c>
      <c r="I38" s="5">
        <v>83.51</v>
      </c>
      <c r="J38" s="2"/>
      <c r="K38" s="5"/>
      <c r="L38" s="5"/>
      <c r="M38" s="5"/>
      <c r="N38" s="5"/>
      <c r="O38" s="5"/>
      <c r="P38" s="5"/>
      <c r="Q38" s="5"/>
      <c r="R38" s="5"/>
    </row>
    <row r="39" spans="1:18" x14ac:dyDescent="0.25">
      <c r="A39" s="5" t="s">
        <v>173</v>
      </c>
      <c r="B39" s="5"/>
      <c r="D39" s="5">
        <v>116</v>
      </c>
      <c r="E39" s="5"/>
      <c r="F39" s="5"/>
      <c r="G39" s="5" t="s">
        <v>26</v>
      </c>
      <c r="H39" s="2" t="s">
        <v>183</v>
      </c>
      <c r="I39" s="5">
        <v>11.17</v>
      </c>
      <c r="J39" s="2"/>
      <c r="K39" s="38"/>
      <c r="L39" s="5"/>
      <c r="M39" s="5"/>
      <c r="N39" s="5"/>
      <c r="O39" s="5"/>
      <c r="P39" s="5"/>
      <c r="Q39" s="5"/>
      <c r="R39" s="5"/>
    </row>
    <row r="40" spans="1:18" x14ac:dyDescent="0.25">
      <c r="A40" s="5" t="s">
        <v>37</v>
      </c>
      <c r="B40" s="5"/>
      <c r="C40" s="5">
        <v>10</v>
      </c>
      <c r="D40" s="5"/>
      <c r="E40" s="5"/>
      <c r="F40" s="5"/>
      <c r="G40" s="5"/>
      <c r="H40" s="2"/>
      <c r="I40" s="5"/>
      <c r="J40" s="5"/>
      <c r="K40" s="5"/>
      <c r="L40" s="5"/>
      <c r="M40" s="5"/>
      <c r="N40" s="5"/>
      <c r="O40" s="5"/>
      <c r="P40" s="5"/>
      <c r="Q40" s="5"/>
      <c r="R40" s="5"/>
    </row>
    <row r="41" spans="1:18" x14ac:dyDescent="0.25">
      <c r="A41" s="5" t="s">
        <v>116</v>
      </c>
      <c r="B41" s="5"/>
      <c r="C41">
        <v>25</v>
      </c>
      <c r="D41" s="5">
        <v>50</v>
      </c>
      <c r="E41" s="5"/>
      <c r="F41" s="5"/>
      <c r="G41" s="5"/>
      <c r="H41" s="2"/>
      <c r="I41" s="5"/>
      <c r="J41" s="5"/>
      <c r="K41" s="5"/>
      <c r="L41" s="5"/>
      <c r="M41" s="5"/>
      <c r="N41" s="5"/>
      <c r="O41" s="5"/>
      <c r="P41" s="5"/>
      <c r="Q41" s="5"/>
      <c r="R41" s="5"/>
    </row>
    <row r="42" spans="1:18" x14ac:dyDescent="0.25">
      <c r="A42" s="5" t="s">
        <v>48</v>
      </c>
      <c r="B42" s="5"/>
      <c r="D42" s="5">
        <v>12.52</v>
      </c>
      <c r="E42" s="5"/>
      <c r="F42" s="5"/>
      <c r="G42" s="5"/>
      <c r="H42" s="2"/>
      <c r="I42" s="5"/>
      <c r="J42" s="5"/>
      <c r="K42" s="5"/>
      <c r="L42" s="5"/>
      <c r="M42" s="5"/>
      <c r="N42" s="5"/>
      <c r="O42" s="5"/>
      <c r="P42" s="5"/>
      <c r="Q42" s="5"/>
      <c r="R42" s="5"/>
    </row>
    <row r="43" spans="1:18" x14ac:dyDescent="0.25">
      <c r="A43" s="5" t="s">
        <v>144</v>
      </c>
      <c r="B43" s="5"/>
      <c r="C43" s="5">
        <v>10</v>
      </c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</row>
    <row r="44" spans="1:18" x14ac:dyDescent="0.25">
      <c r="A44" s="5" t="s">
        <v>19</v>
      </c>
      <c r="B44" s="5"/>
      <c r="C44" s="5">
        <f>SUM(C34:C43)</f>
        <v>145</v>
      </c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</row>
    <row r="45" spans="1:18" x14ac:dyDescent="0.25"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</row>
    <row r="46" spans="1:18" x14ac:dyDescent="0.25">
      <c r="A46" s="5" t="s">
        <v>17</v>
      </c>
      <c r="B46" s="5"/>
      <c r="C46" s="5">
        <f>C31-C44-I67</f>
        <v>114.16999999999999</v>
      </c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</row>
    <row r="47" spans="1:18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</row>
    <row r="48" spans="1:18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</row>
    <row r="49" spans="1:18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</row>
    <row r="50" spans="1:18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</row>
    <row r="51" spans="1:18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</row>
    <row r="52" spans="1:18" x14ac:dyDescent="0.25">
      <c r="A52" s="5"/>
      <c r="B52" s="5"/>
      <c r="C52" s="5"/>
      <c r="D52" s="5"/>
      <c r="E52" s="5"/>
      <c r="F52" s="5"/>
      <c r="J52" s="5"/>
      <c r="K52" s="5"/>
      <c r="L52" s="5"/>
      <c r="M52" s="5"/>
      <c r="N52" s="5"/>
      <c r="O52" s="5"/>
      <c r="P52" s="5"/>
      <c r="Q52" s="5"/>
      <c r="R52" s="5"/>
    </row>
    <row r="53" spans="1:18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</row>
    <row r="54" spans="1:18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</row>
    <row r="55" spans="1:18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</row>
    <row r="56" spans="1:18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</row>
    <row r="57" spans="1:18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</row>
    <row r="58" spans="1:18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</row>
    <row r="59" spans="1:18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</row>
    <row r="60" spans="1:18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</row>
    <row r="61" spans="1:18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</row>
    <row r="62" spans="1:18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</row>
    <row r="63" spans="1:18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</row>
    <row r="64" spans="1:18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</row>
    <row r="65" spans="1:18" ht="15.75" thickBot="1" x14ac:dyDescent="0.3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</row>
    <row r="66" spans="1:18" ht="24" x14ac:dyDescent="0.25">
      <c r="A66" s="20" t="s">
        <v>51</v>
      </c>
      <c r="B66" s="21" t="s">
        <v>52</v>
      </c>
      <c r="C66" s="21" t="s">
        <v>53</v>
      </c>
      <c r="D66" s="22" t="s">
        <v>54</v>
      </c>
      <c r="E66" s="5"/>
      <c r="F66" s="5"/>
      <c r="G66" s="5"/>
      <c r="H66" s="5"/>
      <c r="I66" s="5"/>
      <c r="J66" s="5"/>
      <c r="K66" s="5"/>
      <c r="L66" s="5"/>
      <c r="Q66" s="5"/>
      <c r="R66" s="5"/>
    </row>
    <row r="67" spans="1:18" x14ac:dyDescent="0.25">
      <c r="A67" s="34">
        <v>3450041444</v>
      </c>
      <c r="B67" s="33" t="s">
        <v>175</v>
      </c>
      <c r="C67" s="33" t="s">
        <v>47</v>
      </c>
      <c r="D67" s="35" t="s">
        <v>47</v>
      </c>
      <c r="E67" s="5"/>
      <c r="F67" s="5"/>
      <c r="G67" s="5" t="s">
        <v>15</v>
      </c>
      <c r="H67" s="5"/>
      <c r="I67" s="5">
        <f>SUM(I28:I66)</f>
        <v>110.71000000000001</v>
      </c>
      <c r="J67" s="5"/>
      <c r="K67" s="5"/>
      <c r="L67" s="5"/>
      <c r="Q67" s="5"/>
      <c r="R67" s="5"/>
    </row>
    <row r="68" spans="1:18" x14ac:dyDescent="0.25">
      <c r="A68" s="11">
        <v>4390750000073610</v>
      </c>
      <c r="B68" s="7" t="s">
        <v>170</v>
      </c>
      <c r="C68" s="7" t="s">
        <v>47</v>
      </c>
      <c r="D68" s="12" t="s">
        <v>171</v>
      </c>
      <c r="E68" s="5"/>
      <c r="F68" s="5"/>
      <c r="G68" s="5"/>
      <c r="H68" s="5"/>
      <c r="I68" s="5"/>
      <c r="J68" s="5"/>
      <c r="K68" s="5"/>
      <c r="L68" s="5"/>
      <c r="Q68" s="5"/>
      <c r="R68" s="5"/>
    </row>
    <row r="69" spans="1:18" ht="15.75" thickBot="1" x14ac:dyDescent="0.3">
      <c r="A69" s="13" t="s">
        <v>5</v>
      </c>
      <c r="B69" s="14" t="s">
        <v>176</v>
      </c>
      <c r="C69" s="14" t="s">
        <v>47</v>
      </c>
      <c r="D69" s="19" t="s">
        <v>171</v>
      </c>
      <c r="E69" s="5"/>
      <c r="F69" s="5"/>
      <c r="G69" s="5"/>
      <c r="H69" s="5"/>
      <c r="I69" s="5"/>
      <c r="J69" s="5"/>
      <c r="K69" s="5"/>
      <c r="L69" s="5"/>
      <c r="Q69" s="5"/>
      <c r="R69" s="5"/>
    </row>
    <row r="70" spans="1:18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</row>
    <row r="71" spans="1:18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</row>
    <row r="72" spans="1:18" s="5" customFormat="1" x14ac:dyDescent="0.25"/>
    <row r="73" spans="1:18" s="5" customFormat="1" x14ac:dyDescent="0.25"/>
    <row r="74" spans="1:18" s="5" customFormat="1" x14ac:dyDescent="0.25"/>
    <row r="75" spans="1:18" s="5" customFormat="1" x14ac:dyDescent="0.25"/>
    <row r="76" spans="1:18" s="5" customFormat="1" x14ac:dyDescent="0.25"/>
    <row r="77" spans="1:18" s="5" customFormat="1" x14ac:dyDescent="0.25"/>
    <row r="78" spans="1:18" s="5" customFormat="1" x14ac:dyDescent="0.25"/>
    <row r="79" spans="1:18" s="5" customFormat="1" x14ac:dyDescent="0.25"/>
    <row r="80" spans="1:18" s="5" customFormat="1" x14ac:dyDescent="0.25"/>
    <row r="81" spans="1:18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</row>
    <row r="82" spans="1:18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</row>
    <row r="83" spans="1:18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</row>
    <row r="84" spans="1:18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</row>
    <row r="85" spans="1:18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</row>
    <row r="86" spans="1:18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</row>
    <row r="87" spans="1:18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</row>
    <row r="88" spans="1:18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</row>
    <row r="89" spans="1:18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6"/>
  <sheetViews>
    <sheetView topLeftCell="A19" workbookViewId="0">
      <selection activeCell="I31" sqref="I31"/>
    </sheetView>
  </sheetViews>
  <sheetFormatPr defaultRowHeight="15" x14ac:dyDescent="0.25"/>
  <cols>
    <col min="1" max="1" width="29.42578125" bestFit="1" customWidth="1"/>
    <col min="7" max="7" width="11" customWidth="1"/>
    <col min="8" max="8" width="10.85546875" customWidth="1"/>
    <col min="11" max="11" width="11.140625" bestFit="1" customWidth="1"/>
    <col min="12" max="12" width="10.7109375" bestFit="1" customWidth="1"/>
    <col min="14" max="14" width="21" customWidth="1"/>
  </cols>
  <sheetData>
    <row r="1" spans="1:16" x14ac:dyDescent="0.25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</row>
    <row r="2" spans="1:16" x14ac:dyDescent="0.25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</row>
    <row r="3" spans="1:16" x14ac:dyDescent="0.2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</row>
    <row r="4" spans="1:16" x14ac:dyDescent="0.25">
      <c r="A4" s="5" t="s">
        <v>41</v>
      </c>
      <c r="B4" s="5"/>
      <c r="C4" s="5"/>
      <c r="D4" s="5"/>
      <c r="E4" s="5">
        <v>230</v>
      </c>
      <c r="G4" s="5"/>
      <c r="H4" s="5"/>
      <c r="I4" s="5"/>
      <c r="J4" s="5"/>
      <c r="K4" s="5" t="s">
        <v>24</v>
      </c>
      <c r="L4" s="5" t="s">
        <v>23</v>
      </c>
      <c r="M4" s="5" t="s">
        <v>25</v>
      </c>
      <c r="N4" s="5">
        <f>17.87-1.84</f>
        <v>16.03</v>
      </c>
      <c r="O4" s="5"/>
    </row>
    <row r="5" spans="1:16" x14ac:dyDescent="0.25">
      <c r="A5" s="5" t="s">
        <v>114</v>
      </c>
      <c r="B5" s="5"/>
      <c r="C5" s="5"/>
      <c r="E5" s="5">
        <v>35</v>
      </c>
      <c r="G5" s="5"/>
      <c r="H5" s="5"/>
      <c r="J5" s="5"/>
      <c r="K5" s="5" t="s">
        <v>27</v>
      </c>
      <c r="L5" s="2" t="s">
        <v>182</v>
      </c>
      <c r="N5" s="38" t="s">
        <v>181</v>
      </c>
      <c r="O5" s="5">
        <v>17.87</v>
      </c>
      <c r="P5">
        <v>19.71</v>
      </c>
    </row>
    <row r="6" spans="1:16" x14ac:dyDescent="0.25">
      <c r="A6" s="5" t="s">
        <v>2</v>
      </c>
      <c r="B6" s="5"/>
      <c r="C6" s="5"/>
      <c r="E6" s="5">
        <v>50</v>
      </c>
      <c r="G6" s="5"/>
      <c r="H6" s="5"/>
      <c r="J6" s="5"/>
      <c r="K6" s="5" t="s">
        <v>27</v>
      </c>
      <c r="L6" s="2" t="s">
        <v>182</v>
      </c>
      <c r="N6" s="5">
        <v>83.51</v>
      </c>
      <c r="O6" s="5"/>
    </row>
    <row r="7" spans="1:16" x14ac:dyDescent="0.25">
      <c r="A7" s="5" t="s">
        <v>0</v>
      </c>
      <c r="B7" s="5"/>
      <c r="C7" s="5"/>
      <c r="E7" s="5">
        <v>70</v>
      </c>
      <c r="G7" s="5"/>
      <c r="H7" s="5"/>
      <c r="J7" s="5"/>
      <c r="K7" s="5" t="s">
        <v>26</v>
      </c>
      <c r="L7" s="2" t="s">
        <v>183</v>
      </c>
      <c r="N7" s="5">
        <v>11.17</v>
      </c>
      <c r="O7" s="5"/>
    </row>
    <row r="8" spans="1:16" x14ac:dyDescent="0.25">
      <c r="A8" s="5" t="s">
        <v>8</v>
      </c>
      <c r="B8" s="5"/>
      <c r="C8" s="5"/>
      <c r="E8" s="5">
        <v>30</v>
      </c>
      <c r="G8" s="5"/>
      <c r="H8" s="5"/>
      <c r="J8" s="5"/>
      <c r="K8" s="5" t="s">
        <v>12</v>
      </c>
      <c r="L8" s="2" t="s">
        <v>185</v>
      </c>
      <c r="N8" s="5">
        <v>21.63</v>
      </c>
      <c r="O8" s="5"/>
    </row>
    <row r="9" spans="1:16" x14ac:dyDescent="0.25">
      <c r="A9" s="5" t="s">
        <v>1</v>
      </c>
      <c r="B9" s="5"/>
      <c r="C9" s="5"/>
      <c r="E9" s="5">
        <v>20</v>
      </c>
      <c r="G9" s="5"/>
      <c r="H9" s="5"/>
      <c r="J9" s="5"/>
      <c r="K9" s="5" t="s">
        <v>12</v>
      </c>
      <c r="L9" s="2" t="s">
        <v>186</v>
      </c>
      <c r="N9" s="38" t="s">
        <v>190</v>
      </c>
      <c r="O9" s="5">
        <v>99.99</v>
      </c>
      <c r="P9">
        <v>91.48</v>
      </c>
    </row>
    <row r="10" spans="1:16" x14ac:dyDescent="0.25">
      <c r="A10" s="5" t="s">
        <v>4</v>
      </c>
      <c r="B10" s="5"/>
      <c r="C10" s="5"/>
      <c r="E10" s="5">
        <v>250</v>
      </c>
      <c r="G10" s="5"/>
      <c r="H10" s="5"/>
      <c r="I10" s="5"/>
      <c r="J10" s="5"/>
      <c r="K10" s="5" t="s">
        <v>12</v>
      </c>
      <c r="L10" s="2" t="s">
        <v>187</v>
      </c>
      <c r="N10">
        <v>13.15</v>
      </c>
      <c r="O10" s="5"/>
    </row>
    <row r="11" spans="1:16" x14ac:dyDescent="0.25">
      <c r="A11" s="5" t="s">
        <v>9</v>
      </c>
      <c r="B11" s="5"/>
      <c r="C11" s="5"/>
      <c r="E11" s="5">
        <v>15</v>
      </c>
      <c r="G11" s="5"/>
      <c r="H11" s="5"/>
      <c r="I11" s="5"/>
      <c r="J11" s="5"/>
      <c r="K11" s="5" t="s">
        <v>12</v>
      </c>
      <c r="L11" s="2" t="s">
        <v>187</v>
      </c>
      <c r="N11">
        <v>10.61</v>
      </c>
      <c r="O11" s="5"/>
    </row>
    <row r="12" spans="1:16" x14ac:dyDescent="0.25">
      <c r="A12" s="2" t="s">
        <v>168</v>
      </c>
      <c r="B12" s="5"/>
      <c r="C12" s="5"/>
      <c r="D12" s="5"/>
      <c r="E12" s="5"/>
      <c r="G12" s="5"/>
      <c r="H12" s="5"/>
      <c r="I12" s="5"/>
      <c r="J12" s="5"/>
      <c r="K12" s="5" t="s">
        <v>26</v>
      </c>
      <c r="L12" s="2" t="s">
        <v>188</v>
      </c>
      <c r="N12" s="38" t="s">
        <v>192</v>
      </c>
      <c r="O12" s="5">
        <v>8.33</v>
      </c>
      <c r="P12">
        <v>6.67</v>
      </c>
    </row>
    <row r="13" spans="1:16" x14ac:dyDescent="0.25">
      <c r="A13" s="5" t="s">
        <v>115</v>
      </c>
      <c r="B13" s="5"/>
      <c r="C13" s="5"/>
      <c r="E13" s="5">
        <v>116</v>
      </c>
      <c r="G13" s="5"/>
      <c r="H13" s="5">
        <v>0</v>
      </c>
      <c r="I13" s="5"/>
      <c r="J13" s="5"/>
      <c r="K13" s="5" t="s">
        <v>27</v>
      </c>
      <c r="L13" s="2" t="s">
        <v>189</v>
      </c>
      <c r="N13" s="5">
        <v>199.26</v>
      </c>
      <c r="O13" s="5"/>
    </row>
    <row r="14" spans="1:16" x14ac:dyDescent="0.25">
      <c r="A14" s="5" t="s">
        <v>37</v>
      </c>
      <c r="B14" s="5"/>
      <c r="C14" s="5"/>
      <c r="E14" s="5">
        <v>20</v>
      </c>
      <c r="G14" s="5"/>
      <c r="H14" s="5"/>
      <c r="I14" s="5"/>
      <c r="J14" s="5"/>
      <c r="K14" s="5" t="s">
        <v>12</v>
      </c>
      <c r="L14" s="2" t="s">
        <v>191</v>
      </c>
      <c r="N14" s="5">
        <v>4.09</v>
      </c>
      <c r="O14" s="5"/>
    </row>
    <row r="15" spans="1:16" x14ac:dyDescent="0.25">
      <c r="A15" s="5" t="s">
        <v>116</v>
      </c>
      <c r="B15" s="5"/>
      <c r="C15" s="5"/>
      <c r="E15" s="5">
        <v>50</v>
      </c>
      <c r="G15" s="5"/>
      <c r="H15" s="5"/>
      <c r="I15" s="5"/>
      <c r="J15" s="5"/>
      <c r="K15" s="5" t="s">
        <v>27</v>
      </c>
      <c r="L15" s="2" t="s">
        <v>191</v>
      </c>
      <c r="N15">
        <v>40.99</v>
      </c>
    </row>
    <row r="16" spans="1:16" x14ac:dyDescent="0.25">
      <c r="A16" s="5" t="s">
        <v>184</v>
      </c>
      <c r="B16" s="5"/>
      <c r="C16" s="5"/>
      <c r="E16" s="5">
        <v>60</v>
      </c>
      <c r="F16" s="5"/>
      <c r="G16" s="5"/>
      <c r="H16" s="5"/>
      <c r="I16" s="5"/>
      <c r="J16" s="5"/>
      <c r="K16" s="5" t="s">
        <v>193</v>
      </c>
      <c r="L16" s="2" t="s">
        <v>194</v>
      </c>
      <c r="N16" s="38" t="s">
        <v>198</v>
      </c>
      <c r="O16" s="5">
        <v>15.64</v>
      </c>
      <c r="P16">
        <v>12.29</v>
      </c>
    </row>
    <row r="17" spans="1:16" x14ac:dyDescent="0.25">
      <c r="A17" s="5" t="s">
        <v>32</v>
      </c>
      <c r="B17" s="5"/>
      <c r="C17" s="5"/>
      <c r="E17" s="5">
        <v>60</v>
      </c>
      <c r="F17" s="5" t="s">
        <v>6</v>
      </c>
      <c r="G17" s="5"/>
      <c r="I17" s="5">
        <v>437.48</v>
      </c>
      <c r="J17" s="5"/>
      <c r="K17" s="5" t="s">
        <v>27</v>
      </c>
      <c r="L17" s="2" t="s">
        <v>194</v>
      </c>
      <c r="N17" s="5">
        <v>14.99</v>
      </c>
      <c r="O17" s="5"/>
    </row>
    <row r="18" spans="1:16" x14ac:dyDescent="0.25">
      <c r="A18" s="5"/>
      <c r="B18" s="5"/>
      <c r="C18" s="5"/>
      <c r="D18" s="5"/>
      <c r="E18" s="5"/>
      <c r="F18" s="5" t="s">
        <v>7</v>
      </c>
      <c r="G18" s="5"/>
      <c r="H18" s="5">
        <v>4.25</v>
      </c>
      <c r="I18" s="5"/>
      <c r="J18" s="5"/>
      <c r="K18" s="5" t="s">
        <v>36</v>
      </c>
      <c r="L18" s="2" t="s">
        <v>195</v>
      </c>
      <c r="N18" s="5">
        <v>2.25</v>
      </c>
      <c r="O18" s="5"/>
    </row>
    <row r="19" spans="1:16" x14ac:dyDescent="0.25">
      <c r="A19" s="5"/>
      <c r="B19" s="5"/>
      <c r="C19" s="5"/>
      <c r="D19" s="5"/>
      <c r="E19" s="5"/>
      <c r="F19" s="5" t="s">
        <v>20</v>
      </c>
      <c r="G19" s="5"/>
      <c r="H19" s="5">
        <v>75</v>
      </c>
      <c r="I19" s="5"/>
      <c r="J19" s="5"/>
      <c r="K19" s="5" t="s">
        <v>26</v>
      </c>
      <c r="L19" s="2" t="s">
        <v>196</v>
      </c>
      <c r="N19" s="5">
        <v>6.97</v>
      </c>
      <c r="O19" s="5"/>
    </row>
    <row r="20" spans="1:16" x14ac:dyDescent="0.25">
      <c r="A20" s="5" t="s">
        <v>5</v>
      </c>
      <c r="B20" s="5"/>
      <c r="C20" s="5"/>
      <c r="D20" s="5">
        <f>SUM(D4:D19)</f>
        <v>0</v>
      </c>
      <c r="E20" s="5"/>
      <c r="F20" s="5" t="s">
        <v>138</v>
      </c>
      <c r="G20" s="5"/>
      <c r="H20" s="5">
        <v>49</v>
      </c>
      <c r="I20" s="5"/>
      <c r="J20" s="5"/>
      <c r="K20" s="5" t="s">
        <v>12</v>
      </c>
      <c r="L20" s="2" t="s">
        <v>196</v>
      </c>
      <c r="N20" s="5">
        <v>38.450000000000003</v>
      </c>
      <c r="O20" s="5"/>
    </row>
    <row r="21" spans="1:16" x14ac:dyDescent="0.25">
      <c r="A21" s="5"/>
      <c r="B21" s="5"/>
      <c r="C21" s="5"/>
      <c r="D21" s="5"/>
      <c r="E21" s="5"/>
      <c r="F21" t="s">
        <v>199</v>
      </c>
      <c r="H21">
        <v>47</v>
      </c>
      <c r="I21" s="5"/>
      <c r="J21" s="5"/>
      <c r="K21" s="5" t="s">
        <v>36</v>
      </c>
      <c r="L21" s="2" t="s">
        <v>197</v>
      </c>
      <c r="M21" s="5"/>
      <c r="N21" s="38" t="s">
        <v>200</v>
      </c>
      <c r="O21" s="5">
        <v>4.74</v>
      </c>
      <c r="P21">
        <f>4.74-2.69</f>
        <v>2.0500000000000003</v>
      </c>
    </row>
    <row r="22" spans="1:16" x14ac:dyDescent="0.25">
      <c r="A22" s="5"/>
      <c r="B22" s="5"/>
      <c r="C22" s="5"/>
      <c r="D22" s="5"/>
      <c r="E22" s="5"/>
      <c r="I22" s="5"/>
      <c r="J22" s="5"/>
      <c r="K22" s="5" t="s">
        <v>36</v>
      </c>
      <c r="L22" s="2" t="s">
        <v>197</v>
      </c>
      <c r="N22" s="5">
        <v>2.99</v>
      </c>
      <c r="O22" s="5"/>
    </row>
    <row r="23" spans="1:16" x14ac:dyDescent="0.25">
      <c r="A23" s="5"/>
      <c r="B23" s="5"/>
      <c r="C23" s="5"/>
      <c r="D23" s="5"/>
      <c r="E23" s="5"/>
      <c r="F23" s="5" t="s">
        <v>5</v>
      </c>
      <c r="G23" s="5"/>
      <c r="H23" s="5">
        <f>SUM(H18:H21)</f>
        <v>175.25</v>
      </c>
      <c r="I23" s="5"/>
      <c r="J23" s="5"/>
      <c r="K23" s="5" t="s">
        <v>36</v>
      </c>
      <c r="L23" s="2" t="s">
        <v>197</v>
      </c>
      <c r="N23" s="5">
        <v>6.99</v>
      </c>
      <c r="O23" s="5"/>
    </row>
    <row r="24" spans="1:16" x14ac:dyDescent="0.25">
      <c r="A24" s="5"/>
      <c r="B24" s="5"/>
      <c r="C24" s="5"/>
      <c r="D24" s="5"/>
      <c r="E24" s="5"/>
      <c r="F24" s="5" t="s">
        <v>17</v>
      </c>
      <c r="G24" s="5"/>
      <c r="H24" s="5">
        <f>H23-D20-M26</f>
        <v>175.25</v>
      </c>
      <c r="I24" s="5"/>
      <c r="J24" s="5"/>
      <c r="K24" s="5"/>
      <c r="L24" s="6"/>
      <c r="M24" s="5"/>
      <c r="N24" s="5"/>
      <c r="O24" s="5"/>
    </row>
    <row r="25" spans="1:16" x14ac:dyDescent="0.25">
      <c r="A25" s="5" t="s">
        <v>174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</row>
    <row r="26" spans="1:16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 t="s">
        <v>15</v>
      </c>
      <c r="M26" s="5">
        <f>SUM(M5:M25)</f>
        <v>0</v>
      </c>
      <c r="N26" s="5"/>
      <c r="O26" s="5"/>
    </row>
    <row r="27" spans="1:16" x14ac:dyDescent="0.25">
      <c r="A27" s="5" t="s">
        <v>6</v>
      </c>
      <c r="B27" s="5"/>
      <c r="D27" s="5">
        <v>0</v>
      </c>
      <c r="E27" s="5">
        <f>537.77+4.25</f>
        <v>542.02</v>
      </c>
      <c r="F27" s="5"/>
      <c r="G27" s="5" t="s">
        <v>24</v>
      </c>
      <c r="H27" s="5" t="s">
        <v>23</v>
      </c>
      <c r="I27" s="5" t="s">
        <v>25</v>
      </c>
      <c r="J27" s="5"/>
      <c r="K27" s="5"/>
      <c r="L27" s="5"/>
      <c r="M27" s="5"/>
      <c r="N27" s="5"/>
      <c r="O27" s="5"/>
    </row>
    <row r="28" spans="1:16" x14ac:dyDescent="0.25">
      <c r="A28" s="5" t="s">
        <v>7</v>
      </c>
      <c r="B28" s="5"/>
      <c r="C28" s="5">
        <v>26.55</v>
      </c>
      <c r="D28" s="5"/>
      <c r="E28" s="5"/>
      <c r="F28" s="5"/>
      <c r="G28" s="5" t="s">
        <v>36</v>
      </c>
      <c r="H28" s="2" t="s">
        <v>197</v>
      </c>
      <c r="I28" s="5"/>
      <c r="J28" s="38" t="s">
        <v>200</v>
      </c>
      <c r="K28" s="5">
        <v>4.74</v>
      </c>
      <c r="L28" s="5">
        <f>4.74-2.69</f>
        <v>2.0500000000000003</v>
      </c>
      <c r="M28" s="2"/>
      <c r="N28" s="5"/>
      <c r="O28" s="5"/>
    </row>
    <row r="29" spans="1:16" x14ac:dyDescent="0.25">
      <c r="A29" s="5" t="s">
        <v>11</v>
      </c>
      <c r="B29" s="5"/>
      <c r="C29" s="5">
        <v>10</v>
      </c>
      <c r="D29" s="5"/>
      <c r="E29" s="5"/>
      <c r="F29" s="5"/>
      <c r="G29" s="5" t="s">
        <v>36</v>
      </c>
      <c r="H29" s="2" t="s">
        <v>197</v>
      </c>
      <c r="J29" s="5">
        <v>2.99</v>
      </c>
      <c r="K29" s="5"/>
      <c r="L29" s="5"/>
      <c r="M29" s="5" t="s">
        <v>38</v>
      </c>
      <c r="N29" s="5"/>
      <c r="O29" s="5"/>
    </row>
    <row r="30" spans="1:16" x14ac:dyDescent="0.25">
      <c r="A30" t="s">
        <v>138</v>
      </c>
      <c r="C30">
        <v>50</v>
      </c>
      <c r="D30" s="5"/>
      <c r="E30" s="5"/>
      <c r="F30" s="5"/>
      <c r="G30" s="5" t="s">
        <v>36</v>
      </c>
      <c r="H30" s="2" t="s">
        <v>197</v>
      </c>
      <c r="J30" s="5">
        <v>6.99</v>
      </c>
      <c r="K30" s="5"/>
      <c r="L30" s="5"/>
      <c r="M30" s="5" t="s">
        <v>39</v>
      </c>
      <c r="N30" s="5"/>
      <c r="O30" s="5"/>
    </row>
    <row r="31" spans="1:16" x14ac:dyDescent="0.25">
      <c r="A31" s="5" t="s">
        <v>212</v>
      </c>
      <c r="B31" s="5"/>
      <c r="C31" s="5">
        <v>166.63</v>
      </c>
      <c r="D31" s="5"/>
      <c r="E31" s="5">
        <f>47+19.56+100.07</f>
        <v>166.63</v>
      </c>
      <c r="F31" s="5"/>
      <c r="G31" s="5" t="s">
        <v>27</v>
      </c>
      <c r="H31" s="2" t="s">
        <v>201</v>
      </c>
      <c r="J31" s="5">
        <v>32.47</v>
      </c>
      <c r="K31" s="5"/>
      <c r="L31" s="5"/>
      <c r="M31" s="2"/>
      <c r="N31" s="5"/>
      <c r="O31" s="5"/>
    </row>
    <row r="32" spans="1:16" x14ac:dyDescent="0.25">
      <c r="A32" s="5" t="s">
        <v>5</v>
      </c>
      <c r="B32" s="5"/>
      <c r="C32" s="5">
        <f>SUM(C28:C31)</f>
        <v>253.18</v>
      </c>
      <c r="D32" s="5"/>
      <c r="E32" s="5"/>
      <c r="F32" s="5"/>
      <c r="G32" s="5" t="s">
        <v>27</v>
      </c>
      <c r="H32" s="2" t="s">
        <v>201</v>
      </c>
      <c r="J32" s="5">
        <v>83.6</v>
      </c>
      <c r="K32" s="5"/>
      <c r="L32" s="5"/>
      <c r="M32" s="5"/>
      <c r="N32" s="2"/>
      <c r="O32" s="5"/>
    </row>
    <row r="33" spans="1:15" x14ac:dyDescent="0.25">
      <c r="A33" s="5" t="s">
        <v>18</v>
      </c>
      <c r="B33" s="5"/>
      <c r="C33" s="5"/>
      <c r="D33" s="5"/>
      <c r="E33" s="5"/>
      <c r="F33" s="5"/>
      <c r="G33" s="5" t="s">
        <v>27</v>
      </c>
      <c r="H33" s="2" t="s">
        <v>201</v>
      </c>
      <c r="J33" s="5">
        <v>15.28</v>
      </c>
      <c r="K33" s="5"/>
      <c r="L33" s="5"/>
      <c r="M33" s="5"/>
      <c r="N33" s="2"/>
      <c r="O33" s="5"/>
    </row>
    <row r="34" spans="1:15" x14ac:dyDescent="0.25">
      <c r="A34" s="5"/>
      <c r="B34" s="5"/>
      <c r="C34" s="5"/>
      <c r="D34" s="5"/>
      <c r="E34" s="5"/>
      <c r="F34" s="5"/>
      <c r="G34" s="5" t="s">
        <v>26</v>
      </c>
      <c r="H34" s="2" t="s">
        <v>202</v>
      </c>
      <c r="J34" s="5">
        <v>9.0500000000000007</v>
      </c>
      <c r="K34" s="5"/>
      <c r="L34" s="5"/>
      <c r="M34" s="5"/>
      <c r="N34" s="5"/>
      <c r="O34" s="5"/>
    </row>
    <row r="35" spans="1:15" x14ac:dyDescent="0.25">
      <c r="A35" s="5" t="s">
        <v>1</v>
      </c>
      <c r="B35" s="5"/>
      <c r="C35" s="5">
        <v>0</v>
      </c>
      <c r="D35" s="5"/>
      <c r="E35" s="5"/>
      <c r="F35" s="5"/>
      <c r="G35" s="5" t="s">
        <v>12</v>
      </c>
      <c r="H35" s="2" t="s">
        <v>203</v>
      </c>
      <c r="J35" s="5">
        <v>49.54</v>
      </c>
      <c r="K35" s="38" t="s">
        <v>207</v>
      </c>
      <c r="M35" s="5">
        <v>53.27</v>
      </c>
      <c r="N35" s="5">
        <f>53.27-3.73</f>
        <v>49.540000000000006</v>
      </c>
      <c r="O35" s="5"/>
    </row>
    <row r="36" spans="1:15" x14ac:dyDescent="0.25">
      <c r="A36" s="5" t="s">
        <v>3</v>
      </c>
      <c r="B36" s="5"/>
      <c r="D36" s="5">
        <v>20.76</v>
      </c>
      <c r="E36" s="5"/>
      <c r="F36" s="5"/>
      <c r="G36" s="5" t="s">
        <v>204</v>
      </c>
      <c r="H36" s="2" t="s">
        <v>205</v>
      </c>
      <c r="J36" s="5">
        <v>7.05</v>
      </c>
      <c r="K36" s="5"/>
      <c r="L36" s="5"/>
      <c r="M36" s="5"/>
      <c r="N36" s="5"/>
      <c r="O36" s="5"/>
    </row>
    <row r="37" spans="1:15" x14ac:dyDescent="0.25">
      <c r="A37" s="5" t="s">
        <v>4</v>
      </c>
      <c r="B37" s="5"/>
      <c r="C37" s="5"/>
      <c r="D37" s="5"/>
      <c r="F37" s="5"/>
      <c r="G37" s="5" t="s">
        <v>48</v>
      </c>
      <c r="H37" s="2" t="s">
        <v>206</v>
      </c>
      <c r="J37" s="5">
        <v>12.52</v>
      </c>
      <c r="K37" s="5"/>
      <c r="L37" s="5"/>
      <c r="M37" s="5"/>
      <c r="N37" s="5"/>
      <c r="O37" s="5"/>
    </row>
    <row r="38" spans="1:15" x14ac:dyDescent="0.25">
      <c r="A38" s="5" t="s">
        <v>128</v>
      </c>
      <c r="B38" s="5"/>
      <c r="D38" s="5">
        <v>10</v>
      </c>
      <c r="E38" s="5"/>
      <c r="F38" s="5"/>
      <c r="G38" s="5" t="s">
        <v>13</v>
      </c>
      <c r="H38" s="2" t="s">
        <v>208</v>
      </c>
      <c r="J38" s="5">
        <v>19.559999999999999</v>
      </c>
      <c r="K38" s="5"/>
      <c r="L38" s="5"/>
      <c r="M38" s="5"/>
      <c r="N38" s="5"/>
      <c r="O38" s="5"/>
    </row>
    <row r="39" spans="1:15" x14ac:dyDescent="0.25">
      <c r="A39" s="5" t="s">
        <v>37</v>
      </c>
      <c r="B39" s="5"/>
      <c r="C39" s="5">
        <v>10</v>
      </c>
      <c r="D39" s="5"/>
      <c r="E39" s="5"/>
      <c r="F39" s="5"/>
      <c r="G39" s="5" t="s">
        <v>12</v>
      </c>
      <c r="H39" s="2" t="s">
        <v>208</v>
      </c>
      <c r="I39" s="5">
        <v>50.98</v>
      </c>
      <c r="J39" s="2"/>
      <c r="K39" s="5"/>
      <c r="L39" s="5"/>
      <c r="M39" s="5"/>
      <c r="N39" s="5"/>
      <c r="O39" s="5"/>
    </row>
    <row r="40" spans="1:15" x14ac:dyDescent="0.25">
      <c r="A40" s="5" t="s">
        <v>116</v>
      </c>
      <c r="B40" s="5"/>
      <c r="C40" s="5">
        <v>0</v>
      </c>
      <c r="D40" s="5"/>
      <c r="E40" s="5"/>
      <c r="F40" s="5"/>
      <c r="G40" t="s">
        <v>14</v>
      </c>
      <c r="H40" s="2" t="s">
        <v>209</v>
      </c>
      <c r="I40">
        <v>6.96</v>
      </c>
      <c r="J40" s="2"/>
      <c r="K40" s="5"/>
      <c r="L40" s="5"/>
      <c r="M40" s="5"/>
      <c r="N40" s="5"/>
      <c r="O40" s="5"/>
    </row>
    <row r="41" spans="1:15" x14ac:dyDescent="0.25">
      <c r="A41" s="5" t="s">
        <v>48</v>
      </c>
      <c r="B41" s="5"/>
      <c r="D41" s="5">
        <v>12.52</v>
      </c>
      <c r="E41" s="5"/>
      <c r="F41" s="5"/>
      <c r="G41" s="5" t="s">
        <v>12</v>
      </c>
      <c r="H41" s="2" t="s">
        <v>209</v>
      </c>
      <c r="I41" s="5">
        <v>3.7</v>
      </c>
      <c r="J41" s="2"/>
      <c r="K41" s="5"/>
      <c r="L41" s="5"/>
      <c r="M41" s="5"/>
      <c r="N41" s="5"/>
      <c r="O41" s="5"/>
    </row>
    <row r="42" spans="1:15" x14ac:dyDescent="0.25">
      <c r="A42" s="5" t="s">
        <v>144</v>
      </c>
      <c r="B42" s="5"/>
      <c r="D42">
        <v>20</v>
      </c>
      <c r="E42" s="5"/>
      <c r="F42" s="5"/>
      <c r="G42" s="5" t="s">
        <v>16</v>
      </c>
      <c r="H42" s="2" t="s">
        <v>210</v>
      </c>
      <c r="J42" s="5">
        <v>20.76</v>
      </c>
      <c r="K42" s="5"/>
      <c r="L42" s="5"/>
      <c r="M42" s="5"/>
      <c r="N42" s="5"/>
      <c r="O42" s="5"/>
    </row>
    <row r="43" spans="1:15" x14ac:dyDescent="0.25">
      <c r="A43" t="s">
        <v>184</v>
      </c>
      <c r="D43" s="5"/>
      <c r="E43" s="5"/>
      <c r="F43" s="5"/>
      <c r="G43" s="5" t="s">
        <v>26</v>
      </c>
      <c r="H43" s="2" t="s">
        <v>208</v>
      </c>
      <c r="I43" s="5">
        <v>13.46</v>
      </c>
      <c r="J43" s="5"/>
      <c r="K43" s="5"/>
      <c r="L43" s="5"/>
      <c r="M43" s="5"/>
      <c r="N43" s="5"/>
      <c r="O43" s="5"/>
    </row>
    <row r="44" spans="1:15" x14ac:dyDescent="0.25">
      <c r="A44" s="5"/>
      <c r="B44" s="5"/>
      <c r="C44" s="5"/>
      <c r="D44" s="5"/>
      <c r="E44" s="5"/>
      <c r="F44" s="5"/>
      <c r="G44" s="5" t="s">
        <v>26</v>
      </c>
      <c r="H44" s="2" t="s">
        <v>211</v>
      </c>
      <c r="I44" s="5">
        <v>4.71</v>
      </c>
      <c r="J44" s="5"/>
      <c r="K44" s="5"/>
      <c r="L44" s="5"/>
      <c r="M44" s="5"/>
      <c r="N44" s="5"/>
      <c r="O44" s="5"/>
    </row>
    <row r="45" spans="1:15" x14ac:dyDescent="0.25">
      <c r="A45" s="5" t="s">
        <v>19</v>
      </c>
      <c r="B45" s="5"/>
      <c r="C45" s="5">
        <f>SUM(C35:C43)</f>
        <v>10</v>
      </c>
      <c r="D45" s="5"/>
      <c r="E45" s="5"/>
      <c r="F45" s="5"/>
      <c r="G45" s="5" t="s">
        <v>27</v>
      </c>
      <c r="H45" s="2" t="s">
        <v>210</v>
      </c>
      <c r="I45" s="5">
        <v>100.07</v>
      </c>
      <c r="J45" s="5"/>
      <c r="K45" s="5"/>
      <c r="L45" s="5"/>
      <c r="M45" s="5"/>
      <c r="N45" s="5"/>
      <c r="O45" s="5"/>
    </row>
    <row r="46" spans="1:15" x14ac:dyDescent="0.25">
      <c r="A46" s="5"/>
      <c r="B46" s="5"/>
      <c r="C46" s="5"/>
      <c r="D46" s="5"/>
      <c r="E46" s="5"/>
      <c r="F46" s="5"/>
      <c r="G46" s="5" t="s">
        <v>27</v>
      </c>
      <c r="H46" s="2" t="s">
        <v>210</v>
      </c>
      <c r="I46" s="5">
        <v>17.68</v>
      </c>
      <c r="J46" s="5"/>
      <c r="K46" s="5"/>
      <c r="L46" s="5"/>
      <c r="M46" s="5"/>
      <c r="N46" s="5"/>
      <c r="O46" s="5"/>
    </row>
    <row r="47" spans="1:15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</row>
    <row r="48" spans="1:15" x14ac:dyDescent="0.25">
      <c r="A48" s="5"/>
      <c r="B48" s="5"/>
      <c r="C48" s="5"/>
      <c r="D48" s="5"/>
      <c r="E48" s="5"/>
      <c r="F48" s="5"/>
      <c r="K48" s="5"/>
      <c r="L48" s="5"/>
      <c r="M48" s="5"/>
      <c r="N48" s="5"/>
      <c r="O48" s="5"/>
    </row>
    <row r="49" spans="1:15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</row>
    <row r="50" spans="1:15" x14ac:dyDescent="0.25">
      <c r="A50" s="5" t="s">
        <v>17</v>
      </c>
      <c r="B50" s="5"/>
      <c r="C50" s="5">
        <f>C32-C45-I86</f>
        <v>45.620000000000005</v>
      </c>
      <c r="D50" s="5"/>
      <c r="E50" s="5"/>
      <c r="F50" s="5"/>
      <c r="H50" s="5"/>
      <c r="I50" s="5"/>
      <c r="J50" s="5"/>
      <c r="K50" s="5"/>
      <c r="L50" s="5"/>
      <c r="M50" s="5"/>
      <c r="N50" s="5"/>
      <c r="O50" s="5"/>
    </row>
    <row r="86" spans="7:10" x14ac:dyDescent="0.25">
      <c r="G86" s="5" t="s">
        <v>22</v>
      </c>
      <c r="H86" s="5"/>
      <c r="I86" s="5">
        <f>SUM(I28:I47)</f>
        <v>197.56</v>
      </c>
      <c r="J86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5"/>
  <sheetViews>
    <sheetView workbookViewId="0">
      <selection activeCell="A4" sqref="A4"/>
    </sheetView>
  </sheetViews>
  <sheetFormatPr defaultRowHeight="15" x14ac:dyDescent="0.25"/>
  <cols>
    <col min="1" max="1" width="29.42578125" bestFit="1" customWidth="1"/>
    <col min="7" max="7" width="12" bestFit="1" customWidth="1"/>
    <col min="8" max="8" width="11.140625" customWidth="1"/>
    <col min="11" max="11" width="28.140625" customWidth="1"/>
    <col min="12" max="12" width="10.7109375" bestFit="1" customWidth="1"/>
    <col min="14" max="14" width="11.140625" customWidth="1"/>
  </cols>
  <sheetData>
    <row r="1" spans="1:21" x14ac:dyDescent="0.25">
      <c r="A1" s="5">
        <f>1160.07*2</f>
        <v>2320.14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</row>
    <row r="2" spans="1:21" x14ac:dyDescent="0.25">
      <c r="A2" s="5"/>
      <c r="B2" s="5"/>
      <c r="C2" s="5"/>
      <c r="D2" s="5"/>
      <c r="E2" s="5"/>
      <c r="F2" s="5">
        <f>35+30+15+50+150</f>
        <v>280</v>
      </c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</row>
    <row r="3" spans="1:21" x14ac:dyDescent="0.2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</row>
    <row r="4" spans="1:21" x14ac:dyDescent="0.25">
      <c r="A4" s="5" t="s">
        <v>213</v>
      </c>
      <c r="B4" s="5"/>
      <c r="C4" s="5"/>
      <c r="E4" s="5">
        <v>240</v>
      </c>
      <c r="F4" s="5"/>
      <c r="G4" s="5"/>
      <c r="H4" s="5"/>
      <c r="I4" s="5"/>
      <c r="J4" s="5"/>
      <c r="K4" s="5" t="s">
        <v>24</v>
      </c>
      <c r="L4" s="5" t="s">
        <v>23</v>
      </c>
      <c r="M4" s="5" t="s">
        <v>25</v>
      </c>
      <c r="N4" s="5"/>
      <c r="O4" s="5"/>
      <c r="P4" s="5"/>
      <c r="Q4" s="5"/>
      <c r="R4" s="5"/>
      <c r="S4" s="5"/>
      <c r="T4" s="5"/>
      <c r="U4" s="5"/>
    </row>
    <row r="5" spans="1:21" x14ac:dyDescent="0.25">
      <c r="A5" s="5" t="s">
        <v>114</v>
      </c>
      <c r="B5" s="5"/>
      <c r="C5" s="5"/>
      <c r="E5" s="5">
        <v>35</v>
      </c>
      <c r="F5" s="5"/>
      <c r="G5" s="5"/>
      <c r="H5" s="5"/>
      <c r="I5" s="5"/>
      <c r="J5" s="5"/>
      <c r="K5" s="5" t="s">
        <v>12</v>
      </c>
      <c r="L5" s="2" t="s">
        <v>208</v>
      </c>
      <c r="N5" s="5">
        <v>50.98</v>
      </c>
      <c r="O5" s="5"/>
      <c r="P5" s="5"/>
      <c r="Q5" s="5"/>
      <c r="R5" s="5"/>
      <c r="S5" s="5"/>
      <c r="T5" s="5"/>
      <c r="U5" s="5"/>
    </row>
    <row r="6" spans="1:21" x14ac:dyDescent="0.25">
      <c r="A6" s="5" t="s">
        <v>2</v>
      </c>
      <c r="B6" s="5"/>
      <c r="C6" s="5"/>
      <c r="E6" s="5">
        <v>50</v>
      </c>
      <c r="F6" s="5"/>
      <c r="G6" s="5"/>
      <c r="H6" s="5"/>
      <c r="I6" s="5"/>
      <c r="J6" s="5"/>
      <c r="K6" s="5" t="s">
        <v>14</v>
      </c>
      <c r="L6" s="2" t="s">
        <v>209</v>
      </c>
      <c r="N6" s="5">
        <v>6.96</v>
      </c>
      <c r="O6" s="5"/>
      <c r="P6" s="5"/>
      <c r="Q6" s="5"/>
      <c r="R6" s="5"/>
      <c r="S6" s="5"/>
      <c r="T6" s="5"/>
      <c r="U6" s="5"/>
    </row>
    <row r="7" spans="1:21" x14ac:dyDescent="0.25">
      <c r="A7" s="5" t="s">
        <v>0</v>
      </c>
      <c r="B7" s="5"/>
      <c r="C7" s="5"/>
      <c r="D7" s="5"/>
      <c r="E7" s="5">
        <v>80</v>
      </c>
      <c r="G7" s="5"/>
      <c r="H7" s="5"/>
      <c r="I7" s="5"/>
      <c r="J7" s="5"/>
      <c r="K7" s="5" t="s">
        <v>12</v>
      </c>
      <c r="L7" s="2" t="s">
        <v>209</v>
      </c>
      <c r="N7" s="5">
        <v>3.7</v>
      </c>
      <c r="O7" s="5"/>
      <c r="P7" s="5"/>
      <c r="Q7" s="5"/>
      <c r="R7" s="5"/>
      <c r="S7" s="5"/>
      <c r="T7" s="5"/>
      <c r="U7" s="5"/>
    </row>
    <row r="8" spans="1:21" x14ac:dyDescent="0.25">
      <c r="A8" s="5" t="s">
        <v>8</v>
      </c>
      <c r="B8" s="5"/>
      <c r="C8" s="5"/>
      <c r="E8" s="5">
        <v>30</v>
      </c>
      <c r="F8" s="5"/>
      <c r="G8" s="5"/>
      <c r="H8" s="5"/>
      <c r="I8" s="5"/>
      <c r="J8" s="5"/>
      <c r="K8" s="5" t="s">
        <v>16</v>
      </c>
      <c r="L8" s="2" t="s">
        <v>210</v>
      </c>
      <c r="M8" s="5"/>
      <c r="N8" s="5"/>
      <c r="O8" s="5"/>
      <c r="P8" s="5"/>
      <c r="Q8" s="5"/>
      <c r="R8" s="5"/>
      <c r="S8" s="5"/>
      <c r="T8" s="5"/>
      <c r="U8" s="5"/>
    </row>
    <row r="9" spans="1:21" x14ac:dyDescent="0.25">
      <c r="A9" s="5" t="s">
        <v>1</v>
      </c>
      <c r="B9" s="5"/>
      <c r="C9" s="5"/>
      <c r="D9" s="5">
        <v>10</v>
      </c>
      <c r="F9" s="5"/>
      <c r="G9" s="5"/>
      <c r="H9" s="5"/>
      <c r="I9" s="5"/>
      <c r="J9" s="5"/>
      <c r="K9" s="5" t="s">
        <v>26</v>
      </c>
      <c r="L9" s="2" t="s">
        <v>208</v>
      </c>
      <c r="N9" s="5">
        <v>13.46</v>
      </c>
      <c r="O9" s="5"/>
      <c r="P9" s="5"/>
      <c r="Q9" s="5"/>
      <c r="R9" s="5"/>
      <c r="S9" s="5"/>
      <c r="T9" s="5"/>
      <c r="U9" s="5"/>
    </row>
    <row r="10" spans="1:21" x14ac:dyDescent="0.25">
      <c r="A10" s="5" t="s">
        <v>4</v>
      </c>
      <c r="B10" s="5"/>
      <c r="C10" s="5"/>
      <c r="E10" s="5">
        <v>250</v>
      </c>
      <c r="F10" s="5"/>
      <c r="G10" s="5"/>
      <c r="H10" s="5"/>
      <c r="I10" s="5"/>
      <c r="J10" s="5"/>
      <c r="K10" s="5" t="s">
        <v>26</v>
      </c>
      <c r="L10" s="2" t="s">
        <v>211</v>
      </c>
      <c r="M10" s="5"/>
      <c r="N10" s="38" t="s">
        <v>215</v>
      </c>
      <c r="O10" s="5"/>
      <c r="P10">
        <f>4.71-3.83</f>
        <v>0.87999999999999989</v>
      </c>
      <c r="Q10" s="5">
        <v>4.71</v>
      </c>
      <c r="R10" s="5"/>
      <c r="S10" s="5"/>
      <c r="T10" s="5"/>
      <c r="U10" s="5"/>
    </row>
    <row r="11" spans="1:21" x14ac:dyDescent="0.25">
      <c r="A11" s="5" t="s">
        <v>9</v>
      </c>
      <c r="B11" s="5"/>
      <c r="C11" s="5"/>
      <c r="E11" s="5">
        <v>15</v>
      </c>
      <c r="F11" s="5"/>
      <c r="G11" s="5"/>
      <c r="H11" s="5"/>
      <c r="I11" s="5"/>
      <c r="J11" s="5"/>
      <c r="K11" s="5" t="s">
        <v>27</v>
      </c>
      <c r="L11" s="2" t="s">
        <v>210</v>
      </c>
      <c r="N11" s="5">
        <v>100.07</v>
      </c>
      <c r="O11" s="5"/>
      <c r="P11" s="5"/>
      <c r="Q11" s="5"/>
      <c r="R11" s="5"/>
      <c r="S11" s="5"/>
      <c r="T11" s="5"/>
      <c r="U11" s="5"/>
    </row>
    <row r="12" spans="1:21" x14ac:dyDescent="0.25">
      <c r="A12" s="2" t="s">
        <v>168</v>
      </c>
      <c r="B12" s="5"/>
      <c r="C12" s="5"/>
      <c r="D12" s="5"/>
      <c r="F12" s="5"/>
      <c r="G12" s="5"/>
      <c r="H12" s="5"/>
      <c r="I12" s="5"/>
      <c r="J12" s="5"/>
      <c r="K12" s="5" t="s">
        <v>27</v>
      </c>
      <c r="L12" s="2" t="s">
        <v>210</v>
      </c>
      <c r="N12" s="5">
        <v>17.68</v>
      </c>
      <c r="O12" s="5"/>
      <c r="P12" s="5"/>
      <c r="Q12" s="5"/>
      <c r="R12" s="5"/>
      <c r="S12" s="5"/>
      <c r="T12" s="5"/>
      <c r="U12" s="5"/>
    </row>
    <row r="13" spans="1:21" x14ac:dyDescent="0.25">
      <c r="A13" s="5" t="s">
        <v>115</v>
      </c>
      <c r="B13" s="5"/>
      <c r="C13" s="5"/>
      <c r="D13" s="5">
        <v>116</v>
      </c>
      <c r="F13" s="5"/>
      <c r="G13" s="5"/>
      <c r="H13" s="5">
        <v>0</v>
      </c>
      <c r="I13" s="5"/>
      <c r="J13" s="5"/>
      <c r="K13" s="5" t="s">
        <v>13</v>
      </c>
      <c r="L13" s="2" t="s">
        <v>214</v>
      </c>
      <c r="N13" s="5">
        <v>9.9</v>
      </c>
      <c r="O13" s="5"/>
      <c r="P13" s="5"/>
      <c r="Q13" s="5"/>
      <c r="R13" s="5"/>
      <c r="S13" s="5"/>
      <c r="T13" s="5"/>
      <c r="U13" s="5"/>
    </row>
    <row r="14" spans="1:21" x14ac:dyDescent="0.25">
      <c r="A14" s="5" t="s">
        <v>37</v>
      </c>
      <c r="B14" s="5"/>
      <c r="C14" s="5"/>
      <c r="E14" s="5">
        <v>30</v>
      </c>
      <c r="F14" s="5"/>
      <c r="G14" s="5"/>
      <c r="H14" s="5"/>
      <c r="I14" s="5"/>
      <c r="J14" s="5"/>
      <c r="K14" s="5" t="s">
        <v>12</v>
      </c>
      <c r="L14" s="2" t="s">
        <v>214</v>
      </c>
      <c r="N14" s="5">
        <v>53.35</v>
      </c>
      <c r="O14" s="5"/>
      <c r="P14" s="5"/>
      <c r="Q14" s="5"/>
      <c r="R14" s="5"/>
      <c r="S14" s="5"/>
      <c r="T14" s="5"/>
      <c r="U14" s="5"/>
    </row>
    <row r="15" spans="1:21" x14ac:dyDescent="0.25">
      <c r="A15" s="5" t="s">
        <v>116</v>
      </c>
      <c r="B15" s="5"/>
      <c r="C15" s="5"/>
      <c r="E15" s="5">
        <v>25</v>
      </c>
      <c r="F15" s="5"/>
      <c r="G15" s="5"/>
      <c r="H15" s="5"/>
      <c r="I15" s="5"/>
      <c r="J15" s="5"/>
      <c r="K15" s="5" t="s">
        <v>27</v>
      </c>
      <c r="L15" s="2" t="s">
        <v>217</v>
      </c>
      <c r="N15" s="5">
        <v>23.28</v>
      </c>
      <c r="O15" s="5"/>
      <c r="P15" s="5"/>
      <c r="Q15" s="5"/>
      <c r="R15" s="5"/>
      <c r="S15" s="5"/>
      <c r="T15" s="5"/>
      <c r="U15" s="5"/>
    </row>
    <row r="16" spans="1:21" x14ac:dyDescent="0.25">
      <c r="A16" s="5" t="s">
        <v>184</v>
      </c>
      <c r="B16" s="5"/>
      <c r="C16" s="5"/>
      <c r="D16" s="5"/>
      <c r="F16" s="5"/>
      <c r="G16" s="5"/>
      <c r="H16" s="5"/>
      <c r="I16" s="5"/>
      <c r="J16" s="5"/>
      <c r="K16" s="5" t="s">
        <v>12</v>
      </c>
      <c r="L16" s="2" t="s">
        <v>217</v>
      </c>
      <c r="N16" s="5">
        <v>14.1</v>
      </c>
      <c r="O16" s="5"/>
      <c r="P16" s="5"/>
      <c r="Q16" s="5"/>
      <c r="R16" s="5"/>
      <c r="S16" s="5"/>
      <c r="T16" s="5"/>
      <c r="U16" s="5"/>
    </row>
    <row r="17" spans="1:21" x14ac:dyDescent="0.25">
      <c r="A17" s="5" t="s">
        <v>216</v>
      </c>
      <c r="B17" s="5"/>
      <c r="C17" s="5"/>
      <c r="E17" s="5">
        <v>131</v>
      </c>
      <c r="F17" s="5" t="s">
        <v>6</v>
      </c>
      <c r="G17" s="5"/>
      <c r="H17" s="5">
        <v>98.43</v>
      </c>
      <c r="I17" s="5"/>
      <c r="J17" s="5"/>
      <c r="K17" s="5" t="s">
        <v>12</v>
      </c>
      <c r="L17" s="2" t="s">
        <v>217</v>
      </c>
      <c r="M17" s="5"/>
      <c r="N17" s="38" t="s">
        <v>220</v>
      </c>
      <c r="O17" s="5"/>
      <c r="P17" s="5">
        <v>0.82</v>
      </c>
      <c r="Q17" s="5">
        <v>5.96</v>
      </c>
      <c r="R17" s="5"/>
      <c r="S17" s="5"/>
      <c r="T17" s="5"/>
      <c r="U17" s="5"/>
    </row>
    <row r="18" spans="1:21" x14ac:dyDescent="0.25">
      <c r="A18" s="5"/>
      <c r="B18" s="5"/>
      <c r="C18" s="5"/>
      <c r="D18" s="5"/>
      <c r="E18" s="5"/>
      <c r="F18" s="5" t="s">
        <v>7</v>
      </c>
      <c r="G18" s="5"/>
      <c r="H18" s="5">
        <v>44.64</v>
      </c>
      <c r="I18" s="5"/>
      <c r="J18" s="5"/>
      <c r="K18" s="5" t="s">
        <v>26</v>
      </c>
      <c r="L18" s="2" t="s">
        <v>218</v>
      </c>
      <c r="N18" s="5">
        <v>16.54</v>
      </c>
      <c r="O18" s="5"/>
      <c r="P18" s="5"/>
      <c r="Q18" s="5"/>
      <c r="R18" s="5"/>
      <c r="S18" s="5"/>
      <c r="T18" s="5"/>
      <c r="U18" s="5"/>
    </row>
    <row r="19" spans="1:21" x14ac:dyDescent="0.25">
      <c r="A19" s="5"/>
      <c r="B19" s="5"/>
      <c r="C19" s="5"/>
      <c r="D19" s="5"/>
      <c r="E19" s="5"/>
      <c r="F19" s="5" t="s">
        <v>20</v>
      </c>
      <c r="G19" s="5"/>
      <c r="H19" s="5">
        <f>25+125</f>
        <v>150</v>
      </c>
      <c r="I19" s="5"/>
      <c r="J19" s="5"/>
      <c r="K19" s="5" t="s">
        <v>161</v>
      </c>
      <c r="L19" s="2" t="s">
        <v>219</v>
      </c>
      <c r="N19" s="5">
        <v>27.55</v>
      </c>
      <c r="O19" s="5"/>
      <c r="P19" s="5"/>
      <c r="Q19" s="5"/>
      <c r="R19" s="5"/>
      <c r="S19" s="5"/>
      <c r="T19" s="5"/>
      <c r="U19" s="5"/>
    </row>
    <row r="20" spans="1:21" x14ac:dyDescent="0.25">
      <c r="A20" s="5" t="s">
        <v>5</v>
      </c>
      <c r="B20" s="5"/>
      <c r="C20" s="5"/>
      <c r="D20" s="5">
        <f>SUM(D4:D19)</f>
        <v>126</v>
      </c>
      <c r="E20" s="5"/>
      <c r="F20" s="5" t="s">
        <v>138</v>
      </c>
      <c r="G20" s="5"/>
      <c r="H20" s="5">
        <v>20</v>
      </c>
      <c r="I20" s="5"/>
      <c r="J20" s="5"/>
      <c r="K20" s="5" t="s">
        <v>27</v>
      </c>
      <c r="L20" s="2" t="s">
        <v>219</v>
      </c>
      <c r="N20" s="5">
        <v>85.81</v>
      </c>
      <c r="O20" s="5"/>
      <c r="P20" s="5"/>
      <c r="Q20" s="5"/>
      <c r="R20" s="5"/>
      <c r="S20" s="5"/>
      <c r="T20" s="5"/>
      <c r="U20" s="5"/>
    </row>
    <row r="21" spans="1:21" x14ac:dyDescent="0.25">
      <c r="A21" s="5"/>
      <c r="B21" s="5"/>
      <c r="C21" s="5"/>
      <c r="D21" s="5"/>
      <c r="E21" s="5"/>
      <c r="F21" s="5" t="s">
        <v>223</v>
      </c>
      <c r="G21" s="5"/>
      <c r="H21" s="5">
        <v>27</v>
      </c>
      <c r="I21" s="5"/>
      <c r="J21" s="5"/>
      <c r="K21" s="5" t="s">
        <v>27</v>
      </c>
      <c r="L21" s="2" t="s">
        <v>219</v>
      </c>
      <c r="N21" s="5">
        <v>40.99</v>
      </c>
      <c r="O21" s="5"/>
      <c r="P21" s="5"/>
      <c r="Q21" s="5"/>
      <c r="R21" s="5"/>
      <c r="S21" s="5"/>
      <c r="T21" s="5"/>
      <c r="U21" s="5"/>
    </row>
    <row r="22" spans="1:21" x14ac:dyDescent="0.25">
      <c r="A22" s="5"/>
      <c r="B22" s="5"/>
      <c r="C22" s="5"/>
      <c r="D22" s="5"/>
      <c r="E22" s="5"/>
      <c r="F22" s="5"/>
      <c r="G22" s="5"/>
      <c r="H22" s="5"/>
      <c r="I22" s="5"/>
      <c r="J22" s="5"/>
      <c r="K22" s="5" t="s">
        <v>50</v>
      </c>
      <c r="L22" s="2" t="s">
        <v>219</v>
      </c>
      <c r="N22" s="5">
        <v>8.5</v>
      </c>
      <c r="O22" s="5"/>
      <c r="P22" s="5"/>
      <c r="Q22" s="5"/>
      <c r="R22" s="5"/>
      <c r="S22" s="5"/>
      <c r="T22" s="5"/>
      <c r="U22" s="5"/>
    </row>
    <row r="23" spans="1:21" x14ac:dyDescent="0.25">
      <c r="A23" s="5"/>
      <c r="B23" s="5"/>
      <c r="C23" s="5"/>
      <c r="D23" s="5"/>
      <c r="E23" s="5"/>
      <c r="F23" s="5" t="s">
        <v>5</v>
      </c>
      <c r="G23" s="5"/>
      <c r="H23" s="5">
        <f>SUM(H17:H21)</f>
        <v>340.07</v>
      </c>
      <c r="I23" s="5"/>
      <c r="J23" s="5"/>
      <c r="K23" s="5" t="s">
        <v>26</v>
      </c>
      <c r="L23" s="2" t="s">
        <v>221</v>
      </c>
      <c r="N23" s="5">
        <v>10.83</v>
      </c>
      <c r="O23" s="5"/>
      <c r="P23" s="5"/>
      <c r="Q23" s="5"/>
      <c r="R23" s="5"/>
      <c r="S23" s="5"/>
      <c r="T23" s="5"/>
      <c r="U23" s="5"/>
    </row>
    <row r="24" spans="1:21" x14ac:dyDescent="0.25">
      <c r="A24" s="5"/>
      <c r="B24" s="5"/>
      <c r="C24" s="5"/>
      <c r="D24" s="5"/>
      <c r="E24" s="5"/>
      <c r="F24" s="5" t="s">
        <v>17</v>
      </c>
      <c r="G24" s="5"/>
      <c r="H24" s="5">
        <f>H23-D20-M26</f>
        <v>207.82999999999998</v>
      </c>
      <c r="I24" s="5"/>
      <c r="J24" s="5">
        <f>64+7.94</f>
        <v>71.94</v>
      </c>
      <c r="K24" s="5" t="s">
        <v>12</v>
      </c>
      <c r="L24" s="2" t="s">
        <v>222</v>
      </c>
      <c r="N24" s="5">
        <v>21.63</v>
      </c>
      <c r="O24" s="5"/>
      <c r="P24" s="5"/>
      <c r="Q24" s="5"/>
      <c r="R24" s="5"/>
      <c r="S24" s="5"/>
      <c r="T24" s="5"/>
      <c r="U24" s="5"/>
    </row>
    <row r="25" spans="1:21" x14ac:dyDescent="0.25">
      <c r="A25" s="5" t="s">
        <v>231</v>
      </c>
      <c r="B25" s="5"/>
      <c r="C25" s="5"/>
      <c r="D25" s="5"/>
      <c r="E25" s="5"/>
      <c r="F25" s="5"/>
      <c r="G25" s="5"/>
      <c r="H25" s="5"/>
      <c r="I25" s="5"/>
      <c r="J25" s="5"/>
      <c r="K25" s="5" t="s">
        <v>36</v>
      </c>
      <c r="L25" s="2" t="s">
        <v>226</v>
      </c>
      <c r="M25" s="5">
        <v>6.24</v>
      </c>
      <c r="N25" s="38" t="s">
        <v>225</v>
      </c>
      <c r="O25" s="5"/>
      <c r="P25" s="5">
        <f>7.75-1.51</f>
        <v>6.24</v>
      </c>
      <c r="Q25" s="5">
        <v>7.75</v>
      </c>
      <c r="R25" s="5"/>
      <c r="S25" s="5"/>
      <c r="T25" s="5"/>
      <c r="U25" s="5"/>
    </row>
    <row r="26" spans="1:21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 t="s">
        <v>15</v>
      </c>
      <c r="M26" s="5">
        <f>SUM(M5:M25)</f>
        <v>6.24</v>
      </c>
      <c r="N26" s="5"/>
      <c r="O26" s="5"/>
      <c r="P26" s="5"/>
      <c r="Q26" s="5"/>
      <c r="R26" s="5"/>
      <c r="S26" s="5"/>
      <c r="T26" s="5"/>
      <c r="U26" s="5"/>
    </row>
    <row r="27" spans="1:21" x14ac:dyDescent="0.25">
      <c r="A27" s="5" t="s">
        <v>6</v>
      </c>
      <c r="B27" s="5"/>
      <c r="D27" s="5">
        <v>0</v>
      </c>
      <c r="E27" s="5"/>
      <c r="F27" s="5"/>
      <c r="G27" s="5" t="s">
        <v>24</v>
      </c>
      <c r="H27" s="5" t="s">
        <v>23</v>
      </c>
      <c r="I27" s="5" t="s">
        <v>25</v>
      </c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</row>
    <row r="28" spans="1:21" x14ac:dyDescent="0.25">
      <c r="A28" s="5" t="s">
        <v>7</v>
      </c>
      <c r="B28" s="5"/>
      <c r="C28" s="5">
        <v>15.94</v>
      </c>
      <c r="D28" s="5"/>
      <c r="E28" s="5">
        <f>550.03+44.64</f>
        <v>594.66999999999996</v>
      </c>
      <c r="F28" s="5"/>
      <c r="G28" s="5" t="s">
        <v>36</v>
      </c>
      <c r="H28" s="2" t="s">
        <v>226</v>
      </c>
      <c r="J28" s="5">
        <v>6.24</v>
      </c>
      <c r="K28" s="38" t="s">
        <v>225</v>
      </c>
      <c r="L28" s="5">
        <f>7.75-1.51</f>
        <v>6.24</v>
      </c>
      <c r="M28" s="2">
        <v>7.75</v>
      </c>
      <c r="N28" s="5"/>
      <c r="O28" s="5"/>
      <c r="P28" s="5"/>
      <c r="Q28" s="5"/>
      <c r="R28" s="5"/>
      <c r="S28" s="5"/>
      <c r="T28" s="5"/>
      <c r="U28" s="5"/>
    </row>
    <row r="29" spans="1:21" x14ac:dyDescent="0.25">
      <c r="A29" s="5" t="s">
        <v>11</v>
      </c>
      <c r="B29" s="5"/>
      <c r="C29">
        <v>55</v>
      </c>
      <c r="D29" s="5"/>
      <c r="E29" s="5"/>
      <c r="F29" s="5"/>
      <c r="G29" s="5" t="s">
        <v>27</v>
      </c>
      <c r="H29" s="2" t="s">
        <v>229</v>
      </c>
      <c r="J29" s="5">
        <v>107.26</v>
      </c>
      <c r="K29" s="5"/>
      <c r="L29" s="5"/>
      <c r="M29" s="5" t="s">
        <v>38</v>
      </c>
      <c r="N29" s="5"/>
      <c r="O29" s="5"/>
      <c r="P29" s="5"/>
      <c r="Q29" s="5"/>
      <c r="R29" s="5"/>
      <c r="S29" s="5"/>
      <c r="T29" s="5"/>
      <c r="U29" s="5"/>
    </row>
    <row r="30" spans="1:21" x14ac:dyDescent="0.25">
      <c r="A30" s="5" t="s">
        <v>138</v>
      </c>
      <c r="B30" s="5"/>
      <c r="D30" s="5">
        <v>21</v>
      </c>
      <c r="E30" s="5"/>
      <c r="F30" s="5"/>
      <c r="G30" s="5" t="s">
        <v>27</v>
      </c>
      <c r="H30" s="2" t="s">
        <v>229</v>
      </c>
      <c r="J30" s="5">
        <v>407.48</v>
      </c>
      <c r="K30" s="5"/>
      <c r="L30" s="5"/>
      <c r="M30" s="5" t="s">
        <v>39</v>
      </c>
      <c r="N30" s="5"/>
      <c r="O30" s="5"/>
      <c r="P30" s="5"/>
      <c r="Q30" s="5"/>
      <c r="R30" s="5"/>
      <c r="S30" s="5"/>
      <c r="T30" s="5"/>
      <c r="U30" s="5"/>
    </row>
    <row r="31" spans="1:21" x14ac:dyDescent="0.25">
      <c r="A31" s="5" t="s">
        <v>249</v>
      </c>
      <c r="B31" s="5"/>
      <c r="C31" s="5">
        <v>207.54</v>
      </c>
      <c r="D31" s="5"/>
      <c r="E31" s="5">
        <f>91.4+15.96+100.18</f>
        <v>207.54000000000002</v>
      </c>
      <c r="F31" s="5"/>
      <c r="G31" s="5" t="s">
        <v>27</v>
      </c>
      <c r="H31" s="2" t="s">
        <v>229</v>
      </c>
      <c r="J31" s="5">
        <v>8.2899999999999991</v>
      </c>
      <c r="K31" s="5"/>
      <c r="L31" s="5"/>
      <c r="M31" s="2"/>
      <c r="N31" s="5"/>
      <c r="O31" s="5"/>
      <c r="P31" s="5"/>
      <c r="Q31" s="5"/>
      <c r="R31" s="5"/>
      <c r="S31" s="5"/>
      <c r="T31" s="5"/>
      <c r="U31" s="5"/>
    </row>
    <row r="32" spans="1:21" x14ac:dyDescent="0.25">
      <c r="A32" s="5" t="s">
        <v>5</v>
      </c>
      <c r="B32" s="5"/>
      <c r="C32" s="5">
        <f>SUM(C27:C31)</f>
        <v>278.48</v>
      </c>
      <c r="D32" s="5"/>
      <c r="E32" s="5"/>
      <c r="F32" s="5"/>
      <c r="G32" s="5" t="s">
        <v>27</v>
      </c>
      <c r="H32" s="2" t="s">
        <v>229</v>
      </c>
      <c r="J32" s="5">
        <v>5.99</v>
      </c>
      <c r="K32" s="5"/>
      <c r="L32" s="5"/>
      <c r="M32" s="5"/>
      <c r="N32" s="2"/>
      <c r="O32" s="5"/>
      <c r="P32" s="5"/>
      <c r="Q32" s="5"/>
      <c r="R32" s="5"/>
      <c r="S32" s="5"/>
      <c r="T32" s="5"/>
      <c r="U32" s="5"/>
    </row>
    <row r="33" spans="1:21" x14ac:dyDescent="0.25">
      <c r="A33" s="5" t="s">
        <v>18</v>
      </c>
      <c r="B33" s="5"/>
      <c r="C33" s="5"/>
      <c r="D33" s="5"/>
      <c r="E33" s="5"/>
      <c r="F33" s="5"/>
      <c r="G33" s="5" t="s">
        <v>27</v>
      </c>
      <c r="H33" s="2" t="s">
        <v>229</v>
      </c>
      <c r="J33" s="5">
        <v>13.77</v>
      </c>
      <c r="K33" s="5"/>
      <c r="L33" s="5"/>
      <c r="M33" s="5"/>
      <c r="N33" s="2"/>
      <c r="O33" s="5"/>
      <c r="P33" s="5"/>
      <c r="Q33" s="5"/>
      <c r="R33" s="5"/>
      <c r="S33" s="5"/>
      <c r="T33" s="5"/>
      <c r="U33" s="5"/>
    </row>
    <row r="34" spans="1:21" x14ac:dyDescent="0.25">
      <c r="A34" s="5"/>
      <c r="B34" s="5"/>
      <c r="C34" s="5"/>
      <c r="D34" s="5"/>
      <c r="E34" s="5"/>
      <c r="F34" s="5"/>
      <c r="G34" s="5" t="s">
        <v>27</v>
      </c>
      <c r="H34" s="2" t="s">
        <v>229</v>
      </c>
      <c r="J34" s="5">
        <v>70.88</v>
      </c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</row>
    <row r="35" spans="1:21" x14ac:dyDescent="0.25">
      <c r="A35" s="5" t="s">
        <v>1</v>
      </c>
      <c r="B35" s="5"/>
      <c r="D35" s="5">
        <v>8</v>
      </c>
      <c r="E35" s="5"/>
      <c r="F35" s="5"/>
      <c r="G35" s="5" t="s">
        <v>27</v>
      </c>
      <c r="H35" s="2" t="s">
        <v>229</v>
      </c>
      <c r="J35" s="5">
        <v>3.99</v>
      </c>
      <c r="K35" s="38"/>
      <c r="L35" s="5"/>
      <c r="M35" s="5"/>
      <c r="N35" s="5"/>
      <c r="O35" s="5"/>
      <c r="P35" s="5"/>
      <c r="Q35" s="5"/>
      <c r="R35" s="5"/>
      <c r="S35" s="5"/>
      <c r="T35" s="5"/>
      <c r="U35" s="5"/>
    </row>
    <row r="36" spans="1:21" x14ac:dyDescent="0.25">
      <c r="A36" s="5" t="s">
        <v>3</v>
      </c>
      <c r="B36" s="5"/>
      <c r="D36" s="5">
        <v>20.76</v>
      </c>
      <c r="E36" s="5"/>
      <c r="F36" s="5"/>
      <c r="G36" s="5" t="s">
        <v>14</v>
      </c>
      <c r="H36" s="2" t="s">
        <v>232</v>
      </c>
      <c r="J36" s="5">
        <v>1.01</v>
      </c>
      <c r="K36" s="5" t="s">
        <v>239</v>
      </c>
      <c r="L36" s="5"/>
      <c r="M36" s="5">
        <v>5</v>
      </c>
      <c r="N36" s="5"/>
      <c r="O36" s="5"/>
      <c r="P36" s="5"/>
      <c r="Q36" s="5"/>
      <c r="R36" s="5"/>
      <c r="S36" s="5"/>
      <c r="T36" s="5"/>
      <c r="U36" s="5"/>
    </row>
    <row r="37" spans="1:21" x14ac:dyDescent="0.25">
      <c r="A37" s="5" t="s">
        <v>4</v>
      </c>
      <c r="B37" s="5"/>
      <c r="D37" s="5">
        <v>250</v>
      </c>
      <c r="E37" s="5"/>
      <c r="F37" s="5"/>
      <c r="G37" s="5" t="s">
        <v>36</v>
      </c>
      <c r="H37" s="2" t="s">
        <v>232</v>
      </c>
      <c r="J37" s="5">
        <f>4.5-2.78</f>
        <v>1.7200000000000002</v>
      </c>
      <c r="K37" s="38" t="s">
        <v>241</v>
      </c>
      <c r="L37" s="5"/>
      <c r="M37" s="5">
        <v>4.5</v>
      </c>
      <c r="N37" s="5"/>
      <c r="O37" s="5"/>
      <c r="P37" s="5"/>
      <c r="Q37" s="5"/>
      <c r="R37" s="5"/>
      <c r="S37" s="5"/>
      <c r="T37" s="5"/>
      <c r="U37" s="5"/>
    </row>
    <row r="38" spans="1:21" x14ac:dyDescent="0.25">
      <c r="A38" s="5" t="s">
        <v>128</v>
      </c>
      <c r="B38" s="5"/>
      <c r="D38" s="5">
        <v>10</v>
      </c>
      <c r="E38" s="5"/>
      <c r="F38" s="5"/>
      <c r="G38" s="5" t="s">
        <v>13</v>
      </c>
      <c r="H38" s="2" t="s">
        <v>232</v>
      </c>
      <c r="J38" s="5">
        <f>15.28-8.29</f>
        <v>6.99</v>
      </c>
      <c r="K38" s="5" t="s">
        <v>240</v>
      </c>
      <c r="L38" s="5"/>
      <c r="M38" s="5">
        <v>15.28</v>
      </c>
      <c r="N38" s="5"/>
      <c r="O38" s="5"/>
      <c r="P38" s="5"/>
      <c r="Q38" s="5"/>
      <c r="R38" s="5"/>
      <c r="S38" s="5"/>
      <c r="T38" s="5"/>
      <c r="U38" s="5"/>
    </row>
    <row r="39" spans="1:21" x14ac:dyDescent="0.25">
      <c r="A39" s="5" t="s">
        <v>37</v>
      </c>
      <c r="B39" s="5"/>
      <c r="C39" s="5">
        <v>10</v>
      </c>
      <c r="E39" s="5"/>
      <c r="F39" s="5"/>
      <c r="G39" s="5" t="s">
        <v>243</v>
      </c>
      <c r="H39" s="2" t="s">
        <v>232</v>
      </c>
      <c r="J39" s="5">
        <v>14.21</v>
      </c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</row>
    <row r="40" spans="1:21" x14ac:dyDescent="0.25">
      <c r="A40" s="5" t="s">
        <v>224</v>
      </c>
      <c r="B40" s="5"/>
      <c r="C40" s="5"/>
      <c r="D40" s="5">
        <f>50+116</f>
        <v>166</v>
      </c>
      <c r="E40" s="5"/>
      <c r="F40" s="5"/>
      <c r="G40" s="5" t="s">
        <v>12</v>
      </c>
      <c r="H40" s="2" t="s">
        <v>232</v>
      </c>
      <c r="J40" s="5">
        <v>39.67</v>
      </c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</row>
    <row r="41" spans="1:21" x14ac:dyDescent="0.25">
      <c r="A41" s="5" t="s">
        <v>48</v>
      </c>
      <c r="B41" s="5"/>
      <c r="D41" s="5">
        <v>12.52</v>
      </c>
      <c r="E41" s="5"/>
      <c r="F41" s="5"/>
      <c r="G41" s="5" t="s">
        <v>36</v>
      </c>
      <c r="H41" s="2" t="s">
        <v>233</v>
      </c>
      <c r="J41" s="5">
        <v>4.7</v>
      </c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</row>
    <row r="42" spans="1:21" x14ac:dyDescent="0.25">
      <c r="A42" s="5" t="s">
        <v>144</v>
      </c>
      <c r="B42" s="5"/>
      <c r="C42" s="5">
        <v>10</v>
      </c>
      <c r="E42" s="5"/>
      <c r="F42" s="5"/>
      <c r="G42" s="5" t="s">
        <v>26</v>
      </c>
      <c r="H42" s="2" t="s">
        <v>233</v>
      </c>
      <c r="I42" s="4">
        <v>11.13</v>
      </c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</row>
    <row r="43" spans="1:21" x14ac:dyDescent="0.25">
      <c r="A43" s="5" t="s">
        <v>216</v>
      </c>
      <c r="B43" s="5"/>
      <c r="C43" s="5">
        <v>107.41</v>
      </c>
      <c r="D43" s="5">
        <f>200-21-14.21-15.28-42.1</f>
        <v>107.41</v>
      </c>
      <c r="E43" s="5"/>
      <c r="F43" s="5"/>
      <c r="G43" s="5" t="s">
        <v>36</v>
      </c>
      <c r="H43" s="2" t="s">
        <v>233</v>
      </c>
      <c r="I43" s="4">
        <v>4.7</v>
      </c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</row>
    <row r="44" spans="1:21" x14ac:dyDescent="0.25">
      <c r="A44" s="5" t="s">
        <v>230</v>
      </c>
      <c r="B44" s="5"/>
      <c r="C44" s="5"/>
      <c r="D44" s="5"/>
      <c r="E44" s="5"/>
      <c r="F44" s="5"/>
      <c r="G44" t="s">
        <v>13</v>
      </c>
      <c r="H44" s="2" t="s">
        <v>235</v>
      </c>
      <c r="J44">
        <v>12.58</v>
      </c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</row>
    <row r="45" spans="1:21" x14ac:dyDescent="0.25">
      <c r="A45" s="5" t="s">
        <v>19</v>
      </c>
      <c r="B45" s="5"/>
      <c r="C45" s="5">
        <f>SUM(C35:C44)</f>
        <v>127.41</v>
      </c>
      <c r="D45" s="5"/>
      <c r="E45" s="5"/>
      <c r="F45" s="5"/>
      <c r="G45" s="5" t="s">
        <v>234</v>
      </c>
      <c r="H45" s="2" t="s">
        <v>235</v>
      </c>
      <c r="J45" s="5">
        <v>116</v>
      </c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</row>
    <row r="46" spans="1:21" x14ac:dyDescent="0.25">
      <c r="A46" s="5"/>
      <c r="B46" s="5"/>
      <c r="C46" s="5"/>
      <c r="D46" s="5"/>
      <c r="E46" s="5"/>
      <c r="F46" s="5"/>
      <c r="G46" s="5" t="s">
        <v>236</v>
      </c>
      <c r="H46" s="2" t="s">
        <v>235</v>
      </c>
      <c r="J46" s="5">
        <v>8.9700000000000006</v>
      </c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</row>
    <row r="47" spans="1:21" x14ac:dyDescent="0.25">
      <c r="A47" s="5"/>
      <c r="B47" s="5"/>
      <c r="C47" s="5"/>
      <c r="D47" s="5"/>
      <c r="E47" s="5"/>
      <c r="F47" s="5"/>
      <c r="G47" t="s">
        <v>27</v>
      </c>
      <c r="H47" s="2" t="s">
        <v>235</v>
      </c>
      <c r="I47">
        <v>91.4</v>
      </c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</row>
    <row r="48" spans="1:21" ht="15.75" x14ac:dyDescent="0.25">
      <c r="A48" s="5"/>
      <c r="B48" s="5"/>
      <c r="C48" s="5"/>
      <c r="D48" s="5"/>
      <c r="E48" s="5"/>
      <c r="F48" s="5"/>
      <c r="G48" s="5" t="s">
        <v>26</v>
      </c>
      <c r="H48" s="2" t="s">
        <v>242</v>
      </c>
      <c r="I48" s="39">
        <v>11.3</v>
      </c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</row>
    <row r="49" spans="1:21" ht="15.75" x14ac:dyDescent="0.25">
      <c r="A49" s="5"/>
      <c r="B49" s="5"/>
      <c r="C49" s="5"/>
      <c r="D49" s="5"/>
      <c r="E49" s="5"/>
      <c r="F49" s="5"/>
      <c r="G49" s="5" t="s">
        <v>50</v>
      </c>
      <c r="H49" s="2" t="s">
        <v>242</v>
      </c>
      <c r="I49" s="39">
        <v>25</v>
      </c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</row>
    <row r="50" spans="1:21" x14ac:dyDescent="0.25">
      <c r="A50" s="5" t="s">
        <v>17</v>
      </c>
      <c r="B50" s="5"/>
      <c r="C50" s="5">
        <f>C32-C45-I86</f>
        <v>-266.39</v>
      </c>
      <c r="D50" s="5"/>
      <c r="E50" s="5"/>
      <c r="F50" s="5"/>
      <c r="G50" s="5" t="s">
        <v>27</v>
      </c>
      <c r="H50" s="2" t="s">
        <v>244</v>
      </c>
      <c r="I50" s="5">
        <v>15.96</v>
      </c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</row>
    <row r="51" spans="1:21" x14ac:dyDescent="0.25">
      <c r="A51" s="5"/>
      <c r="B51" s="5"/>
      <c r="C51" s="5"/>
      <c r="D51" s="5"/>
      <c r="E51" s="5"/>
      <c r="F51" s="5"/>
      <c r="G51" s="5" t="s">
        <v>12</v>
      </c>
      <c r="H51" s="2" t="s">
        <v>244</v>
      </c>
      <c r="I51" s="5">
        <v>33.71</v>
      </c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</row>
    <row r="52" spans="1:21" ht="15.75" thickBot="1" x14ac:dyDescent="0.3">
      <c r="A52" s="5"/>
      <c r="B52" s="5"/>
      <c r="C52" s="5"/>
      <c r="D52" s="5"/>
      <c r="E52" s="5"/>
      <c r="F52" s="5"/>
      <c r="G52" s="5" t="s">
        <v>26</v>
      </c>
      <c r="H52" s="2" t="s">
        <v>245</v>
      </c>
      <c r="I52" s="5">
        <v>6.84</v>
      </c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</row>
    <row r="53" spans="1:21" ht="16.5" customHeight="1" x14ac:dyDescent="0.25">
      <c r="A53" s="20" t="s">
        <v>51</v>
      </c>
      <c r="B53" s="21" t="s">
        <v>52</v>
      </c>
      <c r="C53" s="21" t="s">
        <v>53</v>
      </c>
      <c r="D53" s="22" t="s">
        <v>54</v>
      </c>
      <c r="E53" s="5"/>
      <c r="F53" s="5"/>
      <c r="G53" s="5" t="s">
        <v>246</v>
      </c>
      <c r="H53" s="2" t="s">
        <v>245</v>
      </c>
      <c r="I53" s="5">
        <v>34.340000000000003</v>
      </c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</row>
    <row r="54" spans="1:21" x14ac:dyDescent="0.25">
      <c r="A54" s="34">
        <v>3450041444</v>
      </c>
      <c r="B54" s="33" t="s">
        <v>237</v>
      </c>
      <c r="C54" s="33" t="s">
        <v>47</v>
      </c>
      <c r="D54" s="35" t="s">
        <v>47</v>
      </c>
      <c r="E54" s="5"/>
      <c r="F54" s="5"/>
      <c r="G54" s="5" t="s">
        <v>12</v>
      </c>
      <c r="H54" s="2" t="s">
        <v>247</v>
      </c>
      <c r="I54" s="5">
        <v>4.29</v>
      </c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</row>
    <row r="55" spans="1:21" x14ac:dyDescent="0.25">
      <c r="A55" s="11">
        <v>4390750000073610</v>
      </c>
      <c r="B55" s="7" t="s">
        <v>227</v>
      </c>
      <c r="C55" s="7" t="s">
        <v>47</v>
      </c>
      <c r="D55" s="12" t="s">
        <v>228</v>
      </c>
      <c r="E55" s="5"/>
      <c r="F55" s="5"/>
      <c r="G55" s="5" t="s">
        <v>12</v>
      </c>
      <c r="H55" s="2" t="s">
        <v>247</v>
      </c>
      <c r="I55" s="5">
        <v>9.01</v>
      </c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</row>
    <row r="56" spans="1:21" ht="15.75" thickBot="1" x14ac:dyDescent="0.3">
      <c r="A56" s="13" t="s">
        <v>5</v>
      </c>
      <c r="B56" s="14" t="s">
        <v>238</v>
      </c>
      <c r="C56" s="14" t="s">
        <v>47</v>
      </c>
      <c r="D56" s="19" t="s">
        <v>228</v>
      </c>
      <c r="E56" s="5"/>
      <c r="F56" s="5"/>
      <c r="G56" s="5" t="s">
        <v>193</v>
      </c>
      <c r="H56" s="2" t="s">
        <v>247</v>
      </c>
      <c r="I56" s="5">
        <v>42.1</v>
      </c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</row>
    <row r="57" spans="1:21" x14ac:dyDescent="0.25">
      <c r="A57" s="5"/>
      <c r="B57" s="5"/>
      <c r="C57" s="5"/>
      <c r="D57" s="5"/>
      <c r="E57" s="5"/>
      <c r="F57" s="5"/>
      <c r="G57" s="5" t="s">
        <v>40</v>
      </c>
      <c r="H57" s="2" t="s">
        <v>247</v>
      </c>
      <c r="I57" s="5">
        <v>20</v>
      </c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</row>
    <row r="58" spans="1:21" x14ac:dyDescent="0.25">
      <c r="A58" s="5"/>
      <c r="B58" s="5"/>
      <c r="C58" s="5"/>
      <c r="D58" s="5"/>
      <c r="E58" s="5"/>
      <c r="F58" s="5"/>
      <c r="G58" s="5" t="s">
        <v>12</v>
      </c>
      <c r="H58" s="2" t="s">
        <v>247</v>
      </c>
      <c r="I58" s="5">
        <v>7.5</v>
      </c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</row>
    <row r="59" spans="1:21" x14ac:dyDescent="0.25">
      <c r="A59" s="5"/>
      <c r="B59" s="5"/>
      <c r="C59" s="5"/>
      <c r="D59" s="5"/>
      <c r="E59" s="5"/>
      <c r="F59" s="5"/>
      <c r="G59" s="5" t="s">
        <v>27</v>
      </c>
      <c r="H59" s="2" t="s">
        <v>248</v>
      </c>
      <c r="I59" s="5">
        <v>100.18</v>
      </c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</row>
    <row r="60" spans="1:2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</row>
    <row r="61" spans="1:2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</row>
    <row r="62" spans="1:2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</row>
    <row r="63" spans="1:2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</row>
    <row r="64" spans="1:2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</row>
    <row r="65" spans="1:2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</row>
    <row r="66" spans="1:2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</row>
    <row r="67" spans="1:2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</row>
    <row r="68" spans="1:2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</row>
    <row r="69" spans="1:2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</row>
    <row r="70" spans="1:2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</row>
    <row r="71" spans="1:2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</row>
    <row r="72" spans="1:2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</row>
    <row r="73" spans="1:2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</row>
    <row r="74" spans="1:2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</row>
    <row r="75" spans="1:2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</row>
    <row r="76" spans="1:2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</row>
    <row r="77" spans="1:2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</row>
    <row r="78" spans="1:2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</row>
    <row r="79" spans="1:2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</row>
    <row r="80" spans="1:2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</row>
    <row r="81" spans="1:2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</row>
    <row r="82" spans="1:2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</row>
    <row r="83" spans="1:2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</row>
    <row r="84" spans="1:2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</row>
    <row r="85" spans="1:2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</row>
    <row r="86" spans="1:21" x14ac:dyDescent="0.25">
      <c r="A86" s="5"/>
      <c r="B86" s="5"/>
      <c r="C86" s="5"/>
      <c r="D86" s="5"/>
      <c r="E86" s="5"/>
      <c r="F86" s="5"/>
      <c r="G86" s="5" t="s">
        <v>22</v>
      </c>
      <c r="H86" s="5"/>
      <c r="I86" s="5">
        <f>SUM(I28:I85)</f>
        <v>417.46000000000004</v>
      </c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</row>
    <row r="87" spans="1:2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</row>
    <row r="88" spans="1:2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</row>
    <row r="89" spans="1:2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</row>
    <row r="90" spans="1:2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</row>
    <row r="91" spans="1:2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</row>
    <row r="92" spans="1:2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</row>
    <row r="93" spans="1:2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</row>
    <row r="94" spans="1:2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</row>
    <row r="95" spans="1:2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6"/>
  <sheetViews>
    <sheetView topLeftCell="A21" workbookViewId="0">
      <selection activeCell="A42" sqref="A42"/>
    </sheetView>
  </sheetViews>
  <sheetFormatPr defaultRowHeight="15" x14ac:dyDescent="0.25"/>
  <cols>
    <col min="1" max="1" width="29.42578125" style="5" bestFit="1" customWidth="1"/>
    <col min="2" max="6" width="9.140625" style="5"/>
    <col min="7" max="7" width="14.7109375" style="5" bestFit="1" customWidth="1"/>
    <col min="8" max="8" width="11.140625" style="5" customWidth="1"/>
    <col min="9" max="10" width="9.140625" style="5"/>
    <col min="11" max="11" width="28.140625" style="5" customWidth="1"/>
    <col min="12" max="12" width="10.7109375" style="5" bestFit="1" customWidth="1"/>
    <col min="13" max="13" width="9.140625" style="5"/>
    <col min="14" max="14" width="11.140625" style="5" customWidth="1"/>
    <col min="15" max="15" width="20.85546875" style="5" customWidth="1"/>
    <col min="16" max="16384" width="9.140625" style="5"/>
  </cols>
  <sheetData>
    <row r="1" spans="1:18" x14ac:dyDescent="0.25">
      <c r="K1" s="5" t="s">
        <v>36</v>
      </c>
      <c r="L1" s="2" t="s">
        <v>233</v>
      </c>
      <c r="N1" s="5">
        <v>4.7</v>
      </c>
    </row>
    <row r="2" spans="1:18" x14ac:dyDescent="0.25">
      <c r="K2" s="5" t="s">
        <v>27</v>
      </c>
      <c r="L2" s="2" t="s">
        <v>235</v>
      </c>
      <c r="N2" s="5">
        <v>91.4</v>
      </c>
    </row>
    <row r="3" spans="1:18" x14ac:dyDescent="0.25">
      <c r="K3" s="5" t="s">
        <v>26</v>
      </c>
      <c r="L3" s="2" t="s">
        <v>242</v>
      </c>
      <c r="N3" s="5">
        <v>11.3</v>
      </c>
    </row>
    <row r="4" spans="1:18" x14ac:dyDescent="0.25">
      <c r="A4" s="5" t="s">
        <v>213</v>
      </c>
      <c r="E4" s="5">
        <v>240</v>
      </c>
      <c r="K4" s="5" t="s">
        <v>50</v>
      </c>
      <c r="L4" s="2" t="s">
        <v>242</v>
      </c>
      <c r="N4" s="5">
        <v>25</v>
      </c>
    </row>
    <row r="5" spans="1:18" x14ac:dyDescent="0.25">
      <c r="A5" s="5" t="s">
        <v>114</v>
      </c>
      <c r="E5" s="5">
        <v>35</v>
      </c>
      <c r="K5" s="5" t="s">
        <v>27</v>
      </c>
      <c r="L5" s="2" t="s">
        <v>244</v>
      </c>
      <c r="N5" s="5">
        <v>15.96</v>
      </c>
    </row>
    <row r="6" spans="1:18" x14ac:dyDescent="0.25">
      <c r="A6" s="5" t="s">
        <v>2</v>
      </c>
      <c r="E6" s="5">
        <v>50</v>
      </c>
      <c r="K6" s="5" t="s">
        <v>12</v>
      </c>
      <c r="L6" s="2" t="s">
        <v>244</v>
      </c>
      <c r="N6" s="5">
        <v>33.71</v>
      </c>
      <c r="P6" s="5">
        <f>4.71-3.83</f>
        <v>0.87999999999999989</v>
      </c>
      <c r="Q6" s="5">
        <v>4.71</v>
      </c>
    </row>
    <row r="7" spans="1:18" x14ac:dyDescent="0.25">
      <c r="A7" s="5" t="s">
        <v>0</v>
      </c>
      <c r="E7" s="5">
        <v>80</v>
      </c>
      <c r="K7" s="5" t="s">
        <v>26</v>
      </c>
      <c r="L7" s="2" t="s">
        <v>245</v>
      </c>
      <c r="N7" s="5">
        <v>6.84</v>
      </c>
    </row>
    <row r="8" spans="1:18" x14ac:dyDescent="0.25">
      <c r="A8" s="5" t="s">
        <v>8</v>
      </c>
      <c r="E8" s="5">
        <v>30</v>
      </c>
      <c r="K8" s="5" t="s">
        <v>246</v>
      </c>
      <c r="L8" s="2" t="s">
        <v>245</v>
      </c>
      <c r="N8" s="5">
        <v>34.340000000000003</v>
      </c>
    </row>
    <row r="9" spans="1:18" x14ac:dyDescent="0.25">
      <c r="A9" s="5" t="s">
        <v>1</v>
      </c>
      <c r="E9" s="5">
        <v>10</v>
      </c>
      <c r="K9" s="5" t="s">
        <v>12</v>
      </c>
      <c r="L9" s="2" t="s">
        <v>247</v>
      </c>
      <c r="N9" s="5">
        <v>4.29</v>
      </c>
    </row>
    <row r="10" spans="1:18" x14ac:dyDescent="0.25">
      <c r="A10" s="5" t="s">
        <v>4</v>
      </c>
      <c r="D10" s="5">
        <v>60</v>
      </c>
      <c r="I10" s="5">
        <f>95-45</f>
        <v>50</v>
      </c>
      <c r="K10" s="5" t="s">
        <v>12</v>
      </c>
      <c r="L10" s="2" t="s">
        <v>247</v>
      </c>
      <c r="N10" s="5">
        <v>9.01</v>
      </c>
    </row>
    <row r="11" spans="1:18" x14ac:dyDescent="0.25">
      <c r="A11" s="5" t="s">
        <v>9</v>
      </c>
      <c r="E11" s="5">
        <v>15</v>
      </c>
      <c r="K11" s="5" t="s">
        <v>193</v>
      </c>
      <c r="L11" s="2" t="s">
        <v>247</v>
      </c>
      <c r="N11" s="5">
        <v>42.1</v>
      </c>
    </row>
    <row r="12" spans="1:18" x14ac:dyDescent="0.25">
      <c r="A12" s="2" t="s">
        <v>168</v>
      </c>
      <c r="K12" s="5" t="s">
        <v>40</v>
      </c>
      <c r="L12" s="2" t="s">
        <v>247</v>
      </c>
      <c r="N12" s="5">
        <v>20</v>
      </c>
    </row>
    <row r="13" spans="1:18" x14ac:dyDescent="0.25">
      <c r="A13" s="5" t="s">
        <v>115</v>
      </c>
      <c r="E13" s="5">
        <v>116</v>
      </c>
      <c r="H13" s="5">
        <f>68.65+97</f>
        <v>165.65</v>
      </c>
      <c r="K13" s="5" t="s">
        <v>12</v>
      </c>
      <c r="L13" s="2" t="s">
        <v>247</v>
      </c>
      <c r="N13" s="5">
        <v>5.14</v>
      </c>
      <c r="O13" s="38" t="s">
        <v>251</v>
      </c>
      <c r="Q13" s="5">
        <f>7.5-2.36</f>
        <v>5.1400000000000006</v>
      </c>
      <c r="R13" s="5">
        <v>7.5</v>
      </c>
    </row>
    <row r="14" spans="1:18" x14ac:dyDescent="0.25">
      <c r="A14" s="5" t="s">
        <v>37</v>
      </c>
      <c r="E14" s="5">
        <v>20</v>
      </c>
      <c r="K14" s="5" t="s">
        <v>27</v>
      </c>
      <c r="L14" s="2" t="s">
        <v>248</v>
      </c>
      <c r="N14" s="5">
        <v>100.18</v>
      </c>
    </row>
    <row r="15" spans="1:18" x14ac:dyDescent="0.25">
      <c r="A15" s="5" t="s">
        <v>116</v>
      </c>
      <c r="E15" s="5">
        <v>25</v>
      </c>
      <c r="K15" s="5" t="s">
        <v>12</v>
      </c>
      <c r="L15" s="2" t="s">
        <v>252</v>
      </c>
      <c r="N15" s="5">
        <v>36.43</v>
      </c>
    </row>
    <row r="16" spans="1:18" x14ac:dyDescent="0.25">
      <c r="A16" s="5" t="s">
        <v>184</v>
      </c>
      <c r="E16" s="5">
        <v>40</v>
      </c>
      <c r="K16" s="5" t="s">
        <v>14</v>
      </c>
      <c r="L16" s="2" t="s">
        <v>252</v>
      </c>
      <c r="N16" s="5">
        <v>3.33</v>
      </c>
    </row>
    <row r="17" spans="1:17" x14ac:dyDescent="0.25">
      <c r="A17" s="5" t="s">
        <v>250</v>
      </c>
      <c r="F17" s="5" t="s">
        <v>6</v>
      </c>
      <c r="I17" s="5">
        <v>2</v>
      </c>
      <c r="K17" s="5" t="s">
        <v>26</v>
      </c>
      <c r="L17" s="2" t="s">
        <v>253</v>
      </c>
      <c r="N17" s="5">
        <v>9.5500000000000007</v>
      </c>
      <c r="O17" s="38" t="s">
        <v>256</v>
      </c>
      <c r="Q17" s="5">
        <v>13.56</v>
      </c>
    </row>
    <row r="18" spans="1:17" x14ac:dyDescent="0.25">
      <c r="F18" s="5" t="s">
        <v>7</v>
      </c>
      <c r="H18" s="5">
        <v>22.3</v>
      </c>
      <c r="K18" s="5" t="s">
        <v>27</v>
      </c>
      <c r="L18" s="2" t="s">
        <v>254</v>
      </c>
      <c r="N18" s="5">
        <v>40.99</v>
      </c>
    </row>
    <row r="19" spans="1:17" x14ac:dyDescent="0.25">
      <c r="F19" s="5" t="s">
        <v>20</v>
      </c>
      <c r="H19" s="5">
        <v>80</v>
      </c>
      <c r="K19" s="5" t="s">
        <v>27</v>
      </c>
      <c r="L19" s="2" t="s">
        <v>254</v>
      </c>
      <c r="N19" s="5">
        <v>72.319999999999993</v>
      </c>
    </row>
    <row r="20" spans="1:17" x14ac:dyDescent="0.25">
      <c r="A20" s="5" t="s">
        <v>5</v>
      </c>
      <c r="D20" s="5">
        <f>SUM(D4:D19)</f>
        <v>60</v>
      </c>
      <c r="F20" s="5" t="s">
        <v>138</v>
      </c>
      <c r="H20" s="5">
        <v>26</v>
      </c>
      <c r="K20" s="5" t="s">
        <v>36</v>
      </c>
      <c r="L20" s="2" t="s">
        <v>255</v>
      </c>
      <c r="N20" s="5">
        <v>3.75</v>
      </c>
    </row>
    <row r="21" spans="1:17" x14ac:dyDescent="0.25">
      <c r="F21" s="5" t="s">
        <v>266</v>
      </c>
      <c r="H21" s="5">
        <v>106.32</v>
      </c>
      <c r="I21" s="5">
        <f>72.32+30+4</f>
        <v>106.32</v>
      </c>
      <c r="K21" s="5" t="s">
        <v>257</v>
      </c>
      <c r="L21" s="2" t="s">
        <v>255</v>
      </c>
      <c r="N21" s="5">
        <v>29.85</v>
      </c>
    </row>
    <row r="22" spans="1:17" x14ac:dyDescent="0.25">
      <c r="K22" s="5" t="s">
        <v>258</v>
      </c>
      <c r="L22" s="2" t="s">
        <v>259</v>
      </c>
      <c r="N22" s="5">
        <v>48.6</v>
      </c>
    </row>
    <row r="23" spans="1:17" x14ac:dyDescent="0.25">
      <c r="F23" s="5" t="s">
        <v>5</v>
      </c>
      <c r="H23" s="5">
        <f>SUM(H17:H21)</f>
        <v>234.62</v>
      </c>
      <c r="K23" s="5" t="s">
        <v>12</v>
      </c>
      <c r="L23" s="2" t="s">
        <v>260</v>
      </c>
      <c r="N23" s="5">
        <v>36.31</v>
      </c>
    </row>
    <row r="24" spans="1:17" x14ac:dyDescent="0.25">
      <c r="F24" s="5" t="s">
        <v>17</v>
      </c>
      <c r="H24" s="5">
        <f>H23-D20-M34</f>
        <v>89.100000000000009</v>
      </c>
      <c r="K24" s="5" t="s">
        <v>12</v>
      </c>
      <c r="L24" s="2" t="s">
        <v>261</v>
      </c>
      <c r="N24" s="5">
        <v>9.4499999999999993</v>
      </c>
      <c r="O24" s="38" t="s">
        <v>262</v>
      </c>
      <c r="P24" s="5">
        <f>11.99-2.54</f>
        <v>9.4499999999999993</v>
      </c>
      <c r="Q24" s="5">
        <v>11.99</v>
      </c>
    </row>
    <row r="25" spans="1:17" x14ac:dyDescent="0.25">
      <c r="A25" s="5" t="s">
        <v>231</v>
      </c>
      <c r="K25" s="5" t="s">
        <v>109</v>
      </c>
      <c r="L25" s="2" t="s">
        <v>261</v>
      </c>
      <c r="N25" s="5">
        <v>4.41</v>
      </c>
      <c r="O25" s="38" t="s">
        <v>263</v>
      </c>
      <c r="P25" s="5">
        <f>5.25-0.84</f>
        <v>4.41</v>
      </c>
      <c r="Q25" s="5">
        <v>5.25</v>
      </c>
    </row>
    <row r="26" spans="1:17" x14ac:dyDescent="0.25">
      <c r="K26" s="5" t="s">
        <v>26</v>
      </c>
      <c r="L26" s="2" t="s">
        <v>261</v>
      </c>
      <c r="N26" s="5">
        <v>14.91</v>
      </c>
    </row>
    <row r="27" spans="1:17" x14ac:dyDescent="0.25">
      <c r="A27" s="5" t="s">
        <v>6</v>
      </c>
      <c r="D27" s="5">
        <v>3</v>
      </c>
      <c r="K27" s="5" t="s">
        <v>26</v>
      </c>
      <c r="L27" s="2" t="s">
        <v>265</v>
      </c>
      <c r="M27" s="5">
        <v>10.53</v>
      </c>
    </row>
    <row r="28" spans="1:17" x14ac:dyDescent="0.25">
      <c r="A28" s="5" t="s">
        <v>7</v>
      </c>
      <c r="C28" s="5">
        <v>17.48</v>
      </c>
      <c r="D28" s="5">
        <f>550.03+22.3</f>
        <v>572.32999999999993</v>
      </c>
      <c r="K28" s="5" t="s">
        <v>193</v>
      </c>
      <c r="L28" s="2" t="s">
        <v>267</v>
      </c>
      <c r="M28" s="5">
        <v>64.989999999999995</v>
      </c>
    </row>
    <row r="29" spans="1:17" x14ac:dyDescent="0.25">
      <c r="A29" s="5" t="s">
        <v>11</v>
      </c>
      <c r="C29" s="5">
        <v>19</v>
      </c>
      <c r="D29" s="5">
        <v>128.6</v>
      </c>
      <c r="K29" s="5" t="s">
        <v>268</v>
      </c>
      <c r="L29" s="2" t="s">
        <v>267</v>
      </c>
      <c r="M29" s="5">
        <v>10</v>
      </c>
    </row>
    <row r="30" spans="1:17" x14ac:dyDescent="0.25">
      <c r="A30" s="5" t="s">
        <v>138</v>
      </c>
      <c r="C30" s="5">
        <v>1.3</v>
      </c>
    </row>
    <row r="31" spans="1:17" x14ac:dyDescent="0.25">
      <c r="A31" s="5" t="s">
        <v>274</v>
      </c>
      <c r="C31" s="5">
        <v>226.41</v>
      </c>
      <c r="E31" s="5">
        <f>90.6+30+4+10+10+81.81</f>
        <v>226.41</v>
      </c>
    </row>
    <row r="32" spans="1:17" x14ac:dyDescent="0.25">
      <c r="A32" s="5" t="s">
        <v>5</v>
      </c>
      <c r="C32" s="5">
        <f>SUM(C27:C31)</f>
        <v>264.19</v>
      </c>
    </row>
    <row r="33" spans="1:14" x14ac:dyDescent="0.25">
      <c r="A33" s="5" t="s">
        <v>18</v>
      </c>
    </row>
    <row r="34" spans="1:14" x14ac:dyDescent="0.25">
      <c r="L34" s="5" t="s">
        <v>15</v>
      </c>
      <c r="M34" s="5">
        <f>SUM(M1:M33)</f>
        <v>85.52</v>
      </c>
    </row>
    <row r="35" spans="1:14" x14ac:dyDescent="0.25">
      <c r="A35" s="5" t="s">
        <v>1</v>
      </c>
      <c r="C35" s="5">
        <v>15</v>
      </c>
    </row>
    <row r="36" spans="1:14" x14ac:dyDescent="0.25">
      <c r="A36" s="5" t="s">
        <v>3</v>
      </c>
      <c r="D36" s="5">
        <v>20.76</v>
      </c>
      <c r="G36" s="5" t="s">
        <v>24</v>
      </c>
      <c r="H36" s="5" t="s">
        <v>23</v>
      </c>
      <c r="I36" s="5" t="s">
        <v>25</v>
      </c>
    </row>
    <row r="37" spans="1:14" x14ac:dyDescent="0.25">
      <c r="A37" s="5" t="s">
        <v>4</v>
      </c>
      <c r="D37" s="5">
        <v>119</v>
      </c>
      <c r="G37" s="5" t="s">
        <v>12</v>
      </c>
      <c r="H37" s="2" t="s">
        <v>261</v>
      </c>
      <c r="J37" s="5">
        <v>9.4499999999999993</v>
      </c>
      <c r="K37" s="38" t="s">
        <v>262</v>
      </c>
      <c r="M37" s="5">
        <v>11.99</v>
      </c>
    </row>
    <row r="38" spans="1:14" x14ac:dyDescent="0.25">
      <c r="A38" s="5" t="s">
        <v>128</v>
      </c>
      <c r="D38" s="5">
        <v>10</v>
      </c>
      <c r="G38" s="5" t="s">
        <v>109</v>
      </c>
      <c r="H38" s="2" t="s">
        <v>261</v>
      </c>
      <c r="J38" s="5">
        <v>4.41</v>
      </c>
      <c r="K38" s="38" t="s">
        <v>263</v>
      </c>
      <c r="L38" s="5">
        <f>5.25-0.84</f>
        <v>4.41</v>
      </c>
      <c r="M38" s="5">
        <v>5.25</v>
      </c>
    </row>
    <row r="39" spans="1:14" x14ac:dyDescent="0.25">
      <c r="A39" s="5" t="s">
        <v>37</v>
      </c>
      <c r="G39" s="5" t="s">
        <v>26</v>
      </c>
      <c r="H39" s="2" t="s">
        <v>261</v>
      </c>
      <c r="J39" s="5">
        <v>14.91</v>
      </c>
    </row>
    <row r="40" spans="1:14" x14ac:dyDescent="0.25">
      <c r="A40" s="5" t="s">
        <v>224</v>
      </c>
      <c r="D40" s="5">
        <v>116</v>
      </c>
      <c r="G40" s="5" t="s">
        <v>27</v>
      </c>
      <c r="H40" s="2" t="s">
        <v>264</v>
      </c>
      <c r="J40" s="5">
        <v>12.69</v>
      </c>
      <c r="M40" s="2"/>
    </row>
    <row r="41" spans="1:14" x14ac:dyDescent="0.25">
      <c r="A41" s="5" t="s">
        <v>48</v>
      </c>
      <c r="D41" s="5">
        <v>12.53</v>
      </c>
      <c r="G41" s="5" t="s">
        <v>27</v>
      </c>
      <c r="H41" s="2" t="s">
        <v>264</v>
      </c>
      <c r="J41" s="5">
        <v>6.99</v>
      </c>
      <c r="N41" s="2"/>
    </row>
    <row r="42" spans="1:14" x14ac:dyDescent="0.25">
      <c r="A42" s="5" t="s">
        <v>144</v>
      </c>
      <c r="D42" s="5">
        <v>10</v>
      </c>
      <c r="G42" s="5" t="s">
        <v>27</v>
      </c>
      <c r="H42" s="2" t="s">
        <v>264</v>
      </c>
      <c r="J42" s="5">
        <v>90.6</v>
      </c>
      <c r="N42" s="2"/>
    </row>
    <row r="43" spans="1:14" x14ac:dyDescent="0.25">
      <c r="A43" s="5" t="s">
        <v>184</v>
      </c>
      <c r="D43" s="5">
        <v>40</v>
      </c>
      <c r="G43" s="5" t="s">
        <v>26</v>
      </c>
      <c r="H43" s="2" t="s">
        <v>265</v>
      </c>
      <c r="J43" s="5">
        <v>10.53</v>
      </c>
    </row>
    <row r="44" spans="1:14" x14ac:dyDescent="0.25">
      <c r="A44" s="5" t="s">
        <v>40</v>
      </c>
      <c r="D44" s="5">
        <v>11.3</v>
      </c>
      <c r="G44" s="5" t="s">
        <v>193</v>
      </c>
      <c r="H44" s="2" t="s">
        <v>267</v>
      </c>
      <c r="J44" s="5">
        <v>64.989999999999995</v>
      </c>
      <c r="K44" s="38"/>
    </row>
    <row r="45" spans="1:14" x14ac:dyDescent="0.25">
      <c r="A45" s="5" t="s">
        <v>19</v>
      </c>
      <c r="C45" s="5">
        <f>SUM(C35:C44)</f>
        <v>15</v>
      </c>
      <c r="G45" s="5" t="s">
        <v>268</v>
      </c>
      <c r="H45" s="2" t="s">
        <v>267</v>
      </c>
      <c r="J45" s="5">
        <v>10</v>
      </c>
    </row>
    <row r="46" spans="1:14" x14ac:dyDescent="0.25">
      <c r="G46" s="5" t="s">
        <v>12</v>
      </c>
      <c r="H46" s="2" t="s">
        <v>267</v>
      </c>
      <c r="J46" s="5">
        <v>29.23</v>
      </c>
      <c r="K46" s="38"/>
    </row>
    <row r="47" spans="1:14" x14ac:dyDescent="0.25">
      <c r="G47" s="5" t="s">
        <v>12</v>
      </c>
      <c r="H47" s="2" t="s">
        <v>267</v>
      </c>
      <c r="J47" s="5">
        <v>9.1300000000000008</v>
      </c>
    </row>
    <row r="48" spans="1:14" x14ac:dyDescent="0.25">
      <c r="G48" s="5" t="s">
        <v>36</v>
      </c>
      <c r="H48" s="2" t="s">
        <v>267</v>
      </c>
      <c r="J48" s="5">
        <v>1.95</v>
      </c>
    </row>
    <row r="49" spans="1:13" x14ac:dyDescent="0.25">
      <c r="G49" s="5" t="s">
        <v>131</v>
      </c>
      <c r="H49" s="2" t="s">
        <v>269</v>
      </c>
      <c r="J49" s="5">
        <v>43</v>
      </c>
    </row>
    <row r="50" spans="1:13" x14ac:dyDescent="0.25">
      <c r="A50" s="5" t="s">
        <v>17</v>
      </c>
      <c r="C50" s="5">
        <f>C32-C45-I86</f>
        <v>-53.610000000000014</v>
      </c>
      <c r="G50" s="5" t="s">
        <v>12</v>
      </c>
      <c r="H50" s="2" t="s">
        <v>270</v>
      </c>
      <c r="J50" s="5">
        <v>6.55</v>
      </c>
      <c r="K50" s="38" t="s">
        <v>200</v>
      </c>
      <c r="L50" s="5">
        <f>9.24-2.69</f>
        <v>6.5500000000000007</v>
      </c>
      <c r="M50" s="5">
        <v>9.24</v>
      </c>
    </row>
    <row r="51" spans="1:13" x14ac:dyDescent="0.25">
      <c r="G51" s="5" t="s">
        <v>12</v>
      </c>
      <c r="H51" s="2" t="s">
        <v>270</v>
      </c>
      <c r="J51" s="5">
        <v>14.41</v>
      </c>
    </row>
    <row r="52" spans="1:13" ht="15.75" thickBot="1" x14ac:dyDescent="0.3">
      <c r="G52" s="5" t="s">
        <v>40</v>
      </c>
      <c r="H52" s="2" t="s">
        <v>271</v>
      </c>
      <c r="J52" s="5">
        <v>11.3</v>
      </c>
    </row>
    <row r="53" spans="1:13" ht="24" x14ac:dyDescent="0.25">
      <c r="A53" s="20" t="s">
        <v>51</v>
      </c>
      <c r="B53" s="21" t="s">
        <v>52</v>
      </c>
      <c r="C53" s="21" t="s">
        <v>53</v>
      </c>
      <c r="D53" s="22" t="s">
        <v>54</v>
      </c>
      <c r="G53" s="5" t="s">
        <v>234</v>
      </c>
      <c r="H53" s="2" t="s">
        <v>272</v>
      </c>
      <c r="J53" s="5">
        <v>116</v>
      </c>
    </row>
    <row r="54" spans="1:13" x14ac:dyDescent="0.25">
      <c r="A54" s="34">
        <v>3450041444</v>
      </c>
      <c r="B54" s="33" t="s">
        <v>237</v>
      </c>
      <c r="C54" s="33" t="s">
        <v>47</v>
      </c>
      <c r="D54" s="35" t="s">
        <v>47</v>
      </c>
      <c r="G54" s="5" t="s">
        <v>16</v>
      </c>
      <c r="H54" s="2" t="s">
        <v>272</v>
      </c>
      <c r="J54" s="5">
        <v>19.100000000000001</v>
      </c>
      <c r="K54" s="38" t="s">
        <v>192</v>
      </c>
      <c r="L54" s="5">
        <v>19.100000000000001</v>
      </c>
      <c r="M54" s="5">
        <v>20.76</v>
      </c>
    </row>
    <row r="55" spans="1:13" x14ac:dyDescent="0.25">
      <c r="A55" s="11">
        <v>4390750000073610</v>
      </c>
      <c r="B55" s="7" t="s">
        <v>227</v>
      </c>
      <c r="C55" s="7" t="s">
        <v>47</v>
      </c>
      <c r="D55" s="12" t="s">
        <v>228</v>
      </c>
      <c r="G55" s="5" t="s">
        <v>36</v>
      </c>
      <c r="H55" s="2" t="s">
        <v>272</v>
      </c>
      <c r="J55" s="5">
        <v>10.199999999999999</v>
      </c>
    </row>
    <row r="56" spans="1:13" ht="15.75" thickBot="1" x14ac:dyDescent="0.3">
      <c r="A56" s="13" t="s">
        <v>5</v>
      </c>
      <c r="B56" s="14" t="s">
        <v>238</v>
      </c>
      <c r="C56" s="14" t="s">
        <v>47</v>
      </c>
      <c r="D56" s="19" t="s">
        <v>228</v>
      </c>
      <c r="G56" s="5" t="s">
        <v>48</v>
      </c>
      <c r="H56" s="2" t="s">
        <v>273</v>
      </c>
      <c r="J56" s="5">
        <v>12.53</v>
      </c>
    </row>
    <row r="57" spans="1:13" x14ac:dyDescent="0.25">
      <c r="G57" s="5" t="s">
        <v>27</v>
      </c>
      <c r="H57" s="2" t="s">
        <v>273</v>
      </c>
      <c r="I57" s="5">
        <v>48.34</v>
      </c>
      <c r="K57" s="38"/>
    </row>
    <row r="58" spans="1:13" x14ac:dyDescent="0.25">
      <c r="G58" s="5" t="s">
        <v>27</v>
      </c>
      <c r="H58" s="2" t="s">
        <v>273</v>
      </c>
      <c r="I58" s="5">
        <v>90.6</v>
      </c>
    </row>
    <row r="59" spans="1:13" x14ac:dyDescent="0.25">
      <c r="G59" s="5" t="s">
        <v>26</v>
      </c>
      <c r="H59" s="2" t="s">
        <v>273</v>
      </c>
      <c r="I59" s="5">
        <v>14.3</v>
      </c>
    </row>
    <row r="60" spans="1:13" x14ac:dyDescent="0.25">
      <c r="G60" s="5" t="s">
        <v>12</v>
      </c>
      <c r="H60" s="2" t="s">
        <v>275</v>
      </c>
      <c r="I60" s="5">
        <v>41.49</v>
      </c>
    </row>
    <row r="61" spans="1:13" x14ac:dyDescent="0.25">
      <c r="G61" s="5" t="s">
        <v>26</v>
      </c>
      <c r="H61" s="2" t="s">
        <v>276</v>
      </c>
      <c r="J61" s="5">
        <v>7.1</v>
      </c>
      <c r="K61" s="38" t="s">
        <v>277</v>
      </c>
      <c r="L61" s="5">
        <f>10-2.9</f>
        <v>7.1</v>
      </c>
      <c r="M61" s="5">
        <v>10</v>
      </c>
    </row>
    <row r="62" spans="1:13" x14ac:dyDescent="0.25">
      <c r="G62" s="5" t="s">
        <v>27</v>
      </c>
      <c r="H62" s="2" t="s">
        <v>279</v>
      </c>
      <c r="I62" s="5">
        <v>81.81</v>
      </c>
    </row>
    <row r="63" spans="1:13" x14ac:dyDescent="0.25">
      <c r="G63" s="5" t="s">
        <v>12</v>
      </c>
      <c r="H63" s="2" t="s">
        <v>280</v>
      </c>
      <c r="I63" s="5">
        <v>23.94</v>
      </c>
    </row>
    <row r="64" spans="1:13" x14ac:dyDescent="0.25">
      <c r="G64" s="5" t="s">
        <v>14</v>
      </c>
      <c r="H64" s="2" t="s">
        <v>278</v>
      </c>
      <c r="I64" s="5">
        <v>2.3199999999999998</v>
      </c>
    </row>
    <row r="67" spans="8:8" x14ac:dyDescent="0.25">
      <c r="H67" s="2"/>
    </row>
    <row r="68" spans="8:8" x14ac:dyDescent="0.25">
      <c r="H68" s="2"/>
    </row>
    <row r="86" spans="7:9" x14ac:dyDescent="0.25">
      <c r="G86" s="5" t="s">
        <v>22</v>
      </c>
      <c r="I86" s="5">
        <f>SUM(I37:I85)</f>
        <v>302.8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5"/>
  <sheetViews>
    <sheetView topLeftCell="A10" workbookViewId="0">
      <selection activeCell="I46" sqref="I46"/>
    </sheetView>
  </sheetViews>
  <sheetFormatPr defaultRowHeight="15" x14ac:dyDescent="0.25"/>
  <cols>
    <col min="1" max="1" width="29.42578125" bestFit="1" customWidth="1"/>
    <col min="2" max="2" width="9.42578125" customWidth="1"/>
    <col min="3" max="3" width="7" bestFit="1" customWidth="1"/>
    <col min="4" max="4" width="6" bestFit="1" customWidth="1"/>
    <col min="6" max="6" width="20.85546875" bestFit="1" customWidth="1"/>
    <col min="7" max="7" width="14.7109375" bestFit="1" customWidth="1"/>
    <col min="8" max="8" width="16" bestFit="1" customWidth="1"/>
    <col min="9" max="9" width="8.140625" customWidth="1"/>
    <col min="10" max="10" width="5.85546875" customWidth="1"/>
    <col min="11" max="11" width="14.7109375" bestFit="1" customWidth="1"/>
    <col min="12" max="12" width="10.7109375" bestFit="1" customWidth="1"/>
    <col min="13" max="13" width="8.140625" customWidth="1"/>
    <col min="14" max="14" width="9.28515625" customWidth="1"/>
    <col min="15" max="15" width="12.85546875" bestFit="1" customWidth="1"/>
  </cols>
  <sheetData>
    <row r="1" spans="1:17" x14ac:dyDescent="0.25">
      <c r="A1" s="5"/>
      <c r="B1" s="5"/>
      <c r="C1" s="5"/>
      <c r="D1" s="5"/>
      <c r="E1" s="5"/>
      <c r="F1" s="5"/>
      <c r="G1" s="5"/>
      <c r="H1" s="5"/>
      <c r="I1" s="5"/>
      <c r="J1" s="5"/>
      <c r="K1" s="5" t="s">
        <v>27</v>
      </c>
      <c r="L1" s="2" t="s">
        <v>273</v>
      </c>
      <c r="N1" s="5">
        <f>48.34-1.68</f>
        <v>46.660000000000004</v>
      </c>
      <c r="O1" s="38" t="s">
        <v>251</v>
      </c>
      <c r="P1" s="5"/>
      <c r="Q1" s="5">
        <v>48.34</v>
      </c>
    </row>
    <row r="2" spans="1:17" x14ac:dyDescent="0.25">
      <c r="A2" s="5"/>
      <c r="B2" s="5"/>
      <c r="C2" s="5"/>
      <c r="D2" s="5"/>
      <c r="E2" s="5"/>
      <c r="F2" s="5"/>
      <c r="G2" s="5"/>
      <c r="H2" s="5"/>
      <c r="I2" s="5"/>
      <c r="J2" s="5"/>
      <c r="K2" s="5" t="s">
        <v>27</v>
      </c>
      <c r="L2" s="2" t="s">
        <v>273</v>
      </c>
      <c r="N2" s="5">
        <v>90.6</v>
      </c>
      <c r="O2" s="5"/>
      <c r="P2" s="5"/>
      <c r="Q2" s="5"/>
    </row>
    <row r="3" spans="1:17" x14ac:dyDescent="0.25">
      <c r="A3" s="5"/>
      <c r="B3" s="5"/>
      <c r="C3" s="5"/>
      <c r="D3" s="5"/>
      <c r="E3" s="5"/>
      <c r="F3" s="5"/>
      <c r="G3" s="5"/>
      <c r="H3" s="5"/>
      <c r="I3" s="5"/>
      <c r="J3" s="5"/>
      <c r="K3" s="5" t="s">
        <v>26</v>
      </c>
      <c r="L3" s="2" t="s">
        <v>273</v>
      </c>
      <c r="N3" s="5">
        <v>14.3</v>
      </c>
      <c r="O3" s="5"/>
      <c r="P3" s="5"/>
      <c r="Q3" s="5"/>
    </row>
    <row r="4" spans="1:17" x14ac:dyDescent="0.25">
      <c r="A4" s="5" t="s">
        <v>281</v>
      </c>
      <c r="B4" s="5"/>
      <c r="C4" s="5"/>
      <c r="D4" s="5"/>
      <c r="E4" s="5">
        <v>240</v>
      </c>
      <c r="F4" s="5"/>
      <c r="G4" s="5"/>
      <c r="H4" s="5"/>
      <c r="I4" s="5"/>
      <c r="J4" s="5"/>
      <c r="K4" s="5" t="s">
        <v>12</v>
      </c>
      <c r="L4" s="2" t="s">
        <v>275</v>
      </c>
      <c r="N4" s="5">
        <v>41.49</v>
      </c>
      <c r="O4" s="5"/>
      <c r="P4" s="5"/>
      <c r="Q4" s="5"/>
    </row>
    <row r="5" spans="1:17" x14ac:dyDescent="0.25">
      <c r="A5" s="5" t="s">
        <v>114</v>
      </c>
      <c r="B5" s="5"/>
      <c r="C5" s="5"/>
      <c r="E5" s="5">
        <v>35</v>
      </c>
      <c r="F5" s="5"/>
      <c r="G5" s="5"/>
      <c r="H5" s="5"/>
      <c r="I5" s="5"/>
      <c r="J5" s="5"/>
      <c r="K5" s="5" t="s">
        <v>26</v>
      </c>
      <c r="L5" s="2" t="s">
        <v>276</v>
      </c>
      <c r="M5" s="5"/>
      <c r="N5" s="5"/>
      <c r="O5" s="5"/>
      <c r="P5" s="5"/>
      <c r="Q5" s="5"/>
    </row>
    <row r="6" spans="1:17" x14ac:dyDescent="0.25">
      <c r="A6" s="5" t="s">
        <v>2</v>
      </c>
      <c r="B6" s="5"/>
      <c r="C6" s="5"/>
      <c r="E6" s="5">
        <v>50</v>
      </c>
      <c r="F6" s="5"/>
      <c r="G6" s="5"/>
      <c r="H6" s="5"/>
      <c r="I6" s="5"/>
      <c r="J6" s="5"/>
      <c r="K6" s="5" t="s">
        <v>27</v>
      </c>
      <c r="L6" s="2" t="s">
        <v>279</v>
      </c>
      <c r="N6" s="5">
        <v>81.81</v>
      </c>
      <c r="O6" s="5"/>
      <c r="P6" s="5">
        <f>4.71-3.83</f>
        <v>0.87999999999999989</v>
      </c>
      <c r="Q6" s="5">
        <v>4.71</v>
      </c>
    </row>
    <row r="7" spans="1:17" x14ac:dyDescent="0.25">
      <c r="A7" s="5" t="s">
        <v>0</v>
      </c>
      <c r="B7" s="5"/>
      <c r="C7" s="5"/>
      <c r="D7" s="5">
        <f>80-25.67</f>
        <v>54.33</v>
      </c>
      <c r="E7">
        <v>80</v>
      </c>
      <c r="F7" s="5"/>
      <c r="G7" s="5"/>
      <c r="H7" s="5"/>
      <c r="I7" s="5"/>
      <c r="J7" s="5"/>
      <c r="K7" s="5" t="s">
        <v>12</v>
      </c>
      <c r="L7" s="2" t="s">
        <v>280</v>
      </c>
      <c r="N7" s="5">
        <v>23.94</v>
      </c>
      <c r="O7" s="5"/>
      <c r="P7" s="5"/>
      <c r="Q7" s="5"/>
    </row>
    <row r="8" spans="1:17" x14ac:dyDescent="0.25">
      <c r="A8" s="5" t="s">
        <v>8</v>
      </c>
      <c r="B8" s="5"/>
      <c r="C8" s="5"/>
      <c r="E8" s="5">
        <v>30</v>
      </c>
      <c r="F8" s="5"/>
      <c r="G8" s="5"/>
      <c r="H8" s="5"/>
      <c r="I8" s="5"/>
      <c r="J8" s="5"/>
      <c r="K8" s="5" t="s">
        <v>14</v>
      </c>
      <c r="L8" s="2" t="s">
        <v>278</v>
      </c>
      <c r="N8" s="5">
        <v>2.3199999999999998</v>
      </c>
      <c r="O8" s="5"/>
      <c r="P8" s="5"/>
      <c r="Q8" s="5"/>
    </row>
    <row r="9" spans="1:17" x14ac:dyDescent="0.25">
      <c r="A9" s="5" t="s">
        <v>1</v>
      </c>
      <c r="B9" s="5"/>
      <c r="C9" s="5"/>
      <c r="E9" s="5">
        <v>40</v>
      </c>
      <c r="F9" s="5"/>
      <c r="G9" s="5"/>
      <c r="H9" s="5"/>
      <c r="I9" s="5"/>
      <c r="J9" s="5"/>
      <c r="K9" s="5" t="s">
        <v>36</v>
      </c>
      <c r="L9" s="2" t="s">
        <v>282</v>
      </c>
      <c r="N9" s="5">
        <v>8.65</v>
      </c>
      <c r="O9" s="5"/>
      <c r="P9" s="5"/>
      <c r="Q9" s="5"/>
    </row>
    <row r="10" spans="1:17" x14ac:dyDescent="0.25">
      <c r="A10" s="5" t="s">
        <v>4</v>
      </c>
      <c r="B10" s="5"/>
      <c r="C10" s="5"/>
      <c r="E10" s="5">
        <v>250</v>
      </c>
      <c r="F10" s="5"/>
      <c r="G10" s="5"/>
      <c r="H10" s="5"/>
      <c r="I10" s="5">
        <f>95-45</f>
        <v>50</v>
      </c>
      <c r="J10" s="5"/>
      <c r="K10" s="5" t="s">
        <v>36</v>
      </c>
      <c r="L10" s="2" t="s">
        <v>284</v>
      </c>
      <c r="N10" s="5">
        <v>36.28</v>
      </c>
      <c r="O10" s="5"/>
      <c r="P10" s="5"/>
      <c r="Q10" s="5"/>
    </row>
    <row r="11" spans="1:17" x14ac:dyDescent="0.25">
      <c r="A11" s="5" t="s">
        <v>9</v>
      </c>
      <c r="B11" s="5"/>
      <c r="C11" s="5"/>
      <c r="D11" s="5">
        <v>15</v>
      </c>
      <c r="F11" s="5"/>
      <c r="G11" s="5"/>
      <c r="H11" s="5"/>
      <c r="I11" s="5"/>
      <c r="J11" s="5"/>
      <c r="K11" s="5" t="s">
        <v>193</v>
      </c>
      <c r="L11" s="2" t="s">
        <v>284</v>
      </c>
      <c r="N11" s="5">
        <v>17.600000000000001</v>
      </c>
      <c r="O11" s="5" t="s">
        <v>287</v>
      </c>
      <c r="P11" s="5"/>
      <c r="Q11" s="5">
        <v>57.6</v>
      </c>
    </row>
    <row r="12" spans="1:17" x14ac:dyDescent="0.25">
      <c r="A12" s="2"/>
      <c r="B12" s="5"/>
      <c r="C12" s="5"/>
      <c r="D12" s="5"/>
      <c r="F12" s="5"/>
      <c r="G12" s="5"/>
      <c r="H12" s="5"/>
      <c r="I12" s="5"/>
      <c r="J12" s="5"/>
      <c r="K12" s="5" t="s">
        <v>193</v>
      </c>
      <c r="L12" s="2" t="s">
        <v>284</v>
      </c>
      <c r="N12" s="5">
        <v>36</v>
      </c>
      <c r="O12" s="5"/>
      <c r="P12" s="5"/>
      <c r="Q12" s="5"/>
    </row>
    <row r="13" spans="1:17" x14ac:dyDescent="0.25">
      <c r="A13" s="5" t="s">
        <v>115</v>
      </c>
      <c r="B13" s="5"/>
      <c r="C13" s="5"/>
      <c r="E13" s="5">
        <v>116</v>
      </c>
      <c r="F13" s="5"/>
      <c r="G13" s="5"/>
      <c r="H13" s="5">
        <f>68.65+97</f>
        <v>165.65</v>
      </c>
      <c r="I13" s="5"/>
      <c r="J13" s="5"/>
      <c r="K13" s="5" t="s">
        <v>27</v>
      </c>
      <c r="L13" s="2" t="s">
        <v>284</v>
      </c>
      <c r="M13" s="5"/>
      <c r="N13" s="5">
        <f>33.98-2.35</f>
        <v>31.629999999999995</v>
      </c>
      <c r="O13" s="38" t="s">
        <v>288</v>
      </c>
      <c r="Q13" s="5">
        <v>33.979999999999997</v>
      </c>
    </row>
    <row r="14" spans="1:17" x14ac:dyDescent="0.25">
      <c r="A14" s="5" t="s">
        <v>37</v>
      </c>
      <c r="B14" s="5"/>
      <c r="C14" s="5"/>
      <c r="E14" s="5">
        <v>5</v>
      </c>
      <c r="F14" s="5"/>
      <c r="G14" s="5"/>
      <c r="H14" s="5"/>
      <c r="I14" s="5"/>
      <c r="J14" s="5"/>
      <c r="K14" s="5" t="s">
        <v>27</v>
      </c>
      <c r="L14" s="2" t="s">
        <v>284</v>
      </c>
      <c r="N14" s="5">
        <v>84.3</v>
      </c>
      <c r="O14" s="5"/>
      <c r="P14" s="5"/>
      <c r="Q14" s="5"/>
    </row>
    <row r="15" spans="1:17" x14ac:dyDescent="0.25">
      <c r="A15" s="5" t="s">
        <v>116</v>
      </c>
      <c r="B15" s="5"/>
      <c r="C15" s="5"/>
      <c r="E15" s="5">
        <v>20</v>
      </c>
      <c r="F15" s="5"/>
      <c r="G15" s="5"/>
      <c r="H15" s="5"/>
      <c r="I15" s="5"/>
      <c r="J15" s="5"/>
      <c r="K15" s="5" t="s">
        <v>27</v>
      </c>
      <c r="L15" s="2" t="s">
        <v>285</v>
      </c>
      <c r="N15" s="5">
        <v>47.98</v>
      </c>
      <c r="O15" s="5"/>
      <c r="P15" s="5"/>
      <c r="Q15" s="5"/>
    </row>
    <row r="16" spans="1:17" x14ac:dyDescent="0.25">
      <c r="A16" s="5"/>
      <c r="B16" s="5"/>
      <c r="C16" s="5"/>
      <c r="D16" s="5"/>
      <c r="F16" s="5"/>
      <c r="G16" s="5"/>
      <c r="H16" s="5"/>
      <c r="I16" s="5"/>
      <c r="J16" s="5"/>
      <c r="K16" s="5" t="s">
        <v>12</v>
      </c>
      <c r="L16" s="2" t="s">
        <v>285</v>
      </c>
      <c r="N16" s="5">
        <v>33.520000000000003</v>
      </c>
      <c r="O16" s="5"/>
      <c r="P16" s="5"/>
      <c r="Q16" s="5"/>
    </row>
    <row r="17" spans="1:17" x14ac:dyDescent="0.25">
      <c r="A17" s="5" t="s">
        <v>283</v>
      </c>
      <c r="B17" s="5"/>
      <c r="C17" s="5"/>
      <c r="E17" s="5">
        <v>160</v>
      </c>
      <c r="F17" s="5" t="s">
        <v>6</v>
      </c>
      <c r="G17" s="5"/>
      <c r="H17" s="5">
        <v>6</v>
      </c>
      <c r="J17" s="5"/>
      <c r="K17" s="5" t="s">
        <v>161</v>
      </c>
      <c r="L17" s="2" t="s">
        <v>286</v>
      </c>
      <c r="N17" s="5">
        <v>25.67</v>
      </c>
      <c r="O17" s="38" t="s">
        <v>256</v>
      </c>
      <c r="P17" s="5"/>
      <c r="Q17" s="5">
        <v>13.56</v>
      </c>
    </row>
    <row r="18" spans="1:17" x14ac:dyDescent="0.25">
      <c r="A18" s="5"/>
      <c r="B18" s="5"/>
      <c r="C18" s="5"/>
      <c r="D18" s="5"/>
      <c r="E18" s="5"/>
      <c r="F18" s="5" t="s">
        <v>7</v>
      </c>
      <c r="G18" s="5"/>
      <c r="H18" s="5">
        <v>16.18</v>
      </c>
      <c r="I18" s="5"/>
      <c r="J18" s="5"/>
      <c r="K18" s="5" t="s">
        <v>27</v>
      </c>
      <c r="L18" s="2" t="s">
        <v>289</v>
      </c>
      <c r="M18" s="5">
        <v>11.18</v>
      </c>
      <c r="N18" s="5"/>
      <c r="O18" s="5"/>
      <c r="P18" s="5"/>
      <c r="Q18" s="5"/>
    </row>
    <row r="19" spans="1:17" x14ac:dyDescent="0.25">
      <c r="A19" s="5"/>
      <c r="B19" s="5"/>
      <c r="C19" s="5"/>
      <c r="D19" s="5"/>
      <c r="E19" s="5"/>
      <c r="F19" s="5" t="s">
        <v>20</v>
      </c>
      <c r="G19" s="5"/>
      <c r="H19" s="5">
        <v>30</v>
      </c>
      <c r="I19" s="5"/>
      <c r="J19" s="5"/>
      <c r="K19" s="5" t="s">
        <v>26</v>
      </c>
      <c r="L19" s="2" t="s">
        <v>289</v>
      </c>
      <c r="M19" s="5">
        <v>16.489999999999998</v>
      </c>
      <c r="N19" s="5"/>
      <c r="O19" s="5"/>
      <c r="P19" s="5"/>
      <c r="Q19" s="5"/>
    </row>
    <row r="20" spans="1:17" x14ac:dyDescent="0.25">
      <c r="A20" s="5" t="s">
        <v>5</v>
      </c>
      <c r="B20" s="5"/>
      <c r="C20" s="5"/>
      <c r="D20" s="5">
        <f>SUM(D4:D19)</f>
        <v>69.33</v>
      </c>
      <c r="E20" s="5"/>
      <c r="F20" s="5" t="s">
        <v>138</v>
      </c>
      <c r="G20" s="5"/>
      <c r="H20" s="5">
        <v>18</v>
      </c>
      <c r="I20" s="5"/>
      <c r="J20" s="5"/>
      <c r="K20" s="5" t="s">
        <v>12</v>
      </c>
      <c r="L20" s="2" t="s">
        <v>290</v>
      </c>
      <c r="M20" s="5">
        <v>29.31</v>
      </c>
      <c r="N20" s="5"/>
      <c r="O20" s="5"/>
      <c r="P20" s="5"/>
      <c r="Q20" s="5"/>
    </row>
    <row r="21" spans="1:17" x14ac:dyDescent="0.25">
      <c r="A21" s="5"/>
      <c r="B21" s="5"/>
      <c r="C21" s="5"/>
      <c r="D21" s="5"/>
      <c r="E21" s="5"/>
      <c r="F21" s="5" t="s">
        <v>296</v>
      </c>
      <c r="G21" s="5"/>
      <c r="H21" s="5">
        <v>128.19999999999999</v>
      </c>
      <c r="I21" s="5"/>
      <c r="J21" s="5">
        <f>30+4+10+10+3+11.18+60</f>
        <v>128.18</v>
      </c>
      <c r="K21" s="5" t="s">
        <v>36</v>
      </c>
      <c r="L21" s="2" t="s">
        <v>291</v>
      </c>
      <c r="M21" s="5">
        <v>18.98</v>
      </c>
      <c r="N21" s="5"/>
      <c r="O21" s="5"/>
      <c r="P21" s="5"/>
      <c r="Q21" s="5"/>
    </row>
    <row r="22" spans="1:17" x14ac:dyDescent="0.25">
      <c r="A22" s="5"/>
      <c r="B22" s="5"/>
      <c r="C22" s="5"/>
      <c r="D22" s="5"/>
      <c r="E22" s="5"/>
      <c r="F22" s="5"/>
      <c r="G22" s="5"/>
      <c r="H22" s="5"/>
      <c r="I22" s="5"/>
      <c r="J22" s="5"/>
      <c r="K22" s="5" t="s">
        <v>193</v>
      </c>
      <c r="L22" s="2" t="s">
        <v>291</v>
      </c>
      <c r="M22" s="5">
        <v>15</v>
      </c>
      <c r="N22" s="5"/>
      <c r="O22" s="5"/>
      <c r="P22" s="5"/>
      <c r="Q22" s="5"/>
    </row>
    <row r="23" spans="1:17" x14ac:dyDescent="0.25">
      <c r="A23" s="5"/>
      <c r="B23" s="5"/>
      <c r="C23" s="5"/>
      <c r="D23" s="5"/>
      <c r="E23" s="5"/>
      <c r="F23" s="5" t="s">
        <v>5</v>
      </c>
      <c r="G23" s="5"/>
      <c r="H23" s="5">
        <f>SUM(H17:H21)</f>
        <v>198.38</v>
      </c>
      <c r="I23" s="5"/>
      <c r="J23" s="5"/>
      <c r="K23" s="5" t="s">
        <v>193</v>
      </c>
      <c r="L23" s="2" t="s">
        <v>291</v>
      </c>
      <c r="M23" s="5">
        <v>26.99</v>
      </c>
      <c r="N23" s="5"/>
      <c r="O23" s="5"/>
      <c r="P23" s="5"/>
      <c r="Q23" s="5"/>
    </row>
    <row r="24" spans="1:17" x14ac:dyDescent="0.25">
      <c r="A24" s="5"/>
      <c r="B24" s="5"/>
      <c r="C24" s="5"/>
      <c r="D24" s="5"/>
      <c r="E24" s="5"/>
      <c r="F24" s="5" t="s">
        <v>17</v>
      </c>
      <c r="G24" s="5"/>
      <c r="H24" s="5">
        <f>H23-D20-M34</f>
        <v>7.6000000000000227</v>
      </c>
      <c r="I24" s="5"/>
      <c r="J24" s="5"/>
      <c r="K24" s="5" t="s">
        <v>36</v>
      </c>
      <c r="L24" s="2" t="s">
        <v>291</v>
      </c>
      <c r="M24" s="5">
        <v>3.5</v>
      </c>
      <c r="N24" s="5"/>
      <c r="O24" s="38"/>
      <c r="P24" s="5"/>
      <c r="Q24" s="5"/>
    </row>
    <row r="25" spans="1:17" x14ac:dyDescent="0.25">
      <c r="A25" s="5" t="s">
        <v>231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2"/>
      <c r="M25" s="5"/>
      <c r="N25" s="5"/>
      <c r="O25" s="38"/>
      <c r="P25" s="5"/>
      <c r="Q25" s="5"/>
    </row>
    <row r="26" spans="1:17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2"/>
      <c r="M26" s="5"/>
      <c r="N26" s="5"/>
      <c r="O26" s="5"/>
      <c r="P26" s="5"/>
      <c r="Q26" s="5"/>
    </row>
    <row r="27" spans="1:17" x14ac:dyDescent="0.25">
      <c r="A27" s="5" t="s">
        <v>6</v>
      </c>
      <c r="B27" s="5"/>
      <c r="C27" s="5"/>
      <c r="D27" s="5">
        <v>3</v>
      </c>
      <c r="E27" s="5"/>
      <c r="F27" s="5"/>
      <c r="G27" s="5"/>
      <c r="H27" s="5"/>
      <c r="I27" s="5"/>
      <c r="J27" s="5"/>
      <c r="K27" s="5"/>
      <c r="L27" s="2"/>
      <c r="M27" s="5"/>
      <c r="N27" s="5"/>
      <c r="O27" s="5"/>
      <c r="P27" s="5"/>
      <c r="Q27" s="5"/>
    </row>
    <row r="28" spans="1:17" x14ac:dyDescent="0.25">
      <c r="A28" s="5" t="s">
        <v>7</v>
      </c>
      <c r="B28" s="5"/>
      <c r="C28" s="5">
        <v>22.77</v>
      </c>
      <c r="D28" s="5"/>
      <c r="E28" s="5"/>
      <c r="F28" s="5"/>
      <c r="G28" s="5"/>
      <c r="H28" s="5"/>
      <c r="I28" s="5"/>
      <c r="J28" s="5"/>
      <c r="K28" s="5"/>
      <c r="L28" s="2"/>
      <c r="M28" s="5"/>
      <c r="N28" s="5"/>
      <c r="O28" s="5"/>
      <c r="P28" s="5"/>
      <c r="Q28" s="5"/>
    </row>
    <row r="29" spans="1:17" x14ac:dyDescent="0.25">
      <c r="A29" s="5" t="s">
        <v>11</v>
      </c>
      <c r="B29" s="5"/>
      <c r="C29" s="5">
        <v>40</v>
      </c>
      <c r="D29" s="5"/>
      <c r="E29" s="5"/>
      <c r="F29" s="5"/>
      <c r="G29" s="5"/>
      <c r="H29" s="5"/>
      <c r="I29" s="5"/>
      <c r="J29" s="5"/>
      <c r="K29" s="5"/>
      <c r="L29" s="2"/>
      <c r="M29" s="5"/>
      <c r="N29" s="5"/>
      <c r="O29" s="5"/>
      <c r="P29" s="5"/>
      <c r="Q29" s="5"/>
    </row>
    <row r="30" spans="1:17" x14ac:dyDescent="0.25">
      <c r="A30" s="5" t="s">
        <v>138</v>
      </c>
      <c r="B30" s="5"/>
      <c r="C30" s="5">
        <v>0</v>
      </c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</row>
    <row r="31" spans="1:17" x14ac:dyDescent="0.25">
      <c r="A31" s="5" t="s">
        <v>311</v>
      </c>
      <c r="B31" s="5"/>
      <c r="C31" s="5">
        <v>0</v>
      </c>
      <c r="D31" s="5"/>
      <c r="E31" s="5">
        <v>0</v>
      </c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</row>
    <row r="32" spans="1:17" x14ac:dyDescent="0.25">
      <c r="A32" s="5" t="s">
        <v>5</v>
      </c>
      <c r="B32" s="5"/>
      <c r="C32" s="5">
        <f>SUM(C27:C31)</f>
        <v>62.769999999999996</v>
      </c>
      <c r="D32" s="5"/>
      <c r="E32" s="5">
        <f>30+4+10+10+3</f>
        <v>57</v>
      </c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</row>
    <row r="33" spans="1:17" x14ac:dyDescent="0.25">
      <c r="A33" s="5" t="s">
        <v>18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</row>
    <row r="34" spans="1:17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 t="s">
        <v>15</v>
      </c>
      <c r="M34" s="5">
        <f>SUM(M1:M33)</f>
        <v>121.44999999999999</v>
      </c>
      <c r="N34" s="5"/>
      <c r="O34" s="5"/>
      <c r="P34" s="5"/>
      <c r="Q34" s="5"/>
    </row>
    <row r="35" spans="1:17" x14ac:dyDescent="0.25">
      <c r="A35" s="5" t="s">
        <v>1</v>
      </c>
      <c r="B35" s="5"/>
      <c r="D35" s="5">
        <v>40</v>
      </c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</row>
    <row r="36" spans="1:17" x14ac:dyDescent="0.25">
      <c r="A36" s="5" t="s">
        <v>3</v>
      </c>
      <c r="B36" s="5"/>
      <c r="D36" s="5">
        <v>20.76</v>
      </c>
      <c r="E36" s="5"/>
      <c r="F36" s="5"/>
      <c r="G36" s="5" t="s">
        <v>24</v>
      </c>
      <c r="H36" s="5" t="s">
        <v>23</v>
      </c>
      <c r="I36" s="5" t="s">
        <v>25</v>
      </c>
      <c r="J36" s="5"/>
      <c r="K36" s="5"/>
      <c r="L36" s="5"/>
      <c r="M36" s="5"/>
      <c r="N36" s="5"/>
      <c r="O36" s="5"/>
      <c r="P36" s="5"/>
      <c r="Q36" s="5"/>
    </row>
    <row r="37" spans="1:17" x14ac:dyDescent="0.25">
      <c r="A37" s="5" t="s">
        <v>4</v>
      </c>
      <c r="B37" s="5"/>
      <c r="D37" s="5">
        <v>250</v>
      </c>
      <c r="E37" s="5"/>
      <c r="F37" s="5"/>
      <c r="G37" s="5" t="s">
        <v>27</v>
      </c>
      <c r="H37" s="2" t="s">
        <v>289</v>
      </c>
      <c r="J37" s="5">
        <v>9.1300000000000008</v>
      </c>
      <c r="K37" s="38" t="s">
        <v>298</v>
      </c>
      <c r="L37" s="5"/>
      <c r="M37" s="5">
        <v>11.18</v>
      </c>
      <c r="N37" s="5"/>
      <c r="O37" s="5"/>
      <c r="P37" s="5"/>
      <c r="Q37" s="5"/>
    </row>
    <row r="38" spans="1:17" x14ac:dyDescent="0.25">
      <c r="A38" s="5" t="s">
        <v>128</v>
      </c>
      <c r="B38" s="5"/>
      <c r="D38" s="5">
        <v>60</v>
      </c>
      <c r="E38" s="5"/>
      <c r="F38" s="5"/>
      <c r="G38" s="5" t="s">
        <v>26</v>
      </c>
      <c r="H38" s="2" t="s">
        <v>289</v>
      </c>
      <c r="J38" s="5">
        <v>16.489999999999998</v>
      </c>
      <c r="K38" s="38"/>
      <c r="L38" s="5"/>
      <c r="M38" s="5"/>
      <c r="N38" s="5"/>
      <c r="O38" s="5"/>
      <c r="P38" s="5"/>
      <c r="Q38" s="5"/>
    </row>
    <row r="39" spans="1:17" x14ac:dyDescent="0.25">
      <c r="A39" s="5" t="s">
        <v>37</v>
      </c>
      <c r="B39" s="5"/>
      <c r="D39" s="5">
        <v>10</v>
      </c>
      <c r="E39" s="5"/>
      <c r="F39" s="5"/>
      <c r="G39" s="5" t="s">
        <v>12</v>
      </c>
      <c r="H39" s="2" t="s">
        <v>290</v>
      </c>
      <c r="J39" s="5">
        <v>29.31</v>
      </c>
      <c r="L39" s="5"/>
      <c r="M39" s="5"/>
      <c r="N39" s="5"/>
      <c r="O39" s="5"/>
      <c r="P39" s="5"/>
      <c r="Q39" s="5"/>
    </row>
    <row r="40" spans="1:17" x14ac:dyDescent="0.25">
      <c r="A40" s="5" t="s">
        <v>224</v>
      </c>
      <c r="B40" s="5"/>
      <c r="D40" s="5">
        <v>166</v>
      </c>
      <c r="E40" s="5"/>
      <c r="F40" s="5"/>
      <c r="G40" s="5" t="s">
        <v>36</v>
      </c>
      <c r="H40" s="2" t="s">
        <v>291</v>
      </c>
      <c r="J40" s="5">
        <v>18.98</v>
      </c>
      <c r="K40" s="5"/>
      <c r="L40" s="5"/>
      <c r="M40" s="2"/>
      <c r="N40" s="5"/>
      <c r="O40" s="5"/>
      <c r="P40" s="5"/>
      <c r="Q40" s="5"/>
    </row>
    <row r="41" spans="1:17" x14ac:dyDescent="0.25">
      <c r="A41" s="5" t="s">
        <v>48</v>
      </c>
      <c r="B41" s="5"/>
      <c r="D41" s="5">
        <v>12.53</v>
      </c>
      <c r="E41" s="5"/>
      <c r="F41" s="5"/>
      <c r="G41" s="5" t="s">
        <v>193</v>
      </c>
      <c r="H41" s="2" t="s">
        <v>291</v>
      </c>
      <c r="J41" s="5">
        <v>15</v>
      </c>
      <c r="K41" s="5"/>
      <c r="L41" s="5"/>
      <c r="M41" s="5"/>
      <c r="N41" s="2"/>
      <c r="O41" s="5"/>
      <c r="P41" s="5"/>
      <c r="Q41" s="5"/>
    </row>
    <row r="42" spans="1:17" x14ac:dyDescent="0.25">
      <c r="A42" s="5" t="s">
        <v>144</v>
      </c>
      <c r="B42" s="5"/>
      <c r="D42" s="5">
        <v>10</v>
      </c>
      <c r="E42" s="5"/>
      <c r="F42" s="5"/>
      <c r="G42" s="5" t="s">
        <v>193</v>
      </c>
      <c r="H42" s="2" t="s">
        <v>291</v>
      </c>
      <c r="J42" s="5">
        <v>26.99</v>
      </c>
      <c r="K42" s="5"/>
      <c r="L42" s="5"/>
      <c r="M42" s="5"/>
      <c r="N42" s="2"/>
      <c r="O42" s="5"/>
      <c r="P42" s="5"/>
      <c r="Q42" s="5"/>
    </row>
    <row r="43" spans="1:17" x14ac:dyDescent="0.25">
      <c r="A43" s="5" t="s">
        <v>40</v>
      </c>
      <c r="B43" s="5"/>
      <c r="D43" s="5">
        <v>11.3</v>
      </c>
      <c r="E43" s="5"/>
      <c r="F43" s="5"/>
      <c r="G43" s="5" t="s">
        <v>36</v>
      </c>
      <c r="H43" s="2" t="s">
        <v>291</v>
      </c>
      <c r="J43" s="5">
        <v>3.5</v>
      </c>
      <c r="K43" s="5"/>
      <c r="L43" s="5"/>
      <c r="M43" s="5"/>
      <c r="N43" s="5"/>
      <c r="O43" s="5"/>
      <c r="P43" s="5"/>
      <c r="Q43" s="5"/>
    </row>
    <row r="44" spans="1:17" x14ac:dyDescent="0.25">
      <c r="E44" s="5"/>
      <c r="F44" s="5"/>
      <c r="G44" s="5" t="s">
        <v>12</v>
      </c>
      <c r="H44" s="2" t="s">
        <v>297</v>
      </c>
      <c r="I44" s="5"/>
      <c r="J44">
        <f>10.92-2.03</f>
        <v>8.89</v>
      </c>
      <c r="K44" s="38" t="s">
        <v>306</v>
      </c>
      <c r="L44" s="5"/>
      <c r="M44" s="5">
        <v>10.92</v>
      </c>
      <c r="N44" s="5"/>
      <c r="O44" s="5"/>
      <c r="P44" s="5"/>
      <c r="Q44" s="5"/>
    </row>
    <row r="45" spans="1:17" x14ac:dyDescent="0.25">
      <c r="A45" s="5" t="s">
        <v>19</v>
      </c>
      <c r="B45" s="5"/>
      <c r="C45" s="5">
        <f>SUM(C35:C44)</f>
        <v>0</v>
      </c>
      <c r="D45" s="5"/>
      <c r="E45" s="5"/>
      <c r="F45" s="5"/>
      <c r="G45" s="5" t="s">
        <v>40</v>
      </c>
      <c r="H45" s="2" t="s">
        <v>297</v>
      </c>
      <c r="J45" s="5">
        <v>11.3</v>
      </c>
      <c r="K45" s="5"/>
      <c r="L45" s="5"/>
      <c r="M45" s="5"/>
      <c r="N45" s="5"/>
      <c r="O45" s="5"/>
      <c r="P45" s="5"/>
      <c r="Q45" s="5"/>
    </row>
    <row r="46" spans="1:17" x14ac:dyDescent="0.25">
      <c r="A46" s="5"/>
      <c r="B46" s="5"/>
      <c r="C46" s="5"/>
      <c r="D46" s="5"/>
      <c r="E46" s="5"/>
      <c r="F46" s="5"/>
      <c r="G46" s="5" t="s">
        <v>27</v>
      </c>
      <c r="H46" s="2" t="s">
        <v>299</v>
      </c>
      <c r="I46" s="5">
        <v>14.48</v>
      </c>
      <c r="J46" s="5"/>
      <c r="K46" s="38"/>
      <c r="L46" s="5"/>
      <c r="M46" s="5"/>
      <c r="N46" s="5"/>
      <c r="O46" s="5"/>
      <c r="P46" s="5"/>
      <c r="Q46" s="5"/>
    </row>
    <row r="47" spans="1:17" x14ac:dyDescent="0.25">
      <c r="A47" s="5"/>
      <c r="B47" s="5"/>
      <c r="C47" s="5"/>
      <c r="D47" s="5"/>
      <c r="E47" s="5"/>
      <c r="F47" s="5"/>
      <c r="G47" s="5" t="s">
        <v>27</v>
      </c>
      <c r="H47" s="2" t="s">
        <v>299</v>
      </c>
      <c r="J47" s="5">
        <v>63.92</v>
      </c>
      <c r="K47" s="5"/>
      <c r="L47" s="5"/>
      <c r="M47" s="5"/>
      <c r="N47" s="5"/>
      <c r="O47" s="5"/>
      <c r="P47" s="5"/>
      <c r="Q47" s="5"/>
    </row>
    <row r="48" spans="1:17" x14ac:dyDescent="0.25">
      <c r="A48" s="5"/>
      <c r="B48" s="5"/>
      <c r="C48" s="5"/>
      <c r="D48" s="5"/>
      <c r="E48" s="5"/>
      <c r="F48" s="5"/>
      <c r="G48" s="5" t="s">
        <v>26</v>
      </c>
      <c r="H48" s="2" t="s">
        <v>299</v>
      </c>
      <c r="I48" s="5">
        <v>15.09</v>
      </c>
      <c r="J48" s="5"/>
      <c r="K48" s="5"/>
      <c r="L48" s="5"/>
      <c r="M48" s="5"/>
      <c r="N48" s="5"/>
      <c r="O48" s="5"/>
      <c r="P48" s="5"/>
      <c r="Q48" s="5"/>
    </row>
    <row r="49" spans="1:17" x14ac:dyDescent="0.25">
      <c r="A49" s="5"/>
      <c r="B49" s="5"/>
      <c r="C49" s="5"/>
      <c r="D49" s="5"/>
      <c r="E49" s="5"/>
      <c r="F49" s="5"/>
      <c r="G49" s="5" t="s">
        <v>12</v>
      </c>
      <c r="H49" s="2" t="s">
        <v>300</v>
      </c>
      <c r="I49" s="5">
        <v>18.100000000000001</v>
      </c>
      <c r="J49" s="5"/>
      <c r="K49" s="5"/>
      <c r="L49" s="5"/>
      <c r="M49" s="5"/>
      <c r="N49" s="5"/>
      <c r="O49" s="5"/>
      <c r="P49" s="5"/>
      <c r="Q49" s="5"/>
    </row>
    <row r="50" spans="1:17" x14ac:dyDescent="0.25">
      <c r="A50" s="5" t="s">
        <v>17</v>
      </c>
      <c r="B50" s="5"/>
      <c r="C50" s="5">
        <f>C32-C45-I86</f>
        <v>-54.450000000000017</v>
      </c>
      <c r="D50" s="5"/>
      <c r="E50" s="5"/>
      <c r="F50" s="5"/>
      <c r="G50" s="5" t="s">
        <v>301</v>
      </c>
      <c r="H50" s="2" t="s">
        <v>300</v>
      </c>
      <c r="J50" s="5">
        <v>50</v>
      </c>
      <c r="K50" s="38"/>
      <c r="L50" s="5"/>
      <c r="M50" s="5"/>
      <c r="N50" s="5"/>
      <c r="O50" s="5"/>
      <c r="P50" s="5"/>
      <c r="Q50" s="5"/>
    </row>
    <row r="51" spans="1:17" x14ac:dyDescent="0.25">
      <c r="A51" s="5"/>
      <c r="B51" s="5"/>
      <c r="C51" s="5"/>
      <c r="D51" s="5"/>
      <c r="E51" s="5"/>
      <c r="F51" s="5"/>
      <c r="G51" s="5" t="s">
        <v>302</v>
      </c>
      <c r="H51" s="2" t="s">
        <v>303</v>
      </c>
      <c r="I51" s="5">
        <v>8.9499999999999993</v>
      </c>
      <c r="J51" s="5"/>
      <c r="K51" s="5"/>
      <c r="L51" s="5"/>
      <c r="M51" s="5"/>
      <c r="N51" s="5"/>
      <c r="O51" s="5"/>
      <c r="P51" s="5"/>
      <c r="Q51" s="5"/>
    </row>
    <row r="52" spans="1:17" ht="15.75" thickBot="1" x14ac:dyDescent="0.3">
      <c r="A52" s="5"/>
      <c r="B52" s="5"/>
      <c r="C52" s="5"/>
      <c r="D52" s="5"/>
      <c r="E52" s="5"/>
      <c r="F52" s="5"/>
      <c r="G52" s="5" t="s">
        <v>16</v>
      </c>
      <c r="H52" s="2" t="s">
        <v>272</v>
      </c>
      <c r="J52" s="5">
        <v>20.76</v>
      </c>
      <c r="K52" s="5"/>
      <c r="L52" s="5"/>
      <c r="M52" s="5"/>
      <c r="N52" s="5"/>
      <c r="O52" s="5"/>
      <c r="P52" s="5"/>
      <c r="Q52" s="5"/>
    </row>
    <row r="53" spans="1:17" ht="36" x14ac:dyDescent="0.25">
      <c r="A53" s="20" t="s">
        <v>51</v>
      </c>
      <c r="B53" s="21" t="s">
        <v>52</v>
      </c>
      <c r="C53" s="21" t="s">
        <v>53</v>
      </c>
      <c r="D53" s="22" t="s">
        <v>54</v>
      </c>
      <c r="E53" s="5"/>
      <c r="F53" s="5"/>
      <c r="G53" t="s">
        <v>258</v>
      </c>
      <c r="H53" s="2" t="s">
        <v>304</v>
      </c>
      <c r="J53" s="5">
        <v>48.51</v>
      </c>
      <c r="K53" s="5"/>
      <c r="L53" s="5"/>
      <c r="M53" s="5"/>
      <c r="N53" s="5"/>
      <c r="O53" s="5"/>
      <c r="P53" s="5"/>
      <c r="Q53" s="5"/>
    </row>
    <row r="54" spans="1:17" x14ac:dyDescent="0.25">
      <c r="A54" s="34">
        <v>3450041444</v>
      </c>
      <c r="B54" s="33" t="s">
        <v>292</v>
      </c>
      <c r="C54" s="33" t="s">
        <v>47</v>
      </c>
      <c r="D54" s="35" t="s">
        <v>47</v>
      </c>
      <c r="E54" s="5"/>
      <c r="F54" s="5"/>
      <c r="G54" s="5" t="s">
        <v>305</v>
      </c>
      <c r="H54" s="2" t="s">
        <v>304</v>
      </c>
      <c r="J54">
        <v>7.05</v>
      </c>
      <c r="K54" s="38"/>
      <c r="L54" s="5"/>
      <c r="M54" s="5"/>
      <c r="N54" s="5"/>
      <c r="O54" s="5"/>
      <c r="P54" s="5"/>
      <c r="Q54" s="5"/>
    </row>
    <row r="55" spans="1:17" ht="24" x14ac:dyDescent="0.25">
      <c r="A55" s="11">
        <v>4390750000073610</v>
      </c>
      <c r="B55" s="7" t="s">
        <v>293</v>
      </c>
      <c r="C55" s="7" t="s">
        <v>47</v>
      </c>
      <c r="D55" s="12" t="s">
        <v>294</v>
      </c>
      <c r="E55" s="5"/>
      <c r="F55" s="5"/>
      <c r="G55" s="5" t="s">
        <v>48</v>
      </c>
      <c r="H55" s="2" t="s">
        <v>304</v>
      </c>
      <c r="J55">
        <v>12.53</v>
      </c>
      <c r="K55" s="5"/>
      <c r="L55" s="5"/>
      <c r="M55" s="5"/>
      <c r="N55" s="5"/>
      <c r="O55" s="5"/>
      <c r="P55" s="5"/>
      <c r="Q55" s="5"/>
    </row>
    <row r="56" spans="1:17" ht="24.75" thickBot="1" x14ac:dyDescent="0.3">
      <c r="A56" s="13" t="s">
        <v>5</v>
      </c>
      <c r="B56" s="14" t="s">
        <v>295</v>
      </c>
      <c r="C56" s="14" t="s">
        <v>47</v>
      </c>
      <c r="D56" s="19" t="s">
        <v>294</v>
      </c>
      <c r="E56" s="5"/>
      <c r="F56" s="5"/>
      <c r="G56" s="5" t="s">
        <v>27</v>
      </c>
      <c r="H56" s="2" t="s">
        <v>307</v>
      </c>
      <c r="I56" s="5">
        <v>22.98</v>
      </c>
      <c r="J56" s="5"/>
      <c r="K56" s="5"/>
      <c r="L56" s="5"/>
      <c r="M56" s="5"/>
      <c r="N56" s="5"/>
      <c r="O56" s="5"/>
      <c r="P56" s="5"/>
      <c r="Q56" s="5"/>
    </row>
    <row r="57" spans="1:17" x14ac:dyDescent="0.25">
      <c r="A57" s="5"/>
      <c r="B57" s="5"/>
      <c r="C57" s="5"/>
      <c r="D57" s="5"/>
      <c r="E57" s="5"/>
      <c r="F57" s="5"/>
      <c r="G57" s="5" t="s">
        <v>26</v>
      </c>
      <c r="H57" s="2" t="s">
        <v>307</v>
      </c>
      <c r="I57">
        <v>11.31</v>
      </c>
      <c r="J57" s="5"/>
      <c r="K57" s="38"/>
      <c r="L57" s="5"/>
      <c r="M57" s="5"/>
      <c r="N57" s="5"/>
      <c r="O57" s="5"/>
      <c r="P57" s="5"/>
      <c r="Q57" s="5"/>
    </row>
    <row r="58" spans="1:17" x14ac:dyDescent="0.25">
      <c r="A58" s="5"/>
      <c r="B58" s="5"/>
      <c r="C58" s="5"/>
      <c r="D58" s="5"/>
      <c r="E58" s="5"/>
      <c r="F58" s="5"/>
      <c r="G58" s="5" t="s">
        <v>27</v>
      </c>
      <c r="H58" s="2" t="s">
        <v>308</v>
      </c>
      <c r="J58">
        <v>39.65</v>
      </c>
      <c r="K58" s="5"/>
      <c r="L58" s="5"/>
      <c r="M58" s="5"/>
      <c r="N58" s="5"/>
      <c r="O58" s="5"/>
      <c r="P58" s="5"/>
      <c r="Q58" s="5"/>
    </row>
    <row r="59" spans="1:17" x14ac:dyDescent="0.25">
      <c r="A59" s="5"/>
      <c r="B59" s="5"/>
      <c r="C59" s="5"/>
      <c r="D59" s="5"/>
      <c r="E59" s="5"/>
      <c r="F59" s="5"/>
      <c r="G59" s="5" t="s">
        <v>26</v>
      </c>
      <c r="H59" s="2" t="s">
        <v>308</v>
      </c>
      <c r="I59">
        <v>4.29</v>
      </c>
      <c r="J59" s="5"/>
      <c r="K59" s="5"/>
      <c r="L59" s="5"/>
      <c r="M59" s="5"/>
      <c r="N59" s="5"/>
      <c r="O59" s="5"/>
      <c r="P59" s="5"/>
      <c r="Q59" s="5"/>
    </row>
    <row r="60" spans="1:17" x14ac:dyDescent="0.25">
      <c r="A60" s="5"/>
      <c r="B60" s="5"/>
      <c r="C60" s="5"/>
      <c r="D60" s="5"/>
      <c r="E60" s="5"/>
      <c r="F60" s="5"/>
      <c r="G60" s="5" t="s">
        <v>12</v>
      </c>
      <c r="H60" s="2" t="s">
        <v>308</v>
      </c>
      <c r="I60">
        <v>22.02</v>
      </c>
      <c r="J60" s="5"/>
      <c r="K60" s="5"/>
      <c r="L60" s="5"/>
      <c r="M60" s="5"/>
      <c r="N60" s="5"/>
      <c r="O60" s="5"/>
      <c r="P60" s="5"/>
      <c r="Q60" s="5"/>
    </row>
    <row r="61" spans="1:17" x14ac:dyDescent="0.25">
      <c r="A61" s="5"/>
      <c r="B61" s="5"/>
      <c r="C61" s="5"/>
      <c r="D61" s="5"/>
      <c r="E61" s="5"/>
      <c r="F61" s="5"/>
      <c r="G61" s="5" t="s">
        <v>26</v>
      </c>
      <c r="H61" s="2" t="s">
        <v>276</v>
      </c>
      <c r="J61" s="5"/>
      <c r="K61" s="38"/>
      <c r="L61" s="5"/>
      <c r="M61" s="5"/>
      <c r="N61" s="5"/>
      <c r="O61" s="5"/>
      <c r="P61" s="5"/>
      <c r="Q61" s="5"/>
    </row>
    <row r="62" spans="1:17" x14ac:dyDescent="0.25">
      <c r="A62" s="5"/>
      <c r="B62" s="5"/>
      <c r="C62" s="5"/>
      <c r="D62" s="5"/>
      <c r="E62" s="5"/>
      <c r="F62" s="5"/>
      <c r="G62" s="5" t="s">
        <v>27</v>
      </c>
      <c r="H62" s="2" t="s">
        <v>279</v>
      </c>
      <c r="J62" s="5"/>
      <c r="K62" s="5"/>
      <c r="L62" s="5"/>
      <c r="M62" s="5"/>
      <c r="N62" s="5"/>
      <c r="O62" s="5"/>
      <c r="P62" s="5"/>
      <c r="Q62" s="5"/>
    </row>
    <row r="63" spans="1:17" x14ac:dyDescent="0.25">
      <c r="A63" s="5"/>
      <c r="B63" s="5"/>
      <c r="C63" s="5"/>
      <c r="D63" s="5"/>
      <c r="E63" s="5"/>
      <c r="F63" s="5"/>
      <c r="G63" s="5" t="s">
        <v>12</v>
      </c>
      <c r="H63" s="2" t="s">
        <v>280</v>
      </c>
      <c r="J63" s="5"/>
      <c r="K63" s="5"/>
      <c r="L63" s="5"/>
      <c r="M63" s="5"/>
      <c r="N63" s="5"/>
      <c r="O63" s="5"/>
      <c r="P63" s="5"/>
      <c r="Q63" s="5"/>
    </row>
    <row r="64" spans="1:17" x14ac:dyDescent="0.25">
      <c r="A64" s="5"/>
      <c r="B64" s="5"/>
      <c r="C64" s="5"/>
      <c r="D64" s="5"/>
      <c r="E64" s="5"/>
      <c r="F64" s="5"/>
      <c r="G64" s="5" t="s">
        <v>14</v>
      </c>
      <c r="H64" s="2" t="s">
        <v>278</v>
      </c>
      <c r="J64" s="5"/>
      <c r="K64" s="5"/>
      <c r="L64" s="5"/>
      <c r="M64" s="5"/>
      <c r="N64" s="5"/>
      <c r="O64" s="5"/>
      <c r="P64" s="5"/>
      <c r="Q64" s="5"/>
    </row>
    <row r="65" spans="1:17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</row>
    <row r="66" spans="1:17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</row>
    <row r="67" spans="1:17" x14ac:dyDescent="0.25">
      <c r="A67" s="5"/>
      <c r="B67" s="5"/>
      <c r="C67" s="5"/>
      <c r="D67" s="5"/>
      <c r="E67" s="5"/>
      <c r="F67" s="5"/>
      <c r="G67" s="5"/>
      <c r="H67" s="2"/>
      <c r="I67" s="5"/>
      <c r="J67" s="5"/>
      <c r="K67" s="5"/>
      <c r="L67" s="5"/>
      <c r="M67" s="5"/>
      <c r="N67" s="5"/>
      <c r="O67" s="5"/>
      <c r="P67" s="5"/>
      <c r="Q67" s="5"/>
    </row>
    <row r="68" spans="1:17" x14ac:dyDescent="0.25">
      <c r="A68" s="5"/>
      <c r="B68" s="5"/>
      <c r="C68" s="5"/>
      <c r="D68" s="5"/>
      <c r="E68" s="5"/>
      <c r="F68" s="5"/>
      <c r="G68" s="5"/>
      <c r="H68" s="2"/>
      <c r="I68" s="5"/>
      <c r="J68" s="5"/>
      <c r="K68" s="5"/>
      <c r="L68" s="5"/>
      <c r="M68" s="5"/>
      <c r="N68" s="5"/>
      <c r="O68" s="5"/>
      <c r="P68" s="5"/>
      <c r="Q68" s="5"/>
    </row>
    <row r="69" spans="1:17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</row>
    <row r="70" spans="1:17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</row>
    <row r="71" spans="1:17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</row>
    <row r="72" spans="1:17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</row>
    <row r="73" spans="1:17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</row>
    <row r="74" spans="1:17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</row>
    <row r="75" spans="1:17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</row>
    <row r="76" spans="1:17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</row>
    <row r="77" spans="1:17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</row>
    <row r="78" spans="1:17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</row>
    <row r="79" spans="1:17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</row>
    <row r="80" spans="1:17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</row>
    <row r="81" spans="1:17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</row>
    <row r="82" spans="1:17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</row>
    <row r="83" spans="1:17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</row>
    <row r="84" spans="1:17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</row>
    <row r="85" spans="1:17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</row>
    <row r="86" spans="1:17" x14ac:dyDescent="0.25">
      <c r="A86" s="5"/>
      <c r="B86" s="5"/>
      <c r="C86" s="5"/>
      <c r="D86" s="5"/>
      <c r="E86" s="5"/>
      <c r="F86" s="5"/>
      <c r="G86" s="5" t="s">
        <v>22</v>
      </c>
      <c r="H86" s="5"/>
      <c r="I86" s="5">
        <f>SUM(I37:I85)</f>
        <v>117.22000000000001</v>
      </c>
      <c r="J86" s="5"/>
      <c r="K86" s="5"/>
      <c r="L86" s="5"/>
      <c r="M86" s="5"/>
      <c r="N86" s="5"/>
      <c r="O86" s="5"/>
      <c r="P86" s="5"/>
      <c r="Q86" s="5"/>
    </row>
    <row r="87" spans="1:17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</row>
    <row r="88" spans="1:17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</row>
    <row r="89" spans="1:17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</row>
    <row r="90" spans="1:17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</row>
    <row r="91" spans="1:17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</row>
    <row r="92" spans="1:17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</row>
    <row r="93" spans="1:17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</row>
    <row r="94" spans="1:17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</row>
    <row r="95" spans="1:17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6"/>
  <sheetViews>
    <sheetView topLeftCell="A22" workbookViewId="0">
      <selection activeCell="K48" sqref="K48"/>
    </sheetView>
  </sheetViews>
  <sheetFormatPr defaultRowHeight="15" x14ac:dyDescent="0.25"/>
  <cols>
    <col min="1" max="1" width="29.42578125" style="15" bestFit="1" customWidth="1"/>
    <col min="2" max="2" width="10.85546875" style="5" customWidth="1"/>
    <col min="3" max="3" width="7" style="5" bestFit="1" customWidth="1"/>
    <col min="4" max="4" width="7.7109375" style="5" customWidth="1"/>
    <col min="5" max="5" width="9.140625" style="5"/>
    <col min="6" max="6" width="20.85546875" style="5" bestFit="1" customWidth="1"/>
    <col min="7" max="7" width="14.7109375" style="5" bestFit="1" customWidth="1"/>
    <col min="8" max="8" width="16" style="5" bestFit="1" customWidth="1"/>
    <col min="9" max="9" width="8.140625" style="5" customWidth="1"/>
    <col min="10" max="10" width="7" style="5" bestFit="1" customWidth="1"/>
    <col min="11" max="11" width="14.7109375" style="5" bestFit="1" customWidth="1"/>
    <col min="12" max="12" width="10.7109375" style="5" bestFit="1" customWidth="1"/>
    <col min="13" max="13" width="8.140625" style="5" customWidth="1"/>
    <col min="14" max="14" width="9.28515625" style="5" customWidth="1"/>
    <col min="15" max="15" width="12.85546875" style="5" bestFit="1" customWidth="1"/>
    <col min="16" max="16384" width="9.140625" style="5"/>
  </cols>
  <sheetData>
    <row r="1" spans="1:17" x14ac:dyDescent="0.25">
      <c r="A1" s="5"/>
      <c r="K1" s="5" t="s">
        <v>27</v>
      </c>
      <c r="L1" s="2" t="s">
        <v>299</v>
      </c>
      <c r="N1" s="5">
        <f>14.48-1.55</f>
        <v>12.93</v>
      </c>
      <c r="O1" s="38" t="s">
        <v>312</v>
      </c>
      <c r="Q1" s="5">
        <v>14.48</v>
      </c>
    </row>
    <row r="2" spans="1:17" x14ac:dyDescent="0.25">
      <c r="A2" s="5"/>
      <c r="K2" s="5" t="s">
        <v>27</v>
      </c>
      <c r="L2" s="2" t="s">
        <v>299</v>
      </c>
      <c r="N2" s="5">
        <v>63.92</v>
      </c>
    </row>
    <row r="3" spans="1:17" x14ac:dyDescent="0.25">
      <c r="A3" s="5"/>
      <c r="K3" s="5" t="s">
        <v>26</v>
      </c>
      <c r="L3" s="2" t="s">
        <v>299</v>
      </c>
      <c r="N3" s="5">
        <v>15.09</v>
      </c>
    </row>
    <row r="4" spans="1:17" x14ac:dyDescent="0.25">
      <c r="A4" s="5" t="s">
        <v>281</v>
      </c>
      <c r="E4" s="5">
        <v>240</v>
      </c>
      <c r="K4" s="5" t="s">
        <v>12</v>
      </c>
      <c r="L4" s="2" t="s">
        <v>300</v>
      </c>
      <c r="N4" s="5">
        <v>18.100000000000001</v>
      </c>
    </row>
    <row r="5" spans="1:17" x14ac:dyDescent="0.25">
      <c r="A5" s="5" t="s">
        <v>114</v>
      </c>
      <c r="E5" s="5">
        <v>35</v>
      </c>
      <c r="K5" s="5" t="s">
        <v>301</v>
      </c>
      <c r="L5" s="2" t="s">
        <v>300</v>
      </c>
      <c r="N5" s="5">
        <v>50</v>
      </c>
    </row>
    <row r="6" spans="1:17" x14ac:dyDescent="0.25">
      <c r="A6" s="5" t="s">
        <v>2</v>
      </c>
      <c r="E6" s="5">
        <v>50</v>
      </c>
      <c r="K6" s="5" t="s">
        <v>302</v>
      </c>
      <c r="L6" s="2" t="s">
        <v>303</v>
      </c>
      <c r="N6" s="5">
        <v>8.9499999999999993</v>
      </c>
    </row>
    <row r="7" spans="1:17" x14ac:dyDescent="0.25">
      <c r="A7" s="5" t="s">
        <v>0</v>
      </c>
      <c r="E7" s="5">
        <v>80</v>
      </c>
      <c r="K7" s="5" t="s">
        <v>27</v>
      </c>
      <c r="L7" s="2" t="s">
        <v>307</v>
      </c>
      <c r="N7" s="5">
        <v>22.98</v>
      </c>
    </row>
    <row r="8" spans="1:17" x14ac:dyDescent="0.25">
      <c r="A8" s="5" t="s">
        <v>8</v>
      </c>
      <c r="E8" s="5">
        <v>30</v>
      </c>
      <c r="K8" s="5" t="s">
        <v>26</v>
      </c>
      <c r="L8" s="2" t="s">
        <v>307</v>
      </c>
      <c r="N8" s="5">
        <v>11.31</v>
      </c>
    </row>
    <row r="9" spans="1:17" x14ac:dyDescent="0.25">
      <c r="A9" s="5" t="s">
        <v>1</v>
      </c>
      <c r="E9" s="5">
        <v>40</v>
      </c>
      <c r="K9" s="5" t="s">
        <v>27</v>
      </c>
      <c r="L9" s="2" t="s">
        <v>308</v>
      </c>
      <c r="N9" s="5">
        <v>39.65</v>
      </c>
    </row>
    <row r="10" spans="1:17" x14ac:dyDescent="0.25">
      <c r="A10" s="5" t="s">
        <v>4</v>
      </c>
      <c r="E10" s="5">
        <v>250</v>
      </c>
      <c r="K10" s="5" t="s">
        <v>26</v>
      </c>
      <c r="L10" s="2" t="s">
        <v>308</v>
      </c>
      <c r="N10" s="5">
        <v>4.29</v>
      </c>
    </row>
    <row r="11" spans="1:17" x14ac:dyDescent="0.25">
      <c r="A11" s="5" t="s">
        <v>9</v>
      </c>
      <c r="E11" s="5">
        <v>15</v>
      </c>
      <c r="K11" s="5" t="s">
        <v>12</v>
      </c>
      <c r="L11" s="2" t="s">
        <v>308</v>
      </c>
      <c r="N11" s="5">
        <v>22.02</v>
      </c>
    </row>
    <row r="12" spans="1:17" x14ac:dyDescent="0.25">
      <c r="A12" s="2"/>
      <c r="K12" s="5" t="s">
        <v>234</v>
      </c>
      <c r="L12" s="2" t="s">
        <v>313</v>
      </c>
      <c r="N12" s="5">
        <v>231</v>
      </c>
    </row>
    <row r="13" spans="1:17" x14ac:dyDescent="0.25">
      <c r="A13" s="5" t="s">
        <v>115</v>
      </c>
      <c r="E13" s="5">
        <v>231</v>
      </c>
      <c r="K13" s="5" t="s">
        <v>27</v>
      </c>
      <c r="L13" s="2" t="s">
        <v>313</v>
      </c>
      <c r="N13" s="5">
        <v>104.85</v>
      </c>
      <c r="O13" s="38"/>
    </row>
    <row r="14" spans="1:17" x14ac:dyDescent="0.25">
      <c r="A14" s="5" t="s">
        <v>37</v>
      </c>
      <c r="E14" s="5">
        <v>10</v>
      </c>
      <c r="K14" s="5" t="s">
        <v>12</v>
      </c>
      <c r="L14" s="2" t="s">
        <v>315</v>
      </c>
      <c r="N14" s="5">
        <v>39.44</v>
      </c>
    </row>
    <row r="15" spans="1:17" x14ac:dyDescent="0.25">
      <c r="A15" s="5" t="s">
        <v>116</v>
      </c>
      <c r="E15" s="5">
        <v>50</v>
      </c>
      <c r="K15" s="5" t="s">
        <v>161</v>
      </c>
      <c r="L15" s="2" t="s">
        <v>314</v>
      </c>
      <c r="N15" s="5">
        <f>24.43-2.76</f>
        <v>21.67</v>
      </c>
      <c r="Q15" s="5">
        <v>24.43</v>
      </c>
    </row>
    <row r="16" spans="1:17" x14ac:dyDescent="0.25">
      <c r="A16" s="5" t="s">
        <v>309</v>
      </c>
      <c r="K16" s="5" t="s">
        <v>27</v>
      </c>
      <c r="L16" s="2" t="s">
        <v>314</v>
      </c>
      <c r="N16" s="5">
        <v>34.49</v>
      </c>
    </row>
    <row r="17" spans="1:15" x14ac:dyDescent="0.25">
      <c r="A17" s="5" t="s">
        <v>310</v>
      </c>
      <c r="E17" s="5">
        <v>60</v>
      </c>
      <c r="F17" s="5" t="s">
        <v>6</v>
      </c>
      <c r="H17" s="5">
        <v>0</v>
      </c>
      <c r="K17" s="5" t="s">
        <v>316</v>
      </c>
      <c r="L17" s="2" t="s">
        <v>317</v>
      </c>
      <c r="N17" s="5">
        <v>11.55</v>
      </c>
      <c r="O17" s="38"/>
    </row>
    <row r="18" spans="1:15" x14ac:dyDescent="0.25">
      <c r="A18" s="5"/>
      <c r="F18" s="5" t="s">
        <v>7</v>
      </c>
      <c r="H18" s="5">
        <v>11.14</v>
      </c>
      <c r="K18" s="5" t="s">
        <v>13</v>
      </c>
      <c r="L18" s="2" t="s">
        <v>318</v>
      </c>
      <c r="M18" s="5">
        <v>27.31</v>
      </c>
    </row>
    <row r="19" spans="1:15" x14ac:dyDescent="0.25">
      <c r="A19" s="5"/>
      <c r="F19" s="5" t="s">
        <v>20</v>
      </c>
      <c r="H19" s="5">
        <v>166.84</v>
      </c>
      <c r="I19" s="5">
        <f>97+20+42.05+7.79</f>
        <v>166.84</v>
      </c>
      <c r="K19" s="5" t="s">
        <v>27</v>
      </c>
      <c r="L19" s="2" t="s">
        <v>320</v>
      </c>
      <c r="M19" s="5">
        <v>42.05</v>
      </c>
    </row>
    <row r="20" spans="1:15" x14ac:dyDescent="0.25">
      <c r="A20" s="5" t="s">
        <v>5</v>
      </c>
      <c r="D20" s="5">
        <f>SUM(D4:D19)</f>
        <v>0</v>
      </c>
      <c r="F20" s="5" t="s">
        <v>138</v>
      </c>
      <c r="H20" s="5">
        <v>17</v>
      </c>
      <c r="K20" s="5" t="s">
        <v>27</v>
      </c>
      <c r="L20" s="2" t="s">
        <v>320</v>
      </c>
      <c r="M20" s="5">
        <v>7.29</v>
      </c>
    </row>
    <row r="21" spans="1:15" x14ac:dyDescent="0.25">
      <c r="A21" s="5"/>
      <c r="F21" s="5" t="s">
        <v>319</v>
      </c>
      <c r="H21" s="5">
        <v>21.85</v>
      </c>
      <c r="J21" s="5">
        <f>27.31*0.8</f>
        <v>21.847999999999999</v>
      </c>
      <c r="K21" s="5" t="s">
        <v>26</v>
      </c>
      <c r="L21" s="2" t="s">
        <v>320</v>
      </c>
      <c r="M21" s="5">
        <v>13.95</v>
      </c>
      <c r="O21" s="5">
        <f>21.85+18</f>
        <v>39.85</v>
      </c>
    </row>
    <row r="22" spans="1:15" x14ac:dyDescent="0.25">
      <c r="A22" s="5"/>
      <c r="K22" s="5" t="s">
        <v>27</v>
      </c>
      <c r="L22" s="2" t="s">
        <v>321</v>
      </c>
      <c r="M22" s="5">
        <v>7.79</v>
      </c>
    </row>
    <row r="23" spans="1:15" x14ac:dyDescent="0.25">
      <c r="A23" s="5"/>
      <c r="F23" s="5" t="s">
        <v>5</v>
      </c>
      <c r="H23" s="5">
        <f>SUM(H17:H21)</f>
        <v>216.83</v>
      </c>
      <c r="K23" s="5" t="s">
        <v>12</v>
      </c>
      <c r="L23" s="2" t="s">
        <v>322</v>
      </c>
      <c r="M23" s="5">
        <v>22.53</v>
      </c>
    </row>
    <row r="24" spans="1:15" x14ac:dyDescent="0.25">
      <c r="A24" s="5"/>
      <c r="F24" s="5" t="s">
        <v>17</v>
      </c>
      <c r="H24" s="5">
        <f>H23-D20-M34</f>
        <v>95.91</v>
      </c>
      <c r="L24" s="2"/>
      <c r="O24" s="38"/>
    </row>
    <row r="25" spans="1:15" x14ac:dyDescent="0.25">
      <c r="A25" s="5" t="s">
        <v>231</v>
      </c>
      <c r="L25" s="2"/>
      <c r="O25" s="38"/>
    </row>
    <row r="26" spans="1:15" x14ac:dyDescent="0.25">
      <c r="A26" s="5"/>
      <c r="L26" s="2"/>
    </row>
    <row r="27" spans="1:15" x14ac:dyDescent="0.25">
      <c r="A27" s="5" t="s">
        <v>6</v>
      </c>
      <c r="D27" s="5">
        <v>3</v>
      </c>
      <c r="L27" s="2"/>
    </row>
    <row r="28" spans="1:15" x14ac:dyDescent="0.25">
      <c r="A28" s="5" t="s">
        <v>7</v>
      </c>
      <c r="C28" s="5">
        <v>106.41</v>
      </c>
      <c r="L28" s="2"/>
    </row>
    <row r="29" spans="1:15" x14ac:dyDescent="0.25">
      <c r="A29" s="5" t="s">
        <v>11</v>
      </c>
      <c r="C29" s="5">
        <v>110</v>
      </c>
      <c r="D29" s="5">
        <f>120+97</f>
        <v>217</v>
      </c>
      <c r="L29" s="2"/>
    </row>
    <row r="30" spans="1:15" x14ac:dyDescent="0.25">
      <c r="A30" s="5" t="s">
        <v>138</v>
      </c>
      <c r="C30" s="5">
        <v>17</v>
      </c>
    </row>
    <row r="31" spans="1:15" x14ac:dyDescent="0.25">
      <c r="A31" s="5" t="s">
        <v>337</v>
      </c>
      <c r="C31" s="5">
        <v>118.85</v>
      </c>
      <c r="E31" s="5">
        <f>21.85+97</f>
        <v>118.85</v>
      </c>
    </row>
    <row r="32" spans="1:15" x14ac:dyDescent="0.25">
      <c r="A32" s="5" t="s">
        <v>5</v>
      </c>
      <c r="C32" s="5">
        <f>SUM(C27:C31)</f>
        <v>352.26</v>
      </c>
    </row>
    <row r="34" spans="1:14" x14ac:dyDescent="0.25">
      <c r="A34" s="5" t="s">
        <v>18</v>
      </c>
      <c r="L34" s="5" t="s">
        <v>15</v>
      </c>
      <c r="M34" s="5">
        <f>SUM(M1:M33)</f>
        <v>120.92000000000002</v>
      </c>
    </row>
    <row r="35" spans="1:14" x14ac:dyDescent="0.25">
      <c r="A35" s="5" t="s">
        <v>1</v>
      </c>
      <c r="C35" s="5">
        <v>15</v>
      </c>
    </row>
    <row r="36" spans="1:14" x14ac:dyDescent="0.25">
      <c r="A36" s="5" t="s">
        <v>3</v>
      </c>
      <c r="D36" s="5">
        <v>20.76</v>
      </c>
      <c r="G36" s="5" t="s">
        <v>24</v>
      </c>
      <c r="H36" s="5" t="s">
        <v>23</v>
      </c>
      <c r="I36" s="5" t="s">
        <v>25</v>
      </c>
    </row>
    <row r="37" spans="1:14" x14ac:dyDescent="0.25">
      <c r="A37" s="5" t="s">
        <v>4</v>
      </c>
      <c r="C37" s="5">
        <v>30</v>
      </c>
      <c r="G37" s="5" t="s">
        <v>13</v>
      </c>
      <c r="H37" s="2" t="s">
        <v>318</v>
      </c>
      <c r="J37" s="5">
        <v>25.73</v>
      </c>
      <c r="K37" s="38" t="s">
        <v>326</v>
      </c>
      <c r="M37" s="5">
        <v>27.31</v>
      </c>
    </row>
    <row r="38" spans="1:14" x14ac:dyDescent="0.25">
      <c r="A38" s="5" t="s">
        <v>128</v>
      </c>
      <c r="D38" s="5">
        <v>60</v>
      </c>
      <c r="G38" s="5" t="s">
        <v>27</v>
      </c>
      <c r="H38" s="2" t="s">
        <v>320</v>
      </c>
      <c r="J38" s="5">
        <v>42.05</v>
      </c>
      <c r="K38" s="38"/>
    </row>
    <row r="39" spans="1:14" x14ac:dyDescent="0.25">
      <c r="A39" s="5" t="s">
        <v>37</v>
      </c>
      <c r="D39" s="5">
        <v>20</v>
      </c>
      <c r="G39" s="5" t="s">
        <v>27</v>
      </c>
      <c r="H39" s="2" t="s">
        <v>320</v>
      </c>
      <c r="J39" s="5">
        <v>7.29</v>
      </c>
    </row>
    <row r="40" spans="1:14" x14ac:dyDescent="0.25">
      <c r="A40" s="5" t="s">
        <v>224</v>
      </c>
      <c r="D40" s="5">
        <v>116</v>
      </c>
      <c r="G40" s="5" t="s">
        <v>26</v>
      </c>
      <c r="H40" s="2" t="s">
        <v>320</v>
      </c>
      <c r="J40" s="5">
        <v>13.95</v>
      </c>
      <c r="M40" s="2"/>
    </row>
    <row r="41" spans="1:14" x14ac:dyDescent="0.25">
      <c r="A41" s="5" t="s">
        <v>48</v>
      </c>
      <c r="C41" s="5">
        <v>12.53</v>
      </c>
      <c r="G41" s="5" t="s">
        <v>27</v>
      </c>
      <c r="H41" s="2" t="s">
        <v>321</v>
      </c>
      <c r="J41" s="5">
        <v>7.79</v>
      </c>
      <c r="N41" s="2"/>
    </row>
    <row r="42" spans="1:14" x14ac:dyDescent="0.25">
      <c r="A42" s="5" t="s">
        <v>144</v>
      </c>
      <c r="G42" s="5" t="s">
        <v>12</v>
      </c>
      <c r="H42" s="2" t="s">
        <v>322</v>
      </c>
      <c r="J42" s="5">
        <v>22.53</v>
      </c>
      <c r="N42" s="2"/>
    </row>
    <row r="43" spans="1:14" x14ac:dyDescent="0.25">
      <c r="A43" s="5" t="s">
        <v>40</v>
      </c>
      <c r="D43" s="5">
        <v>11.3</v>
      </c>
      <c r="G43" s="5" t="s">
        <v>27</v>
      </c>
      <c r="H43" s="2" t="s">
        <v>325</v>
      </c>
      <c r="J43" s="5">
        <v>7.79</v>
      </c>
    </row>
    <row r="44" spans="1:14" x14ac:dyDescent="0.25">
      <c r="A44" s="5" t="s">
        <v>327</v>
      </c>
      <c r="C44" s="5">
        <v>35</v>
      </c>
      <c r="G44" s="5" t="s">
        <v>27</v>
      </c>
      <c r="H44" s="2" t="s">
        <v>328</v>
      </c>
      <c r="J44" s="5">
        <v>159.69</v>
      </c>
      <c r="K44" s="38"/>
    </row>
    <row r="45" spans="1:14" x14ac:dyDescent="0.25">
      <c r="G45" s="5" t="s">
        <v>26</v>
      </c>
      <c r="H45" s="2" t="s">
        <v>328</v>
      </c>
      <c r="J45" s="5">
        <f>11.76-2.42</f>
        <v>9.34</v>
      </c>
      <c r="K45" s="38" t="s">
        <v>331</v>
      </c>
      <c r="M45" s="5">
        <v>11.76</v>
      </c>
    </row>
    <row r="46" spans="1:14" x14ac:dyDescent="0.25">
      <c r="A46" s="5"/>
      <c r="G46" s="5" t="s">
        <v>12</v>
      </c>
      <c r="H46" s="2" t="s">
        <v>329</v>
      </c>
      <c r="J46" s="5">
        <v>29.93</v>
      </c>
      <c r="K46" s="38"/>
    </row>
    <row r="47" spans="1:14" x14ac:dyDescent="0.25">
      <c r="A47" s="5" t="s">
        <v>19</v>
      </c>
      <c r="C47" s="5">
        <f>SUM(C35:C44)</f>
        <v>92.53</v>
      </c>
      <c r="G47" s="5" t="s">
        <v>12</v>
      </c>
      <c r="H47" s="2" t="s">
        <v>329</v>
      </c>
      <c r="J47" s="5">
        <v>4.54</v>
      </c>
    </row>
    <row r="48" spans="1:14" x14ac:dyDescent="0.25">
      <c r="A48" s="5"/>
      <c r="G48" s="5" t="s">
        <v>36</v>
      </c>
      <c r="H48" s="2" t="s">
        <v>329</v>
      </c>
      <c r="J48" s="5">
        <f>12.99-1.82</f>
        <v>11.17</v>
      </c>
      <c r="K48" s="38" t="s">
        <v>336</v>
      </c>
      <c r="M48" s="5">
        <v>12.99</v>
      </c>
    </row>
    <row r="49" spans="1:11" x14ac:dyDescent="0.25">
      <c r="A49" s="5"/>
      <c r="G49" s="5" t="s">
        <v>40</v>
      </c>
      <c r="H49" s="2" t="s">
        <v>329</v>
      </c>
      <c r="J49" s="5">
        <v>11.3</v>
      </c>
      <c r="K49" s="38"/>
    </row>
    <row r="50" spans="1:11" x14ac:dyDescent="0.25">
      <c r="A50" s="5" t="s">
        <v>17</v>
      </c>
      <c r="C50" s="5">
        <f>C32-C47-I86</f>
        <v>-3.3599999999999568</v>
      </c>
      <c r="G50" s="5" t="s">
        <v>26</v>
      </c>
      <c r="H50" s="2" t="s">
        <v>330</v>
      </c>
      <c r="J50" s="5">
        <v>4.51</v>
      </c>
      <c r="K50" s="38"/>
    </row>
    <row r="51" spans="1:11" x14ac:dyDescent="0.25">
      <c r="A51" s="5"/>
      <c r="G51" s="5" t="s">
        <v>258</v>
      </c>
      <c r="H51" s="2" t="s">
        <v>332</v>
      </c>
      <c r="I51" s="5">
        <v>48.49</v>
      </c>
    </row>
    <row r="52" spans="1:11" ht="15.75" thickBot="1" x14ac:dyDescent="0.3">
      <c r="A52" s="5"/>
      <c r="G52" s="5" t="s">
        <v>305</v>
      </c>
      <c r="H52" s="2" t="s">
        <v>332</v>
      </c>
      <c r="I52" s="5">
        <v>7.05</v>
      </c>
    </row>
    <row r="53" spans="1:11" ht="36" x14ac:dyDescent="0.25">
      <c r="A53" s="20" t="s">
        <v>51</v>
      </c>
      <c r="B53" s="21" t="s">
        <v>52</v>
      </c>
      <c r="C53" s="21" t="s">
        <v>53</v>
      </c>
      <c r="D53" s="22" t="s">
        <v>54</v>
      </c>
      <c r="G53" s="5" t="s">
        <v>12</v>
      </c>
      <c r="H53" s="2" t="s">
        <v>332</v>
      </c>
      <c r="I53" s="5">
        <v>3.16</v>
      </c>
    </row>
    <row r="54" spans="1:11" x14ac:dyDescent="0.25">
      <c r="A54" s="34">
        <v>3450041444</v>
      </c>
      <c r="B54" s="33" t="s">
        <v>47</v>
      </c>
      <c r="C54" s="33" t="s">
        <v>47</v>
      </c>
      <c r="D54" s="35" t="s">
        <v>47</v>
      </c>
      <c r="G54" s="5" t="s">
        <v>12</v>
      </c>
      <c r="H54" s="2" t="s">
        <v>332</v>
      </c>
      <c r="I54" s="5">
        <v>5.86</v>
      </c>
      <c r="K54" s="38"/>
    </row>
    <row r="55" spans="1:11" x14ac:dyDescent="0.25">
      <c r="A55" s="11">
        <v>4390750000073610</v>
      </c>
      <c r="B55" s="7" t="s">
        <v>323</v>
      </c>
      <c r="C55" s="7" t="s">
        <v>47</v>
      </c>
      <c r="D55" s="12" t="s">
        <v>324</v>
      </c>
      <c r="G55" s="5" t="s">
        <v>48</v>
      </c>
      <c r="H55" s="2" t="s">
        <v>318</v>
      </c>
    </row>
    <row r="56" spans="1:11" ht="15.75" thickBot="1" x14ac:dyDescent="0.3">
      <c r="A56" s="13" t="s">
        <v>5</v>
      </c>
      <c r="B56" s="14" t="s">
        <v>323</v>
      </c>
      <c r="C56" s="14" t="s">
        <v>47</v>
      </c>
      <c r="D56" s="19" t="s">
        <v>324</v>
      </c>
      <c r="G56" s="5" t="s">
        <v>16</v>
      </c>
      <c r="H56" s="2" t="s">
        <v>318</v>
      </c>
      <c r="I56" s="5">
        <v>20.76</v>
      </c>
    </row>
    <row r="57" spans="1:11" x14ac:dyDescent="0.25">
      <c r="A57" s="5"/>
      <c r="G57" s="5" t="s">
        <v>12</v>
      </c>
      <c r="H57" s="2" t="s">
        <v>333</v>
      </c>
      <c r="I57" s="5">
        <v>12.45</v>
      </c>
      <c r="K57" s="38"/>
    </row>
    <row r="58" spans="1:11" x14ac:dyDescent="0.25">
      <c r="A58" s="5"/>
      <c r="G58" s="5" t="s">
        <v>257</v>
      </c>
      <c r="H58" s="2" t="s">
        <v>334</v>
      </c>
      <c r="I58" s="5">
        <v>30</v>
      </c>
    </row>
    <row r="59" spans="1:11" x14ac:dyDescent="0.25">
      <c r="A59" s="5"/>
      <c r="G59" s="5" t="s">
        <v>12</v>
      </c>
      <c r="H59" s="2" t="s">
        <v>334</v>
      </c>
      <c r="I59" s="5">
        <v>13.61</v>
      </c>
    </row>
    <row r="60" spans="1:11" x14ac:dyDescent="0.25">
      <c r="A60" s="5"/>
      <c r="G60" s="5" t="s">
        <v>234</v>
      </c>
      <c r="H60" s="2" t="s">
        <v>335</v>
      </c>
      <c r="I60" s="5">
        <v>116</v>
      </c>
    </row>
    <row r="61" spans="1:11" x14ac:dyDescent="0.25">
      <c r="A61" s="5"/>
      <c r="G61" s="5" t="s">
        <v>13</v>
      </c>
      <c r="H61" s="2" t="s">
        <v>335</v>
      </c>
      <c r="I61" s="5">
        <v>5.71</v>
      </c>
      <c r="K61" s="38"/>
    </row>
    <row r="62" spans="1:11" x14ac:dyDescent="0.25">
      <c r="A62" s="5"/>
      <c r="H62" s="2"/>
    </row>
    <row r="63" spans="1:11" x14ac:dyDescent="0.25">
      <c r="A63" s="5"/>
    </row>
    <row r="64" spans="1:11" x14ac:dyDescent="0.25">
      <c r="A64" s="5"/>
    </row>
    <row r="65" spans="1:8" x14ac:dyDescent="0.25">
      <c r="A65" s="5"/>
    </row>
    <row r="66" spans="1:8" x14ac:dyDescent="0.25">
      <c r="A66" s="5"/>
    </row>
    <row r="67" spans="1:8" x14ac:dyDescent="0.25">
      <c r="A67" s="5"/>
      <c r="H67" s="2"/>
    </row>
    <row r="68" spans="1:8" x14ac:dyDescent="0.25">
      <c r="A68" s="5"/>
      <c r="H68" s="2"/>
    </row>
    <row r="69" spans="1:8" x14ac:dyDescent="0.25">
      <c r="A69" s="5"/>
    </row>
    <row r="70" spans="1:8" x14ac:dyDescent="0.25">
      <c r="A70" s="5"/>
    </row>
    <row r="71" spans="1:8" x14ac:dyDescent="0.25">
      <c r="A71" s="5"/>
    </row>
    <row r="72" spans="1:8" x14ac:dyDescent="0.25">
      <c r="A72" s="5"/>
    </row>
    <row r="73" spans="1:8" x14ac:dyDescent="0.25">
      <c r="A73" s="5"/>
    </row>
    <row r="74" spans="1:8" x14ac:dyDescent="0.25">
      <c r="A74" s="5"/>
    </row>
    <row r="75" spans="1:8" x14ac:dyDescent="0.25">
      <c r="A75" s="5"/>
    </row>
    <row r="76" spans="1:8" x14ac:dyDescent="0.25">
      <c r="A76" s="5"/>
    </row>
    <row r="77" spans="1:8" x14ac:dyDescent="0.25">
      <c r="A77" s="5"/>
    </row>
    <row r="78" spans="1:8" x14ac:dyDescent="0.25">
      <c r="A78" s="5"/>
    </row>
    <row r="79" spans="1:8" x14ac:dyDescent="0.25">
      <c r="A79" s="5"/>
    </row>
    <row r="80" spans="1:8" x14ac:dyDescent="0.25">
      <c r="A80" s="5"/>
    </row>
    <row r="81" spans="1:9" x14ac:dyDescent="0.25">
      <c r="A81" s="5"/>
    </row>
    <row r="82" spans="1:9" x14ac:dyDescent="0.25">
      <c r="A82" s="5"/>
    </row>
    <row r="83" spans="1:9" x14ac:dyDescent="0.25">
      <c r="A83" s="5"/>
    </row>
    <row r="84" spans="1:9" x14ac:dyDescent="0.25">
      <c r="A84" s="5"/>
    </row>
    <row r="85" spans="1:9" x14ac:dyDescent="0.25">
      <c r="A85" s="5"/>
    </row>
    <row r="86" spans="1:9" x14ac:dyDescent="0.25">
      <c r="A86" s="5"/>
      <c r="G86" s="5" t="s">
        <v>22</v>
      </c>
      <c r="I86" s="5">
        <f>SUM(I37:I85)</f>
        <v>263.08999999999997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65"/>
  <sheetViews>
    <sheetView topLeftCell="A37" workbookViewId="0">
      <selection activeCell="C28" sqref="C28"/>
    </sheetView>
  </sheetViews>
  <sheetFormatPr defaultRowHeight="15" x14ac:dyDescent="0.25"/>
  <cols>
    <col min="1" max="1" width="31.28515625" customWidth="1"/>
    <col min="6" max="6" width="16" customWidth="1"/>
    <col min="7" max="7" width="26" bestFit="1" customWidth="1"/>
    <col min="8" max="8" width="10.7109375" bestFit="1" customWidth="1"/>
    <col min="10" max="10" width="11.140625" bestFit="1" customWidth="1"/>
    <col min="11" max="11" width="12.85546875" bestFit="1" customWidth="1"/>
    <col min="12" max="12" width="10.7109375" bestFit="1" customWidth="1"/>
    <col min="14" max="14" width="12.5703125" customWidth="1"/>
    <col min="15" max="15" width="15.28515625" customWidth="1"/>
  </cols>
  <sheetData>
    <row r="1" spans="1:22" x14ac:dyDescent="0.25">
      <c r="A1" s="5"/>
      <c r="B1" s="5"/>
      <c r="C1" s="5"/>
      <c r="D1" s="5"/>
      <c r="E1" s="5"/>
      <c r="F1" s="5"/>
      <c r="G1" s="5"/>
      <c r="H1" s="5"/>
      <c r="I1" s="5"/>
      <c r="J1" s="5"/>
      <c r="K1" s="5" t="s">
        <v>258</v>
      </c>
      <c r="L1" s="2" t="s">
        <v>332</v>
      </c>
      <c r="N1" s="5">
        <v>48.49</v>
      </c>
      <c r="P1" s="5"/>
      <c r="Q1" s="5">
        <v>14.48</v>
      </c>
      <c r="R1" s="5"/>
      <c r="S1" s="5"/>
      <c r="T1" s="5"/>
      <c r="U1" s="5"/>
      <c r="V1" s="5"/>
    </row>
    <row r="2" spans="1:22" x14ac:dyDescent="0.25">
      <c r="A2" s="5"/>
      <c r="B2" s="5"/>
      <c r="C2" s="5"/>
      <c r="D2" s="5"/>
      <c r="E2" s="5"/>
      <c r="F2" s="5"/>
      <c r="G2" s="5"/>
      <c r="H2" s="5"/>
      <c r="I2" s="5"/>
      <c r="J2" s="5"/>
      <c r="K2" s="5" t="s">
        <v>305</v>
      </c>
      <c r="L2" s="2" t="s">
        <v>332</v>
      </c>
      <c r="N2" s="5">
        <v>7.05</v>
      </c>
      <c r="O2" s="5"/>
      <c r="P2" s="5"/>
      <c r="Q2" s="5"/>
      <c r="R2" s="5"/>
      <c r="S2" s="5"/>
      <c r="T2" s="5"/>
      <c r="U2" s="5"/>
      <c r="V2" s="5"/>
    </row>
    <row r="3" spans="1:22" x14ac:dyDescent="0.25">
      <c r="A3" s="5"/>
      <c r="B3" s="5"/>
      <c r="C3" s="5"/>
      <c r="D3" s="5"/>
      <c r="E3" s="5"/>
      <c r="F3" s="5"/>
      <c r="G3" s="5"/>
      <c r="H3" s="5"/>
      <c r="I3" s="5"/>
      <c r="J3" s="5"/>
      <c r="K3" s="5" t="s">
        <v>12</v>
      </c>
      <c r="L3" s="2" t="s">
        <v>332</v>
      </c>
      <c r="N3" s="5">
        <v>3.16</v>
      </c>
      <c r="O3" s="38"/>
      <c r="P3" s="5"/>
      <c r="Q3" s="5"/>
      <c r="R3" s="5"/>
      <c r="S3" s="5"/>
      <c r="T3" s="5"/>
      <c r="U3" s="5"/>
      <c r="V3" s="5"/>
    </row>
    <row r="4" spans="1:22" x14ac:dyDescent="0.25">
      <c r="A4" s="5" t="s">
        <v>281</v>
      </c>
      <c r="B4" s="5"/>
      <c r="C4" s="5"/>
      <c r="E4" s="5">
        <v>240</v>
      </c>
      <c r="F4" s="5"/>
      <c r="G4" s="5"/>
      <c r="H4" s="5"/>
      <c r="I4" s="5"/>
      <c r="J4" s="5"/>
      <c r="K4" s="5" t="s">
        <v>12</v>
      </c>
      <c r="L4" s="2" t="s">
        <v>332</v>
      </c>
      <c r="N4" s="5">
        <v>5.86</v>
      </c>
      <c r="O4" s="5"/>
      <c r="P4" s="5"/>
      <c r="Q4" s="5"/>
      <c r="R4" s="5"/>
      <c r="S4" s="5"/>
      <c r="T4" s="5"/>
      <c r="U4" s="5"/>
      <c r="V4" s="5"/>
    </row>
    <row r="5" spans="1:22" x14ac:dyDescent="0.25">
      <c r="A5" s="5" t="s">
        <v>114</v>
      </c>
      <c r="B5" s="5"/>
      <c r="C5" s="5"/>
      <c r="E5" s="5">
        <v>35</v>
      </c>
      <c r="F5" s="5"/>
      <c r="G5" s="5"/>
      <c r="H5" s="5"/>
      <c r="I5" s="5"/>
      <c r="J5" s="5"/>
      <c r="K5" s="5" t="s">
        <v>48</v>
      </c>
      <c r="L5" s="2" t="s">
        <v>318</v>
      </c>
      <c r="M5" s="5"/>
      <c r="N5" s="5"/>
      <c r="O5" s="5"/>
      <c r="P5" s="5"/>
      <c r="Q5" s="5"/>
      <c r="R5" s="5"/>
      <c r="S5" s="5"/>
      <c r="T5" s="5"/>
      <c r="U5" s="5"/>
      <c r="V5" s="5"/>
    </row>
    <row r="6" spans="1:22" x14ac:dyDescent="0.25">
      <c r="A6" s="5" t="s">
        <v>2</v>
      </c>
      <c r="B6" s="5"/>
      <c r="C6" s="5"/>
      <c r="E6" s="5">
        <v>50</v>
      </c>
      <c r="F6" s="5"/>
      <c r="G6" s="5"/>
      <c r="H6" s="5"/>
      <c r="I6" s="5"/>
      <c r="J6" s="5"/>
      <c r="K6" s="5" t="s">
        <v>16</v>
      </c>
      <c r="L6" s="2" t="s">
        <v>318</v>
      </c>
      <c r="N6" s="5">
        <v>20.76</v>
      </c>
      <c r="O6" s="5"/>
      <c r="P6" s="5"/>
      <c r="Q6" s="5"/>
      <c r="R6" s="5"/>
      <c r="S6" s="5"/>
      <c r="T6" s="5"/>
      <c r="U6" s="5"/>
      <c r="V6" s="5"/>
    </row>
    <row r="7" spans="1:22" x14ac:dyDescent="0.25">
      <c r="A7" s="5" t="s">
        <v>0</v>
      </c>
      <c r="B7" s="5"/>
      <c r="C7" s="5"/>
      <c r="E7" s="5">
        <v>30</v>
      </c>
      <c r="F7" s="5"/>
      <c r="G7" s="5"/>
      <c r="H7" s="5"/>
      <c r="I7" s="5"/>
      <c r="J7" s="5"/>
      <c r="K7" s="5" t="s">
        <v>12</v>
      </c>
      <c r="L7" s="2" t="s">
        <v>333</v>
      </c>
      <c r="N7" s="5">
        <v>12.45</v>
      </c>
      <c r="O7" s="5"/>
      <c r="P7" s="5"/>
      <c r="Q7" s="5"/>
      <c r="R7" s="5"/>
      <c r="S7" s="5"/>
      <c r="T7" s="5"/>
      <c r="U7" s="5"/>
      <c r="V7" s="5"/>
    </row>
    <row r="8" spans="1:22" x14ac:dyDescent="0.25">
      <c r="A8" s="5" t="s">
        <v>8</v>
      </c>
      <c r="B8" s="5"/>
      <c r="C8" s="5"/>
      <c r="E8" s="5">
        <v>30</v>
      </c>
      <c r="F8" s="5"/>
      <c r="G8" s="5"/>
      <c r="H8" s="5"/>
      <c r="I8" s="5"/>
      <c r="J8" s="5"/>
      <c r="K8" s="5" t="s">
        <v>257</v>
      </c>
      <c r="L8" s="2" t="s">
        <v>334</v>
      </c>
      <c r="N8" s="5">
        <v>30</v>
      </c>
      <c r="O8" s="5"/>
      <c r="P8" s="5"/>
      <c r="Q8" s="5"/>
      <c r="R8" s="5"/>
      <c r="S8" s="5"/>
      <c r="T8" s="5"/>
      <c r="U8" s="5"/>
      <c r="V8" s="5"/>
    </row>
    <row r="9" spans="1:22" x14ac:dyDescent="0.25">
      <c r="A9" s="5" t="s">
        <v>1</v>
      </c>
      <c r="B9" s="5"/>
      <c r="C9" s="5"/>
      <c r="E9" s="5">
        <v>20</v>
      </c>
      <c r="F9" s="5"/>
      <c r="G9" s="5"/>
      <c r="H9" s="5"/>
      <c r="I9" s="5"/>
      <c r="J9" s="5"/>
      <c r="K9" s="5" t="s">
        <v>12</v>
      </c>
      <c r="L9" s="2" t="s">
        <v>334</v>
      </c>
      <c r="N9" s="5">
        <v>13.61</v>
      </c>
      <c r="P9" s="5"/>
      <c r="Q9" s="5"/>
      <c r="R9" s="5"/>
      <c r="S9" s="5"/>
      <c r="T9" s="5"/>
      <c r="U9" s="5"/>
      <c r="V9" s="5"/>
    </row>
    <row r="10" spans="1:22" x14ac:dyDescent="0.25">
      <c r="A10" s="5" t="s">
        <v>4</v>
      </c>
      <c r="B10" s="5"/>
      <c r="C10" s="5"/>
      <c r="D10">
        <v>70</v>
      </c>
      <c r="E10" s="5">
        <v>250</v>
      </c>
      <c r="F10" s="5"/>
      <c r="G10" s="5"/>
      <c r="H10" s="5"/>
      <c r="I10" s="5"/>
      <c r="J10" s="5"/>
      <c r="K10" s="5" t="s">
        <v>234</v>
      </c>
      <c r="L10" s="2" t="s">
        <v>335</v>
      </c>
      <c r="N10" s="5">
        <v>116</v>
      </c>
      <c r="O10" s="5"/>
      <c r="P10" s="5"/>
      <c r="Q10" s="5"/>
      <c r="R10" s="5"/>
      <c r="S10" s="5"/>
      <c r="T10" s="5"/>
      <c r="U10" s="5"/>
      <c r="V10" s="5"/>
    </row>
    <row r="11" spans="1:22" x14ac:dyDescent="0.25">
      <c r="A11" s="5" t="s">
        <v>9</v>
      </c>
      <c r="B11" s="5"/>
      <c r="C11" s="5"/>
      <c r="E11" s="5">
        <v>15</v>
      </c>
      <c r="F11" s="5"/>
      <c r="G11" s="5"/>
      <c r="H11" s="5"/>
      <c r="I11" s="5"/>
      <c r="J11" s="5"/>
      <c r="K11" s="5" t="s">
        <v>13</v>
      </c>
      <c r="L11" s="2" t="s">
        <v>335</v>
      </c>
      <c r="M11" s="5"/>
      <c r="N11" s="5">
        <v>5.08</v>
      </c>
      <c r="O11" s="38" t="s">
        <v>338</v>
      </c>
      <c r="P11" s="5"/>
      <c r="Q11" s="5">
        <v>5.71</v>
      </c>
      <c r="R11" s="5"/>
      <c r="S11" s="5"/>
      <c r="T11" s="5"/>
      <c r="U11" s="5"/>
      <c r="V11" s="5"/>
    </row>
    <row r="12" spans="1:22" x14ac:dyDescent="0.25">
      <c r="A12" s="5" t="s">
        <v>115</v>
      </c>
      <c r="B12" s="5"/>
      <c r="C12" s="5"/>
      <c r="D12" s="5">
        <v>0</v>
      </c>
      <c r="F12" s="5"/>
      <c r="G12" s="5"/>
      <c r="H12" s="5"/>
      <c r="I12" s="5"/>
      <c r="J12" s="5"/>
      <c r="K12" s="5" t="s">
        <v>27</v>
      </c>
      <c r="L12" s="2" t="s">
        <v>339</v>
      </c>
      <c r="N12" s="5">
        <v>34.86</v>
      </c>
      <c r="O12" s="5"/>
      <c r="P12" s="5"/>
      <c r="Q12" s="5"/>
      <c r="R12" s="5"/>
      <c r="S12" s="5"/>
      <c r="T12" s="5"/>
      <c r="U12" s="5"/>
      <c r="V12" s="5"/>
    </row>
    <row r="13" spans="1:22" x14ac:dyDescent="0.25">
      <c r="A13" s="5" t="s">
        <v>37</v>
      </c>
      <c r="B13" s="5"/>
      <c r="C13" s="5"/>
      <c r="D13" s="5">
        <v>10</v>
      </c>
      <c r="F13" s="5"/>
      <c r="G13" s="5"/>
      <c r="H13" s="5"/>
      <c r="I13" s="5"/>
      <c r="J13" s="5"/>
      <c r="K13" s="5" t="s">
        <v>27</v>
      </c>
      <c r="L13" s="2" t="s">
        <v>339</v>
      </c>
      <c r="N13" s="5">
        <v>79.88</v>
      </c>
      <c r="O13" s="38"/>
      <c r="P13" s="5"/>
      <c r="Q13" s="5"/>
      <c r="R13" s="5"/>
      <c r="S13" s="5"/>
      <c r="T13" s="5"/>
      <c r="U13" s="5"/>
      <c r="V13" s="5"/>
    </row>
    <row r="14" spans="1:22" x14ac:dyDescent="0.25">
      <c r="A14" s="5" t="s">
        <v>116</v>
      </c>
      <c r="B14" s="5"/>
      <c r="C14" s="5"/>
      <c r="E14" s="5">
        <v>50</v>
      </c>
      <c r="F14" s="5"/>
      <c r="G14" s="5"/>
      <c r="H14" s="5"/>
      <c r="I14" s="5"/>
      <c r="J14" s="5"/>
      <c r="K14" s="5" t="s">
        <v>26</v>
      </c>
      <c r="L14" s="2" t="s">
        <v>339</v>
      </c>
      <c r="N14" s="5">
        <v>14.9</v>
      </c>
      <c r="P14" s="5"/>
      <c r="Q14" s="5"/>
      <c r="R14" s="5"/>
      <c r="S14" s="5"/>
      <c r="T14" s="5"/>
      <c r="U14" s="5"/>
      <c r="V14" s="5"/>
    </row>
    <row r="15" spans="1:22" x14ac:dyDescent="0.25">
      <c r="A15" s="5" t="s">
        <v>50</v>
      </c>
      <c r="B15" s="5"/>
      <c r="C15" s="5"/>
      <c r="E15" s="5">
        <v>80</v>
      </c>
      <c r="F15" s="5"/>
      <c r="G15" s="5"/>
      <c r="H15" s="5"/>
      <c r="I15" s="5"/>
      <c r="J15" s="5"/>
      <c r="K15" s="5" t="s">
        <v>45</v>
      </c>
      <c r="L15" s="2" t="s">
        <v>340</v>
      </c>
      <c r="N15" s="5">
        <v>35.1</v>
      </c>
      <c r="O15" s="5"/>
      <c r="P15" s="5"/>
      <c r="Q15" s="5"/>
      <c r="R15" s="5"/>
      <c r="S15" s="5">
        <f>61.77*0.8</f>
        <v>49.416000000000004</v>
      </c>
      <c r="T15" s="5"/>
      <c r="U15" s="5"/>
      <c r="V15" s="5"/>
    </row>
    <row r="16" spans="1:22" x14ac:dyDescent="0.25">
      <c r="F16" s="5"/>
      <c r="G16" s="5"/>
      <c r="H16" s="5"/>
      <c r="I16" s="5"/>
      <c r="J16" s="5"/>
      <c r="K16" s="5" t="s">
        <v>13</v>
      </c>
      <c r="L16" s="2" t="s">
        <v>340</v>
      </c>
      <c r="N16" s="5">
        <v>26.67</v>
      </c>
      <c r="O16" s="5"/>
      <c r="P16" s="5"/>
      <c r="Q16" s="5"/>
      <c r="R16" s="5"/>
      <c r="S16" s="5"/>
      <c r="T16" s="5"/>
      <c r="U16" s="5"/>
      <c r="V16" s="5"/>
    </row>
    <row r="17" spans="1:22" x14ac:dyDescent="0.25">
      <c r="A17" s="5"/>
      <c r="B17" s="5"/>
      <c r="C17" s="5"/>
      <c r="D17" s="5"/>
      <c r="F17" s="5" t="s">
        <v>6</v>
      </c>
      <c r="G17" s="5"/>
      <c r="H17" s="5">
        <v>0</v>
      </c>
      <c r="I17" s="5"/>
      <c r="J17" s="5"/>
      <c r="K17" s="5" t="s">
        <v>109</v>
      </c>
      <c r="L17" s="2" t="s">
        <v>341</v>
      </c>
      <c r="M17" s="5"/>
      <c r="N17">
        <f>4.97-0.95</f>
        <v>4.0199999999999996</v>
      </c>
      <c r="O17" s="38" t="s">
        <v>343</v>
      </c>
      <c r="P17" s="5"/>
      <c r="Q17" s="5">
        <v>4.97</v>
      </c>
      <c r="R17" s="5"/>
      <c r="S17" s="5"/>
      <c r="T17" s="5"/>
      <c r="U17" s="5"/>
      <c r="V17" s="5"/>
    </row>
    <row r="18" spans="1:22" x14ac:dyDescent="0.25">
      <c r="A18" s="5"/>
      <c r="B18" s="5"/>
      <c r="C18" s="5"/>
      <c r="D18" s="5"/>
      <c r="E18" s="5"/>
      <c r="F18" s="5" t="s">
        <v>7</v>
      </c>
      <c r="G18" s="5"/>
      <c r="H18" s="5">
        <v>0.6</v>
      </c>
      <c r="I18" s="5"/>
      <c r="J18" s="5"/>
      <c r="K18" s="5" t="s">
        <v>12</v>
      </c>
      <c r="L18" s="2" t="s">
        <v>341</v>
      </c>
      <c r="N18" s="5">
        <v>23.69</v>
      </c>
      <c r="O18" s="5"/>
      <c r="P18" s="5"/>
      <c r="Q18" s="5"/>
      <c r="R18" s="5"/>
      <c r="S18" s="5"/>
      <c r="T18" s="5"/>
      <c r="U18" s="5"/>
      <c r="V18" s="5"/>
    </row>
    <row r="19" spans="1:22" x14ac:dyDescent="0.25">
      <c r="A19" s="5"/>
      <c r="B19" s="5"/>
      <c r="C19" s="5"/>
      <c r="D19" s="5"/>
      <c r="E19" s="5"/>
      <c r="F19" s="5" t="s">
        <v>20</v>
      </c>
      <c r="G19" s="5"/>
      <c r="H19">
        <v>115</v>
      </c>
      <c r="I19" s="5"/>
      <c r="J19" s="5"/>
      <c r="K19" s="5" t="s">
        <v>12</v>
      </c>
      <c r="L19" s="2" t="s">
        <v>341</v>
      </c>
      <c r="N19" s="5">
        <v>13.51</v>
      </c>
      <c r="O19" s="5"/>
      <c r="P19" s="5"/>
      <c r="Q19" s="5"/>
      <c r="R19" s="5"/>
      <c r="S19" s="5"/>
      <c r="T19" s="5"/>
      <c r="U19" s="5"/>
      <c r="V19" s="5"/>
    </row>
    <row r="20" spans="1:22" x14ac:dyDescent="0.25">
      <c r="A20" s="5" t="s">
        <v>5</v>
      </c>
      <c r="B20" s="5"/>
      <c r="C20" s="5"/>
      <c r="D20" s="5">
        <f>SUM(D4:D19)</f>
        <v>80</v>
      </c>
      <c r="E20" s="5"/>
      <c r="F20" s="5" t="s">
        <v>138</v>
      </c>
      <c r="G20" s="5"/>
      <c r="H20">
        <v>16</v>
      </c>
      <c r="I20" s="5"/>
      <c r="J20" s="5"/>
      <c r="K20" s="5" t="s">
        <v>13</v>
      </c>
      <c r="L20" s="2" t="s">
        <v>342</v>
      </c>
      <c r="N20" s="5">
        <f>6.01-1.66</f>
        <v>4.3499999999999996</v>
      </c>
      <c r="O20" s="38" t="s">
        <v>192</v>
      </c>
      <c r="P20" s="5"/>
      <c r="Q20" s="5">
        <v>6.01</v>
      </c>
      <c r="R20" s="5"/>
      <c r="S20" s="5"/>
      <c r="T20" s="5"/>
      <c r="U20" s="5"/>
      <c r="V20" s="5"/>
    </row>
    <row r="21" spans="1:22" x14ac:dyDescent="0.25">
      <c r="A21" s="5"/>
      <c r="B21" s="5"/>
      <c r="C21" s="5"/>
      <c r="D21" s="5"/>
      <c r="E21" s="5"/>
      <c r="F21" s="5" t="s">
        <v>349</v>
      </c>
      <c r="G21" s="5"/>
      <c r="H21" s="5">
        <v>257.43</v>
      </c>
      <c r="I21" s="5">
        <f>97+21.85+49.42+4.57+84.59</f>
        <v>257.42999999999995</v>
      </c>
      <c r="J21" s="5"/>
      <c r="K21" s="5" t="s">
        <v>27</v>
      </c>
      <c r="L21" s="2" t="s">
        <v>344</v>
      </c>
      <c r="N21" s="5">
        <f>97.46-2.33</f>
        <v>95.13</v>
      </c>
      <c r="O21" s="38" t="s">
        <v>347</v>
      </c>
      <c r="P21" s="5"/>
      <c r="Q21" s="5">
        <v>97.46</v>
      </c>
      <c r="R21" s="5"/>
      <c r="S21" s="5"/>
      <c r="T21" s="5"/>
      <c r="U21" s="5"/>
      <c r="V21" s="5"/>
    </row>
    <row r="22" spans="1:22" x14ac:dyDescent="0.25">
      <c r="A22" s="5"/>
      <c r="B22" s="5"/>
      <c r="C22" s="5"/>
      <c r="D22" s="5"/>
      <c r="E22" s="5"/>
      <c r="F22" s="5"/>
      <c r="G22" s="5"/>
      <c r="H22" s="5"/>
      <c r="I22" s="5"/>
      <c r="J22" s="5"/>
      <c r="K22" s="5" t="s">
        <v>27</v>
      </c>
      <c r="L22" s="2" t="s">
        <v>344</v>
      </c>
      <c r="M22" s="5">
        <v>60.67</v>
      </c>
      <c r="N22" s="5"/>
      <c r="O22" s="5"/>
      <c r="P22" s="5"/>
      <c r="Q22" s="5"/>
      <c r="R22" s="5"/>
      <c r="S22" s="5"/>
      <c r="T22" s="5"/>
      <c r="U22" s="5"/>
      <c r="V22" s="5"/>
    </row>
    <row r="23" spans="1:22" x14ac:dyDescent="0.25">
      <c r="A23" s="5"/>
      <c r="B23" s="5"/>
      <c r="C23" s="5"/>
      <c r="D23" s="5"/>
      <c r="E23" s="5"/>
      <c r="F23" s="5" t="s">
        <v>5</v>
      </c>
      <c r="G23" s="5"/>
      <c r="H23" s="5">
        <f>SUM(H17:H21)</f>
        <v>389.03</v>
      </c>
      <c r="I23" s="5"/>
      <c r="J23" s="5"/>
      <c r="K23" s="5" t="s">
        <v>26</v>
      </c>
      <c r="L23" s="2" t="s">
        <v>344</v>
      </c>
      <c r="M23" s="5">
        <v>18.77</v>
      </c>
      <c r="N23" s="5"/>
      <c r="O23" s="5"/>
      <c r="P23" s="5"/>
      <c r="Q23" s="5"/>
      <c r="R23" s="5"/>
      <c r="S23" s="5"/>
      <c r="T23" s="5"/>
      <c r="U23" s="5"/>
      <c r="V23" s="5"/>
    </row>
    <row r="24" spans="1:22" x14ac:dyDescent="0.25">
      <c r="A24" s="5"/>
      <c r="B24" s="5"/>
      <c r="C24" s="5"/>
      <c r="D24" s="5"/>
      <c r="E24" s="5"/>
      <c r="F24" s="5" t="s">
        <v>17</v>
      </c>
      <c r="G24" s="5"/>
      <c r="H24" s="5">
        <f>H23-D20-M34</f>
        <v>63.309999999999974</v>
      </c>
      <c r="I24" s="5"/>
      <c r="J24" s="5"/>
      <c r="K24" s="5" t="s">
        <v>12</v>
      </c>
      <c r="L24" s="2" t="s">
        <v>345</v>
      </c>
      <c r="M24" s="5">
        <v>33.28</v>
      </c>
      <c r="N24" s="5"/>
      <c r="O24" s="38"/>
      <c r="P24" s="5"/>
      <c r="Q24" s="5"/>
      <c r="R24" s="5"/>
      <c r="S24" s="5"/>
      <c r="T24" s="5"/>
      <c r="U24" s="5"/>
      <c r="V24" s="5"/>
    </row>
    <row r="25" spans="1:22" x14ac:dyDescent="0.25">
      <c r="A25" s="5" t="s">
        <v>231</v>
      </c>
      <c r="B25" s="5"/>
      <c r="C25" s="5"/>
      <c r="D25" s="5"/>
      <c r="E25" s="5"/>
      <c r="F25" s="5"/>
      <c r="G25" s="5"/>
      <c r="H25" s="5"/>
      <c r="I25" s="5"/>
      <c r="J25" s="5"/>
      <c r="K25" s="5" t="s">
        <v>161</v>
      </c>
      <c r="L25" s="2" t="s">
        <v>346</v>
      </c>
      <c r="N25" s="5">
        <v>24.73</v>
      </c>
      <c r="O25" s="38"/>
      <c r="P25" s="5"/>
      <c r="Q25" s="5"/>
      <c r="R25" s="5"/>
      <c r="S25" s="5"/>
      <c r="T25" s="5"/>
      <c r="U25" s="5"/>
      <c r="V25" s="5"/>
    </row>
    <row r="26" spans="1:22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 t="s">
        <v>27</v>
      </c>
      <c r="L26" s="2" t="s">
        <v>348</v>
      </c>
      <c r="M26" s="5">
        <v>6.99</v>
      </c>
      <c r="N26" s="5"/>
      <c r="O26" s="5"/>
      <c r="P26" s="5"/>
      <c r="Q26" s="5"/>
      <c r="R26" s="5"/>
      <c r="S26" s="5"/>
      <c r="T26" s="5"/>
      <c r="U26" s="5"/>
      <c r="V26" s="5"/>
    </row>
    <row r="27" spans="1:22" x14ac:dyDescent="0.25">
      <c r="A27" s="5" t="s">
        <v>6</v>
      </c>
      <c r="B27" s="5"/>
      <c r="C27" s="5"/>
      <c r="D27" s="5">
        <v>3</v>
      </c>
      <c r="E27" s="5"/>
      <c r="F27" s="5"/>
      <c r="G27" s="5"/>
      <c r="H27" s="5"/>
      <c r="I27" s="5"/>
      <c r="J27" s="5"/>
      <c r="K27" s="5" t="s">
        <v>27</v>
      </c>
      <c r="L27" s="2" t="s">
        <v>348</v>
      </c>
      <c r="M27" s="5">
        <v>5.99</v>
      </c>
      <c r="N27" s="5"/>
      <c r="O27" s="5"/>
      <c r="P27" s="5"/>
      <c r="Q27" s="5"/>
      <c r="R27" s="5"/>
      <c r="S27" s="5"/>
      <c r="T27" s="5"/>
      <c r="U27" s="5"/>
      <c r="V27" s="5"/>
    </row>
    <row r="28" spans="1:22" x14ac:dyDescent="0.25">
      <c r="A28" s="5" t="s">
        <v>7</v>
      </c>
      <c r="B28" s="5"/>
      <c r="C28" s="5">
        <v>58.71</v>
      </c>
      <c r="D28" s="5"/>
      <c r="E28" s="5"/>
      <c r="F28" s="5"/>
      <c r="G28" s="5"/>
      <c r="H28" s="5"/>
      <c r="I28" s="5"/>
      <c r="J28" s="5"/>
      <c r="K28" s="5" t="s">
        <v>27</v>
      </c>
      <c r="L28" s="2" t="s">
        <v>348</v>
      </c>
      <c r="M28" s="5">
        <v>84.59</v>
      </c>
      <c r="N28" s="5"/>
      <c r="O28" s="5"/>
      <c r="P28" s="5"/>
      <c r="Q28" s="5"/>
      <c r="R28" s="5"/>
      <c r="S28" s="5"/>
      <c r="T28" s="5"/>
      <c r="U28" s="5"/>
      <c r="V28" s="5"/>
    </row>
    <row r="29" spans="1:22" x14ac:dyDescent="0.25">
      <c r="A29" s="5" t="s">
        <v>11</v>
      </c>
      <c r="B29" s="5"/>
      <c r="C29" s="5"/>
      <c r="D29" s="5">
        <v>0</v>
      </c>
      <c r="E29" s="5"/>
      <c r="F29" s="5"/>
      <c r="G29" s="5"/>
      <c r="H29" s="5"/>
      <c r="I29" s="5"/>
      <c r="J29" s="5"/>
      <c r="K29" s="5" t="s">
        <v>26</v>
      </c>
      <c r="L29" s="2" t="s">
        <v>348</v>
      </c>
      <c r="M29" s="5">
        <v>10.16</v>
      </c>
      <c r="N29" s="5"/>
      <c r="O29" s="5"/>
      <c r="P29" s="5"/>
      <c r="Q29" s="5"/>
      <c r="R29" s="5"/>
      <c r="S29" s="5"/>
      <c r="T29" s="5"/>
      <c r="U29" s="5"/>
      <c r="V29" s="5"/>
    </row>
    <row r="30" spans="1:22" x14ac:dyDescent="0.25">
      <c r="A30" s="5" t="s">
        <v>138</v>
      </c>
      <c r="B30" s="5"/>
      <c r="D30" s="5">
        <v>16</v>
      </c>
      <c r="E30" s="5"/>
      <c r="F30" s="5"/>
      <c r="G30" s="5"/>
      <c r="H30" s="5"/>
      <c r="I30" s="5"/>
      <c r="J30" s="5"/>
      <c r="K30" s="5" t="s">
        <v>13</v>
      </c>
      <c r="L30" s="2" t="s">
        <v>348</v>
      </c>
      <c r="M30" s="5">
        <v>10.98</v>
      </c>
      <c r="N30" s="5"/>
      <c r="O30" s="5"/>
      <c r="P30" s="5"/>
      <c r="Q30" s="5"/>
      <c r="R30" s="5"/>
      <c r="S30" s="5"/>
      <c r="T30" s="5"/>
      <c r="U30" s="5"/>
      <c r="V30" s="5"/>
    </row>
    <row r="31" spans="1:22" x14ac:dyDescent="0.25">
      <c r="A31" s="5" t="s">
        <v>366</v>
      </c>
      <c r="B31" s="5"/>
      <c r="D31" s="5">
        <v>97</v>
      </c>
      <c r="E31" s="5"/>
      <c r="F31" s="5"/>
      <c r="G31" s="5"/>
      <c r="H31" s="5"/>
      <c r="I31" s="5"/>
      <c r="J31" s="5"/>
      <c r="K31" s="5" t="s">
        <v>12</v>
      </c>
      <c r="L31" s="2" t="s">
        <v>348</v>
      </c>
      <c r="M31" s="5">
        <v>3.08</v>
      </c>
      <c r="N31" s="5"/>
      <c r="O31" s="5"/>
      <c r="P31" s="5"/>
      <c r="Q31" s="5"/>
      <c r="R31" s="5"/>
      <c r="S31" s="5"/>
      <c r="T31" s="5"/>
      <c r="U31" s="5"/>
      <c r="V31" s="5"/>
    </row>
    <row r="32" spans="1:22" x14ac:dyDescent="0.25">
      <c r="A32" s="5" t="s">
        <v>5</v>
      </c>
      <c r="B32" s="5"/>
      <c r="C32" s="5">
        <f>SUM(C27:C31)</f>
        <v>58.71</v>
      </c>
      <c r="D32" s="5"/>
      <c r="E32" s="5"/>
      <c r="F32" s="5"/>
      <c r="G32" s="5"/>
      <c r="H32" s="5"/>
      <c r="I32" s="5"/>
      <c r="J32" s="5"/>
      <c r="K32" s="5" t="s">
        <v>14</v>
      </c>
      <c r="L32" s="2" t="s">
        <v>350</v>
      </c>
      <c r="M32" s="5">
        <v>11.21</v>
      </c>
      <c r="N32" s="5"/>
      <c r="O32" s="5"/>
      <c r="P32" s="5"/>
      <c r="Q32" s="5"/>
      <c r="R32" s="5"/>
      <c r="S32" s="5"/>
      <c r="T32" s="5"/>
      <c r="U32" s="5"/>
      <c r="V32" s="5"/>
    </row>
    <row r="33" spans="1:22" x14ac:dyDescent="0.25">
      <c r="A33" s="15"/>
      <c r="B33" s="5"/>
      <c r="C33" s="5"/>
      <c r="D33" s="5"/>
      <c r="E33" s="5"/>
      <c r="F33" s="5"/>
      <c r="G33" s="5"/>
      <c r="H33" s="5"/>
      <c r="I33" s="5"/>
      <c r="J33" s="5"/>
      <c r="K33" s="5"/>
      <c r="L33" s="2"/>
      <c r="M33" s="5"/>
      <c r="N33" s="5"/>
      <c r="O33" s="5"/>
      <c r="P33" s="5"/>
      <c r="Q33" s="5"/>
      <c r="R33" s="5"/>
      <c r="S33" s="5"/>
      <c r="T33" s="5"/>
      <c r="U33" s="5"/>
      <c r="V33" s="5"/>
    </row>
    <row r="34" spans="1:22" x14ac:dyDescent="0.25">
      <c r="A34" s="5" t="s">
        <v>18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 t="s">
        <v>15</v>
      </c>
      <c r="M34" s="5">
        <f>SUM(M1:M33)</f>
        <v>245.72</v>
      </c>
      <c r="N34" s="5"/>
      <c r="O34" s="5"/>
      <c r="P34" s="5"/>
      <c r="Q34" s="5"/>
      <c r="R34" s="5"/>
      <c r="S34" s="5"/>
      <c r="T34" s="5"/>
      <c r="U34" s="5"/>
      <c r="V34" s="5"/>
    </row>
    <row r="35" spans="1:22" x14ac:dyDescent="0.25">
      <c r="A35" s="5" t="s">
        <v>1</v>
      </c>
      <c r="B35" s="5"/>
      <c r="D35" s="5">
        <v>20</v>
      </c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</row>
    <row r="36" spans="1:22" x14ac:dyDescent="0.25">
      <c r="A36" s="5" t="s">
        <v>3</v>
      </c>
      <c r="B36" s="5"/>
      <c r="D36" s="5">
        <v>20.76</v>
      </c>
      <c r="E36" s="5"/>
      <c r="F36" s="5"/>
      <c r="G36" s="5" t="s">
        <v>24</v>
      </c>
      <c r="H36" s="5" t="s">
        <v>23</v>
      </c>
      <c r="I36" s="5" t="s">
        <v>25</v>
      </c>
      <c r="J36" s="5"/>
      <c r="K36" s="38"/>
      <c r="L36" s="5"/>
      <c r="M36" s="5">
        <v>27.31</v>
      </c>
      <c r="N36" s="5"/>
      <c r="O36" s="5"/>
      <c r="P36" s="5"/>
      <c r="Q36" s="5"/>
      <c r="R36" s="5"/>
      <c r="S36" s="5"/>
      <c r="T36" s="5"/>
      <c r="U36" s="5"/>
      <c r="V36" s="5"/>
    </row>
    <row r="37" spans="1:22" x14ac:dyDescent="0.25">
      <c r="A37" s="5" t="s">
        <v>4</v>
      </c>
      <c r="B37" s="5"/>
      <c r="D37" s="5">
        <v>250</v>
      </c>
      <c r="E37" s="5"/>
      <c r="F37" s="5"/>
      <c r="G37" s="5" t="s">
        <v>27</v>
      </c>
      <c r="H37" s="2" t="s">
        <v>344</v>
      </c>
      <c r="J37" s="5">
        <f>60.67-0.22</f>
        <v>60.45</v>
      </c>
      <c r="K37" s="38" t="s">
        <v>351</v>
      </c>
      <c r="M37">
        <v>60.67</v>
      </c>
      <c r="N37" s="5"/>
      <c r="O37" s="5"/>
      <c r="P37" s="5"/>
      <c r="Q37" s="5"/>
      <c r="R37" s="5"/>
      <c r="S37" s="5"/>
      <c r="T37" s="5"/>
      <c r="U37" s="5"/>
      <c r="V37" s="5"/>
    </row>
    <row r="38" spans="1:22" x14ac:dyDescent="0.25">
      <c r="A38" s="5" t="s">
        <v>128</v>
      </c>
      <c r="B38" s="5"/>
      <c r="D38" s="5">
        <v>60</v>
      </c>
      <c r="E38" s="5"/>
      <c r="F38" s="5"/>
      <c r="G38" s="5" t="s">
        <v>26</v>
      </c>
      <c r="H38" s="2" t="s">
        <v>344</v>
      </c>
      <c r="J38" s="5">
        <f>18.77-0.84</f>
        <v>17.93</v>
      </c>
      <c r="K38" s="38" t="s">
        <v>263</v>
      </c>
      <c r="L38" s="5"/>
      <c r="M38" s="5">
        <v>18.77</v>
      </c>
      <c r="N38" s="5"/>
      <c r="O38" s="5"/>
      <c r="P38" s="5"/>
      <c r="Q38" s="5"/>
      <c r="R38" s="5"/>
      <c r="S38" s="5"/>
      <c r="T38" s="5"/>
      <c r="U38" s="5"/>
      <c r="V38" s="5"/>
    </row>
    <row r="39" spans="1:22" x14ac:dyDescent="0.25">
      <c r="A39" s="5" t="s">
        <v>37</v>
      </c>
      <c r="B39" s="5"/>
      <c r="D39" s="5">
        <v>10</v>
      </c>
      <c r="E39" s="5"/>
      <c r="F39" s="5"/>
      <c r="G39" s="5" t="s">
        <v>12</v>
      </c>
      <c r="H39" s="2" t="s">
        <v>345</v>
      </c>
      <c r="J39" s="5">
        <v>33.28</v>
      </c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</row>
    <row r="40" spans="1:22" x14ac:dyDescent="0.25">
      <c r="A40" s="5" t="s">
        <v>224</v>
      </c>
      <c r="B40" s="5"/>
      <c r="D40" s="5">
        <v>50</v>
      </c>
      <c r="E40" s="5"/>
      <c r="F40" s="5"/>
      <c r="G40" s="5" t="s">
        <v>27</v>
      </c>
      <c r="H40" s="2" t="s">
        <v>348</v>
      </c>
      <c r="J40" s="5">
        <v>6.99</v>
      </c>
      <c r="K40" s="5"/>
      <c r="L40" s="5"/>
      <c r="M40" s="2"/>
      <c r="N40" s="5"/>
      <c r="O40" s="5"/>
      <c r="P40" s="5"/>
      <c r="Q40" s="5"/>
      <c r="R40" s="5"/>
      <c r="S40" s="5"/>
      <c r="T40" s="5"/>
      <c r="U40" s="5"/>
      <c r="V40" s="5"/>
    </row>
    <row r="41" spans="1:22" x14ac:dyDescent="0.25">
      <c r="A41" s="5" t="s">
        <v>48</v>
      </c>
      <c r="B41" s="5"/>
      <c r="D41" s="5">
        <v>12.53</v>
      </c>
      <c r="E41" s="5"/>
      <c r="F41" s="5"/>
      <c r="G41" s="5" t="s">
        <v>27</v>
      </c>
      <c r="H41" s="2" t="s">
        <v>348</v>
      </c>
      <c r="J41" s="5">
        <v>5.99</v>
      </c>
      <c r="K41" s="5"/>
      <c r="L41" s="5"/>
      <c r="M41" s="5"/>
      <c r="N41" s="2"/>
      <c r="O41" s="5"/>
      <c r="P41" s="5"/>
      <c r="Q41" s="5"/>
      <c r="R41" s="5"/>
      <c r="S41" s="5"/>
      <c r="T41" s="5"/>
      <c r="U41" s="5"/>
      <c r="V41" s="5"/>
    </row>
    <row r="42" spans="1:22" x14ac:dyDescent="0.25">
      <c r="A42" s="5" t="s">
        <v>144</v>
      </c>
      <c r="B42" s="5"/>
      <c r="C42" s="5"/>
      <c r="D42" s="5"/>
      <c r="E42" s="5"/>
      <c r="F42" s="5"/>
      <c r="G42" s="5" t="s">
        <v>27</v>
      </c>
      <c r="H42" s="2" t="s">
        <v>348</v>
      </c>
      <c r="J42" s="5">
        <v>84.59</v>
      </c>
      <c r="K42" s="5"/>
      <c r="L42" s="5"/>
      <c r="M42" s="5"/>
      <c r="N42" s="2"/>
      <c r="O42" s="5"/>
      <c r="P42" s="5"/>
      <c r="Q42" s="5"/>
      <c r="R42" s="5"/>
      <c r="S42" s="5"/>
      <c r="T42" s="5"/>
      <c r="U42" s="5"/>
      <c r="V42" s="5"/>
    </row>
    <row r="43" spans="1:22" x14ac:dyDescent="0.25">
      <c r="A43" s="5" t="s">
        <v>40</v>
      </c>
      <c r="B43" s="5"/>
      <c r="D43" s="5">
        <v>11.3</v>
      </c>
      <c r="E43" s="5"/>
      <c r="F43" s="5"/>
      <c r="G43" s="5" t="s">
        <v>26</v>
      </c>
      <c r="H43" s="2" t="s">
        <v>348</v>
      </c>
      <c r="J43" s="5">
        <v>10.16</v>
      </c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</row>
    <row r="44" spans="1:22" x14ac:dyDescent="0.25">
      <c r="A44" s="5"/>
      <c r="B44" s="5"/>
      <c r="C44" s="5"/>
      <c r="D44" s="5"/>
      <c r="E44" s="5"/>
      <c r="F44" s="5"/>
      <c r="G44" s="5" t="s">
        <v>13</v>
      </c>
      <c r="H44" s="2" t="s">
        <v>348</v>
      </c>
      <c r="J44" s="5">
        <v>10.98</v>
      </c>
      <c r="K44" s="38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</row>
    <row r="45" spans="1:22" x14ac:dyDescent="0.25">
      <c r="A45" s="15"/>
      <c r="B45" s="5"/>
      <c r="C45" s="5"/>
      <c r="D45" s="5"/>
      <c r="E45" s="5"/>
      <c r="F45" s="5"/>
      <c r="G45" s="5" t="s">
        <v>12</v>
      </c>
      <c r="H45" s="2" t="s">
        <v>348</v>
      </c>
      <c r="J45" s="5">
        <v>3.08</v>
      </c>
      <c r="K45" s="38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</row>
    <row r="46" spans="1:22" x14ac:dyDescent="0.25">
      <c r="A46" s="5"/>
      <c r="B46" s="5"/>
      <c r="C46" s="5"/>
      <c r="D46" s="5"/>
      <c r="E46" s="5"/>
      <c r="F46" s="5"/>
      <c r="G46" s="5" t="s">
        <v>14</v>
      </c>
      <c r="H46" s="2" t="s">
        <v>350</v>
      </c>
      <c r="J46" s="5">
        <v>11.21</v>
      </c>
      <c r="K46" s="38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</row>
    <row r="47" spans="1:22" x14ac:dyDescent="0.25">
      <c r="A47" s="5" t="s">
        <v>19</v>
      </c>
      <c r="B47" s="5"/>
      <c r="C47" s="5">
        <f>SUM(C35:C44)</f>
        <v>0</v>
      </c>
      <c r="D47" s="5"/>
      <c r="E47" s="5"/>
      <c r="F47" s="5"/>
      <c r="G47" s="5" t="s">
        <v>36</v>
      </c>
      <c r="H47" s="2" t="s">
        <v>352</v>
      </c>
      <c r="J47" s="5">
        <v>12.47</v>
      </c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</row>
    <row r="48" spans="1:22" x14ac:dyDescent="0.25">
      <c r="A48" s="5"/>
      <c r="B48" s="5"/>
      <c r="C48" s="5"/>
      <c r="D48" s="5"/>
      <c r="E48" s="5"/>
      <c r="F48" s="5"/>
      <c r="G48" s="5" t="s">
        <v>12</v>
      </c>
      <c r="H48" s="2" t="s">
        <v>352</v>
      </c>
      <c r="J48" s="5">
        <v>12.03</v>
      </c>
      <c r="K48" s="38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</row>
    <row r="49" spans="1:22" x14ac:dyDescent="0.25">
      <c r="A49" s="5"/>
      <c r="B49" s="5"/>
      <c r="C49" s="5"/>
      <c r="D49" s="5"/>
      <c r="E49" s="5"/>
      <c r="F49" s="5"/>
      <c r="G49" t="s">
        <v>36</v>
      </c>
      <c r="H49" s="2" t="s">
        <v>353</v>
      </c>
      <c r="J49" s="5">
        <v>9</v>
      </c>
      <c r="K49" s="38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</row>
    <row r="50" spans="1:22" x14ac:dyDescent="0.25">
      <c r="A50" s="5" t="s">
        <v>17</v>
      </c>
      <c r="B50" s="5"/>
      <c r="C50" s="5">
        <f>C32-C47-I86</f>
        <v>58.71</v>
      </c>
      <c r="D50" s="5"/>
      <c r="E50" s="5"/>
      <c r="F50" s="5"/>
      <c r="G50" s="5" t="s">
        <v>40</v>
      </c>
      <c r="H50" s="2" t="s">
        <v>354</v>
      </c>
      <c r="J50" s="5">
        <v>11.3</v>
      </c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</row>
    <row r="51" spans="1:22" x14ac:dyDescent="0.25">
      <c r="A51" s="5"/>
      <c r="B51" s="5"/>
      <c r="C51" s="5"/>
      <c r="D51" s="5"/>
      <c r="E51" s="5"/>
      <c r="F51" s="5"/>
      <c r="G51" s="5" t="s">
        <v>258</v>
      </c>
      <c r="H51" s="2" t="s">
        <v>354</v>
      </c>
      <c r="J51">
        <v>48.95</v>
      </c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</row>
    <row r="52" spans="1:22" ht="15.75" thickBot="1" x14ac:dyDescent="0.3">
      <c r="A52" s="5"/>
      <c r="B52" s="5"/>
      <c r="C52" s="5"/>
      <c r="D52" s="5"/>
      <c r="E52" s="5"/>
      <c r="F52" s="5"/>
      <c r="G52" s="5" t="s">
        <v>305</v>
      </c>
      <c r="H52" s="2" t="s">
        <v>354</v>
      </c>
      <c r="J52">
        <v>8.93</v>
      </c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</row>
    <row r="53" spans="1:22" ht="24" x14ac:dyDescent="0.25">
      <c r="A53" s="20" t="s">
        <v>51</v>
      </c>
      <c r="B53" s="21" t="s">
        <v>52</v>
      </c>
      <c r="C53" s="21" t="s">
        <v>53</v>
      </c>
      <c r="D53" s="22" t="s">
        <v>54</v>
      </c>
      <c r="E53" s="5"/>
      <c r="F53" s="5"/>
      <c r="G53" s="5" t="s">
        <v>234</v>
      </c>
      <c r="H53" s="2" t="s">
        <v>354</v>
      </c>
      <c r="J53">
        <v>116</v>
      </c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</row>
    <row r="54" spans="1:22" x14ac:dyDescent="0.25">
      <c r="A54" s="34">
        <v>3450041444</v>
      </c>
      <c r="B54" s="33" t="s">
        <v>47</v>
      </c>
      <c r="C54" s="33" t="s">
        <v>47</v>
      </c>
      <c r="D54" s="35" t="s">
        <v>47</v>
      </c>
      <c r="E54" s="5"/>
      <c r="F54" s="5"/>
      <c r="G54" s="5" t="s">
        <v>27</v>
      </c>
      <c r="H54" s="2" t="s">
        <v>355</v>
      </c>
      <c r="J54">
        <v>99.16</v>
      </c>
      <c r="K54" s="38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</row>
    <row r="55" spans="1:22" x14ac:dyDescent="0.25">
      <c r="A55" s="11">
        <v>4390750000073610</v>
      </c>
      <c r="B55" s="7" t="s">
        <v>323</v>
      </c>
      <c r="C55" s="7" t="s">
        <v>47</v>
      </c>
      <c r="D55" s="12" t="s">
        <v>324</v>
      </c>
      <c r="E55" s="5"/>
      <c r="F55" s="5"/>
      <c r="G55" s="5" t="s">
        <v>26</v>
      </c>
      <c r="H55" s="2" t="s">
        <v>355</v>
      </c>
      <c r="J55">
        <v>15.7</v>
      </c>
      <c r="K55" s="5"/>
      <c r="L55" s="5">
        <f>15.7+45.03</f>
        <v>60.730000000000004</v>
      </c>
      <c r="M55" s="5"/>
      <c r="N55" s="5"/>
      <c r="O55" s="5"/>
      <c r="P55" s="5"/>
      <c r="Q55" s="5"/>
      <c r="R55" s="5"/>
      <c r="S55" s="5"/>
      <c r="T55" s="5"/>
      <c r="U55" s="5"/>
      <c r="V55" s="5"/>
    </row>
    <row r="56" spans="1:22" ht="15.75" thickBot="1" x14ac:dyDescent="0.3">
      <c r="A56" s="13" t="s">
        <v>5</v>
      </c>
      <c r="B56" s="14" t="s">
        <v>323</v>
      </c>
      <c r="C56" s="14" t="s">
        <v>47</v>
      </c>
      <c r="D56" s="19" t="s">
        <v>324</v>
      </c>
      <c r="E56" s="5"/>
      <c r="F56" s="5"/>
      <c r="G56" s="5" t="s">
        <v>36</v>
      </c>
      <c r="H56" s="2" t="s">
        <v>356</v>
      </c>
      <c r="J56">
        <v>45.03</v>
      </c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</row>
    <row r="57" spans="1:22" x14ac:dyDescent="0.25">
      <c r="A57" s="5"/>
      <c r="B57" s="5"/>
      <c r="C57" s="5"/>
      <c r="D57" s="5"/>
      <c r="E57" s="5"/>
      <c r="F57" s="5"/>
      <c r="G57" s="5" t="s">
        <v>12</v>
      </c>
      <c r="H57" s="2" t="s">
        <v>356</v>
      </c>
      <c r="J57">
        <v>45.58</v>
      </c>
      <c r="K57" s="38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</row>
    <row r="58" spans="1:22" x14ac:dyDescent="0.25">
      <c r="A58" s="5"/>
      <c r="B58" s="5"/>
      <c r="C58" s="5"/>
      <c r="D58" s="5"/>
      <c r="E58" s="5"/>
      <c r="F58" s="5"/>
      <c r="G58" s="5" t="s">
        <v>257</v>
      </c>
      <c r="H58" s="2" t="s">
        <v>357</v>
      </c>
      <c r="J58">
        <v>14.6</v>
      </c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</row>
    <row r="59" spans="1:22" x14ac:dyDescent="0.25">
      <c r="A59" s="5"/>
      <c r="B59" s="5"/>
      <c r="C59" s="5"/>
      <c r="D59" s="5"/>
      <c r="E59" s="5"/>
      <c r="F59" s="5"/>
      <c r="G59" t="s">
        <v>26</v>
      </c>
      <c r="H59" s="2" t="s">
        <v>358</v>
      </c>
      <c r="J59">
        <v>11.07</v>
      </c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</row>
    <row r="60" spans="1:22" x14ac:dyDescent="0.25">
      <c r="A60" s="5"/>
      <c r="B60" s="5"/>
      <c r="C60" s="5"/>
      <c r="D60" s="5"/>
      <c r="E60" s="5"/>
      <c r="F60" s="5"/>
      <c r="G60" t="s">
        <v>48</v>
      </c>
      <c r="H60" s="2" t="s">
        <v>359</v>
      </c>
      <c r="J60">
        <f>12.51-1.44</f>
        <v>11.07</v>
      </c>
      <c r="K60" s="38" t="s">
        <v>263</v>
      </c>
      <c r="L60" s="5"/>
      <c r="M60" s="5">
        <v>12.51</v>
      </c>
      <c r="N60" s="5"/>
      <c r="O60" s="5"/>
      <c r="P60" s="5"/>
      <c r="Q60" s="5"/>
      <c r="R60" s="5"/>
      <c r="S60" s="5"/>
      <c r="T60" s="5"/>
      <c r="U60" s="5"/>
      <c r="V60" s="5"/>
    </row>
    <row r="61" spans="1:22" x14ac:dyDescent="0.25">
      <c r="A61" s="5">
        <f>58.98-3.19</f>
        <v>55.79</v>
      </c>
      <c r="B61" s="5">
        <f>15.7+45.03</f>
        <v>60.730000000000004</v>
      </c>
      <c r="C61" s="5">
        <f>15.7-3.19</f>
        <v>12.51</v>
      </c>
      <c r="D61" s="5"/>
      <c r="E61" s="5"/>
      <c r="F61" s="5"/>
      <c r="G61" s="5" t="s">
        <v>27</v>
      </c>
      <c r="H61" s="2" t="s">
        <v>360</v>
      </c>
      <c r="J61">
        <f>3.69-1.44</f>
        <v>2.25</v>
      </c>
      <c r="K61" s="38" t="s">
        <v>369</v>
      </c>
      <c r="L61" s="5"/>
      <c r="M61" s="5">
        <v>3.69</v>
      </c>
      <c r="N61" s="5"/>
      <c r="O61" s="5"/>
      <c r="P61" s="5"/>
      <c r="Q61" s="5"/>
      <c r="R61" s="5"/>
      <c r="S61" s="5"/>
      <c r="T61" s="5"/>
      <c r="U61" s="5"/>
      <c r="V61" s="5"/>
    </row>
    <row r="62" spans="1:22" x14ac:dyDescent="0.25">
      <c r="A62" s="5"/>
      <c r="B62" s="5">
        <f>12.51+45.03</f>
        <v>57.54</v>
      </c>
      <c r="C62" s="5"/>
      <c r="D62" s="5"/>
      <c r="E62" s="5"/>
      <c r="F62" s="5"/>
      <c r="G62" s="5" t="s">
        <v>27</v>
      </c>
      <c r="H62" s="2" t="s">
        <v>360</v>
      </c>
      <c r="J62" s="5">
        <v>98.79</v>
      </c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</row>
    <row r="63" spans="1:22" x14ac:dyDescent="0.25">
      <c r="A63" s="5"/>
      <c r="B63" s="5">
        <f>58.98-60.73</f>
        <v>-1.75</v>
      </c>
      <c r="C63" s="5"/>
      <c r="D63" s="5"/>
      <c r="E63" s="5"/>
      <c r="F63" s="5"/>
      <c r="G63" s="5" t="s">
        <v>26</v>
      </c>
      <c r="H63" s="2" t="s">
        <v>360</v>
      </c>
      <c r="J63" s="5">
        <v>11.41</v>
      </c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</row>
    <row r="64" spans="1:22" x14ac:dyDescent="0.25">
      <c r="A64" s="5"/>
      <c r="B64" s="5"/>
      <c r="C64" s="5">
        <f>15.7-1.75</f>
        <v>13.95</v>
      </c>
      <c r="D64" s="5"/>
      <c r="E64" s="5"/>
      <c r="F64" s="5"/>
      <c r="G64" s="5" t="s">
        <v>12</v>
      </c>
      <c r="H64" s="2" t="s">
        <v>361</v>
      </c>
      <c r="J64" s="5">
        <v>44.74</v>
      </c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</row>
    <row r="65" spans="1:22" x14ac:dyDescent="0.25">
      <c r="A65" s="5"/>
      <c r="B65" s="5"/>
      <c r="C65" s="5"/>
      <c r="D65" s="5"/>
      <c r="E65" s="5"/>
      <c r="F65" s="5"/>
      <c r="G65" s="5" t="s">
        <v>257</v>
      </c>
      <c r="H65" s="2" t="s">
        <v>362</v>
      </c>
      <c r="J65" s="5">
        <v>53.98</v>
      </c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</row>
    <row r="66" spans="1:22" x14ac:dyDescent="0.25">
      <c r="A66" s="5"/>
      <c r="B66" s="5"/>
      <c r="C66" s="5"/>
      <c r="D66" s="5"/>
      <c r="E66" s="5"/>
      <c r="F66" s="5"/>
      <c r="G66" s="5" t="s">
        <v>36</v>
      </c>
      <c r="H66" s="2" t="s">
        <v>362</v>
      </c>
      <c r="J66" s="5">
        <v>3.25</v>
      </c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</row>
    <row r="67" spans="1:22" x14ac:dyDescent="0.25">
      <c r="A67" s="5"/>
      <c r="B67" s="5"/>
      <c r="C67" s="5"/>
      <c r="D67" s="5"/>
      <c r="E67" s="5"/>
      <c r="F67" s="5"/>
      <c r="G67" s="5" t="s">
        <v>12</v>
      </c>
      <c r="H67" s="2" t="s">
        <v>362</v>
      </c>
      <c r="J67" s="5">
        <f>3.74-1.95</f>
        <v>1.7900000000000003</v>
      </c>
      <c r="K67" s="38" t="s">
        <v>370</v>
      </c>
      <c r="L67" s="5"/>
      <c r="M67" s="5">
        <v>3.74</v>
      </c>
      <c r="N67" s="5"/>
      <c r="O67" s="5"/>
      <c r="P67" s="5"/>
      <c r="Q67" s="5"/>
      <c r="R67" s="5"/>
      <c r="S67" s="5"/>
      <c r="T67" s="5"/>
      <c r="U67" s="5"/>
      <c r="V67" s="5"/>
    </row>
    <row r="68" spans="1:22" x14ac:dyDescent="0.25">
      <c r="A68" s="5"/>
      <c r="B68" s="5"/>
      <c r="C68" s="5"/>
      <c r="D68" s="5"/>
      <c r="E68" s="5"/>
      <c r="F68" s="5"/>
      <c r="G68" s="5" t="s">
        <v>16</v>
      </c>
      <c r="H68" s="2" t="s">
        <v>364</v>
      </c>
      <c r="J68" s="5">
        <v>20.76</v>
      </c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</row>
    <row r="69" spans="1:22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</row>
    <row r="70" spans="1:22" x14ac:dyDescent="0.25"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</row>
    <row r="71" spans="1:22" x14ac:dyDescent="0.25"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</row>
    <row r="72" spans="1:22" x14ac:dyDescent="0.25"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</row>
    <row r="73" spans="1:22" x14ac:dyDescent="0.25"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</row>
    <row r="74" spans="1:22" x14ac:dyDescent="0.25"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</row>
    <row r="75" spans="1:22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</row>
    <row r="76" spans="1:22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</row>
    <row r="77" spans="1:22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</row>
    <row r="78" spans="1:22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</row>
    <row r="79" spans="1:22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</row>
    <row r="80" spans="1:22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</row>
    <row r="81" spans="1:22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</row>
    <row r="82" spans="1:22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</row>
    <row r="83" spans="1:22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</row>
    <row r="84" spans="1:22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</row>
    <row r="85" spans="1:22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</row>
    <row r="86" spans="1:22" x14ac:dyDescent="0.25">
      <c r="A86" s="5"/>
      <c r="B86" s="5"/>
      <c r="C86" s="5"/>
      <c r="D86" s="5"/>
      <c r="E86" s="5"/>
      <c r="F86" s="5"/>
      <c r="G86" s="5" t="s">
        <v>22</v>
      </c>
      <c r="H86" s="5"/>
      <c r="I86" s="5">
        <f>SUM(I37:I85)</f>
        <v>0</v>
      </c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</row>
    <row r="87" spans="1:22" x14ac:dyDescent="0.25">
      <c r="A87" s="1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</row>
    <row r="88" spans="1:22" x14ac:dyDescent="0.25">
      <c r="A88" s="1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</row>
    <row r="89" spans="1:22" x14ac:dyDescent="0.25">
      <c r="A89" s="1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</row>
    <row r="90" spans="1:22" x14ac:dyDescent="0.25">
      <c r="A90" s="1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</row>
    <row r="91" spans="1:22" x14ac:dyDescent="0.25">
      <c r="A91" s="1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</row>
    <row r="92" spans="1:22" x14ac:dyDescent="0.25">
      <c r="A92" s="1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</row>
    <row r="93" spans="1:22" x14ac:dyDescent="0.25">
      <c r="A93" s="1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</row>
    <row r="94" spans="1:22" x14ac:dyDescent="0.25">
      <c r="A94" s="1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</row>
    <row r="95" spans="1:22" x14ac:dyDescent="0.25">
      <c r="A95" s="1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</row>
    <row r="96" spans="1:22" x14ac:dyDescent="0.25">
      <c r="A96" s="1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</row>
    <row r="97" spans="1:22" x14ac:dyDescent="0.25">
      <c r="A97" s="1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</row>
    <row r="98" spans="1:22" x14ac:dyDescent="0.25">
      <c r="A98" s="1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</row>
    <row r="99" spans="1:22" x14ac:dyDescent="0.25">
      <c r="A99" s="1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</row>
    <row r="100" spans="1:22" x14ac:dyDescent="0.25">
      <c r="A100" s="1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</row>
    <row r="101" spans="1:22" x14ac:dyDescent="0.25">
      <c r="A101" s="1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</row>
    <row r="102" spans="1:22" x14ac:dyDescent="0.25">
      <c r="A102" s="1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</row>
    <row r="103" spans="1:22" x14ac:dyDescent="0.25">
      <c r="A103" s="1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</row>
    <row r="104" spans="1:22" x14ac:dyDescent="0.25">
      <c r="A104" s="1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</row>
    <row r="105" spans="1:22" x14ac:dyDescent="0.25">
      <c r="A105" s="1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</row>
    <row r="106" spans="1:22" x14ac:dyDescent="0.25">
      <c r="A106" s="1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</row>
    <row r="107" spans="1:22" x14ac:dyDescent="0.25">
      <c r="A107" s="1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</row>
    <row r="108" spans="1:22" x14ac:dyDescent="0.25">
      <c r="A108" s="1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</row>
    <row r="109" spans="1:22" x14ac:dyDescent="0.25">
      <c r="A109" s="1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</row>
    <row r="110" spans="1:22" x14ac:dyDescent="0.25">
      <c r="A110" s="1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</row>
    <row r="111" spans="1:22" x14ac:dyDescent="0.25">
      <c r="A111" s="1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</row>
    <row r="112" spans="1:22" x14ac:dyDescent="0.25">
      <c r="A112" s="1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</row>
    <row r="113" spans="1:22" x14ac:dyDescent="0.25">
      <c r="A113" s="1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</row>
    <row r="114" spans="1:22" x14ac:dyDescent="0.25">
      <c r="A114" s="1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</row>
    <row r="115" spans="1:22" x14ac:dyDescent="0.25">
      <c r="A115" s="1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</row>
    <row r="116" spans="1:22" x14ac:dyDescent="0.25">
      <c r="A116" s="1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</row>
    <row r="117" spans="1:22" x14ac:dyDescent="0.25">
      <c r="A117" s="1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</row>
    <row r="118" spans="1:22" x14ac:dyDescent="0.25">
      <c r="A118" s="1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</row>
    <row r="119" spans="1:22" x14ac:dyDescent="0.25">
      <c r="A119" s="1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</row>
    <row r="120" spans="1:22" x14ac:dyDescent="0.25">
      <c r="A120" s="1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</row>
    <row r="121" spans="1:22" x14ac:dyDescent="0.25">
      <c r="A121" s="1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</row>
    <row r="122" spans="1:22" x14ac:dyDescent="0.25">
      <c r="A122" s="1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</row>
    <row r="123" spans="1:22" x14ac:dyDescent="0.25">
      <c r="A123" s="1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</row>
    <row r="124" spans="1:22" x14ac:dyDescent="0.25">
      <c r="A124" s="1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</row>
    <row r="125" spans="1:22" x14ac:dyDescent="0.25">
      <c r="A125" s="1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</row>
    <row r="126" spans="1:22" x14ac:dyDescent="0.25">
      <c r="A126" s="1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</row>
    <row r="127" spans="1:22" x14ac:dyDescent="0.25">
      <c r="A127" s="1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</row>
    <row r="128" spans="1:22" x14ac:dyDescent="0.25">
      <c r="A128" s="1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</row>
    <row r="129" spans="1:22" x14ac:dyDescent="0.25">
      <c r="A129" s="1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</row>
    <row r="130" spans="1:22" x14ac:dyDescent="0.25">
      <c r="A130" s="1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</row>
    <row r="131" spans="1:22" x14ac:dyDescent="0.25">
      <c r="A131" s="1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</row>
    <row r="132" spans="1:22" x14ac:dyDescent="0.25">
      <c r="A132" s="1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</row>
    <row r="133" spans="1:22" x14ac:dyDescent="0.25">
      <c r="A133" s="1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</row>
    <row r="134" spans="1:22" x14ac:dyDescent="0.25">
      <c r="A134" s="1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</row>
    <row r="135" spans="1:22" x14ac:dyDescent="0.25">
      <c r="A135" s="1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</row>
    <row r="136" spans="1:22" x14ac:dyDescent="0.25">
      <c r="A136" s="1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</row>
    <row r="137" spans="1:22" x14ac:dyDescent="0.25">
      <c r="A137" s="1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</row>
    <row r="138" spans="1:22" x14ac:dyDescent="0.25">
      <c r="A138" s="1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</row>
    <row r="139" spans="1:22" x14ac:dyDescent="0.25">
      <c r="A139" s="1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</row>
    <row r="140" spans="1:22" x14ac:dyDescent="0.25">
      <c r="A140" s="1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</row>
    <row r="141" spans="1:22" x14ac:dyDescent="0.25">
      <c r="A141" s="1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</row>
    <row r="142" spans="1:22" x14ac:dyDescent="0.25">
      <c r="A142" s="1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</row>
    <row r="143" spans="1:22" x14ac:dyDescent="0.25">
      <c r="A143" s="1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</row>
    <row r="144" spans="1:22" x14ac:dyDescent="0.25">
      <c r="A144" s="1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</row>
    <row r="145" spans="1:22" x14ac:dyDescent="0.25">
      <c r="A145" s="1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</row>
    <row r="146" spans="1:22" x14ac:dyDescent="0.25">
      <c r="A146" s="1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</row>
    <row r="147" spans="1:22" x14ac:dyDescent="0.25">
      <c r="A147" s="1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</row>
    <row r="148" spans="1:22" x14ac:dyDescent="0.25">
      <c r="A148" s="1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</row>
    <row r="149" spans="1:22" x14ac:dyDescent="0.25">
      <c r="A149" s="1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</row>
    <row r="150" spans="1:22" x14ac:dyDescent="0.25">
      <c r="A150" s="1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</row>
    <row r="151" spans="1:22" x14ac:dyDescent="0.25">
      <c r="A151" s="1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</row>
    <row r="152" spans="1:22" x14ac:dyDescent="0.25">
      <c r="A152" s="1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</row>
    <row r="153" spans="1:22" x14ac:dyDescent="0.25">
      <c r="A153" s="1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</row>
    <row r="154" spans="1:22" x14ac:dyDescent="0.25">
      <c r="A154" s="1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</row>
    <row r="155" spans="1:22" x14ac:dyDescent="0.25">
      <c r="A155" s="1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</row>
    <row r="156" spans="1:22" x14ac:dyDescent="0.25">
      <c r="A156" s="1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</row>
    <row r="157" spans="1:22" x14ac:dyDescent="0.25">
      <c r="A157" s="1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</row>
    <row r="158" spans="1:22" x14ac:dyDescent="0.25">
      <c r="A158" s="1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</row>
    <row r="159" spans="1:22" x14ac:dyDescent="0.25">
      <c r="A159" s="1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</row>
    <row r="160" spans="1:22" x14ac:dyDescent="0.25">
      <c r="A160" s="1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</row>
    <row r="161" spans="1:22" x14ac:dyDescent="0.25">
      <c r="A161" s="1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</row>
    <row r="162" spans="1:22" x14ac:dyDescent="0.25">
      <c r="A162" s="1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</row>
    <row r="163" spans="1:22" x14ac:dyDescent="0.25">
      <c r="A163" s="1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</row>
    <row r="164" spans="1:22" x14ac:dyDescent="0.25">
      <c r="A164" s="1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</row>
    <row r="165" spans="1:22" x14ac:dyDescent="0.25">
      <c r="A165" s="1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</row>
    <row r="166" spans="1:22" x14ac:dyDescent="0.25">
      <c r="A166" s="1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</row>
    <row r="167" spans="1:22" x14ac:dyDescent="0.25">
      <c r="A167" s="1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</row>
    <row r="168" spans="1:22" x14ac:dyDescent="0.25">
      <c r="A168" s="1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</row>
    <row r="169" spans="1:22" x14ac:dyDescent="0.25">
      <c r="A169" s="1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</row>
    <row r="170" spans="1:22" x14ac:dyDescent="0.25">
      <c r="A170" s="1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</row>
    <row r="171" spans="1:22" x14ac:dyDescent="0.25">
      <c r="A171" s="1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</row>
    <row r="172" spans="1:22" x14ac:dyDescent="0.25">
      <c r="A172" s="1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</row>
    <row r="173" spans="1:22" x14ac:dyDescent="0.25">
      <c r="A173" s="1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</row>
    <row r="174" spans="1:22" x14ac:dyDescent="0.25">
      <c r="A174" s="1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</row>
    <row r="175" spans="1:22" x14ac:dyDescent="0.25">
      <c r="A175" s="1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</row>
    <row r="176" spans="1:22" x14ac:dyDescent="0.25">
      <c r="A176" s="1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</row>
    <row r="177" spans="1:22" x14ac:dyDescent="0.25">
      <c r="A177" s="1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</row>
    <row r="178" spans="1:22" x14ac:dyDescent="0.25">
      <c r="A178" s="1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</row>
    <row r="179" spans="1:22" x14ac:dyDescent="0.25">
      <c r="A179" s="1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</row>
    <row r="180" spans="1:22" x14ac:dyDescent="0.25">
      <c r="A180" s="1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</row>
    <row r="181" spans="1:22" x14ac:dyDescent="0.25">
      <c r="A181" s="1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</row>
    <row r="182" spans="1:22" x14ac:dyDescent="0.25">
      <c r="A182" s="1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</row>
    <row r="183" spans="1:22" x14ac:dyDescent="0.25">
      <c r="A183" s="1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</row>
    <row r="184" spans="1:22" x14ac:dyDescent="0.25">
      <c r="A184" s="1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</row>
    <row r="185" spans="1:22" x14ac:dyDescent="0.25">
      <c r="A185" s="1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</row>
    <row r="186" spans="1:22" x14ac:dyDescent="0.25">
      <c r="A186" s="1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</row>
    <row r="187" spans="1:22" x14ac:dyDescent="0.25">
      <c r="A187" s="1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</row>
    <row r="188" spans="1:22" x14ac:dyDescent="0.25">
      <c r="A188" s="1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</row>
    <row r="189" spans="1:22" x14ac:dyDescent="0.25">
      <c r="A189" s="1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</row>
    <row r="190" spans="1:22" x14ac:dyDescent="0.25">
      <c r="A190" s="1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</row>
    <row r="191" spans="1:22" x14ac:dyDescent="0.25">
      <c r="A191" s="1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</row>
    <row r="192" spans="1:22" x14ac:dyDescent="0.25">
      <c r="A192" s="1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</row>
    <row r="193" spans="1:22" x14ac:dyDescent="0.25">
      <c r="A193" s="1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</row>
    <row r="194" spans="1:22" x14ac:dyDescent="0.25">
      <c r="A194" s="1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</row>
    <row r="195" spans="1:22" x14ac:dyDescent="0.25">
      <c r="A195" s="1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</row>
    <row r="196" spans="1:22" x14ac:dyDescent="0.25">
      <c r="A196" s="1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</row>
    <row r="197" spans="1:22" x14ac:dyDescent="0.25">
      <c r="A197" s="1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</row>
    <row r="198" spans="1:22" x14ac:dyDescent="0.25">
      <c r="A198" s="1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</row>
    <row r="199" spans="1:22" x14ac:dyDescent="0.25">
      <c r="A199" s="1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</row>
    <row r="200" spans="1:22" x14ac:dyDescent="0.25">
      <c r="A200" s="1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</row>
    <row r="201" spans="1:22" x14ac:dyDescent="0.25">
      <c r="A201" s="1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</row>
    <row r="202" spans="1:22" x14ac:dyDescent="0.25">
      <c r="A202" s="1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</row>
    <row r="203" spans="1:22" x14ac:dyDescent="0.25">
      <c r="A203" s="1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</row>
    <row r="204" spans="1:22" x14ac:dyDescent="0.25">
      <c r="A204" s="1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</row>
    <row r="205" spans="1:22" x14ac:dyDescent="0.25">
      <c r="A205" s="1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</row>
    <row r="206" spans="1:22" x14ac:dyDescent="0.25">
      <c r="A206" s="1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</row>
    <row r="207" spans="1:22" x14ac:dyDescent="0.25">
      <c r="A207" s="1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</row>
    <row r="208" spans="1:22" x14ac:dyDescent="0.25">
      <c r="A208" s="1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</row>
    <row r="209" spans="1:22" x14ac:dyDescent="0.25">
      <c r="A209" s="1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</row>
    <row r="210" spans="1:22" x14ac:dyDescent="0.25">
      <c r="A210" s="1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</row>
    <row r="211" spans="1:22" x14ac:dyDescent="0.25">
      <c r="A211" s="1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</row>
    <row r="212" spans="1:22" x14ac:dyDescent="0.25">
      <c r="A212" s="1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</row>
    <row r="213" spans="1:22" x14ac:dyDescent="0.25">
      <c r="A213" s="1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</row>
    <row r="214" spans="1:22" x14ac:dyDescent="0.25">
      <c r="A214" s="1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</row>
    <row r="215" spans="1:22" x14ac:dyDescent="0.25">
      <c r="A215" s="1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</row>
    <row r="216" spans="1:22" x14ac:dyDescent="0.25">
      <c r="A216" s="1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</row>
    <row r="217" spans="1:22" x14ac:dyDescent="0.25">
      <c r="A217" s="1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</row>
    <row r="218" spans="1:22" x14ac:dyDescent="0.25">
      <c r="A218" s="1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</row>
    <row r="219" spans="1:22" x14ac:dyDescent="0.25">
      <c r="A219" s="1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</row>
    <row r="220" spans="1:22" x14ac:dyDescent="0.25">
      <c r="A220" s="1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</row>
    <row r="221" spans="1:22" x14ac:dyDescent="0.25">
      <c r="A221" s="1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</row>
    <row r="222" spans="1:22" x14ac:dyDescent="0.25">
      <c r="A222" s="1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</row>
    <row r="223" spans="1:22" x14ac:dyDescent="0.25">
      <c r="A223" s="1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</row>
    <row r="224" spans="1:22" x14ac:dyDescent="0.25">
      <c r="A224" s="1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</row>
    <row r="225" spans="1:22" x14ac:dyDescent="0.25">
      <c r="A225" s="1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</row>
    <row r="226" spans="1:22" x14ac:dyDescent="0.25">
      <c r="A226" s="1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</row>
    <row r="227" spans="1:22" x14ac:dyDescent="0.25">
      <c r="A227" s="1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</row>
    <row r="228" spans="1:22" x14ac:dyDescent="0.25">
      <c r="A228" s="1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</row>
    <row r="229" spans="1:22" x14ac:dyDescent="0.25">
      <c r="A229" s="1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</row>
    <row r="230" spans="1:22" x14ac:dyDescent="0.25">
      <c r="A230" s="1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</row>
    <row r="231" spans="1:22" x14ac:dyDescent="0.25">
      <c r="A231" s="1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</row>
    <row r="232" spans="1:22" x14ac:dyDescent="0.25">
      <c r="A232" s="1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</row>
    <row r="233" spans="1:22" x14ac:dyDescent="0.25">
      <c r="A233" s="1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</row>
    <row r="234" spans="1:22" x14ac:dyDescent="0.25">
      <c r="A234" s="1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</row>
    <row r="235" spans="1:22" x14ac:dyDescent="0.25">
      <c r="A235" s="1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</row>
    <row r="236" spans="1:22" x14ac:dyDescent="0.25">
      <c r="A236" s="1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</row>
    <row r="237" spans="1:22" x14ac:dyDescent="0.25">
      <c r="A237" s="1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</row>
    <row r="238" spans="1:22" x14ac:dyDescent="0.25">
      <c r="A238" s="1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</row>
    <row r="239" spans="1:22" x14ac:dyDescent="0.25">
      <c r="A239" s="1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</row>
    <row r="240" spans="1:22" x14ac:dyDescent="0.25">
      <c r="A240" s="1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</row>
    <row r="241" spans="1:19" x14ac:dyDescent="0.25">
      <c r="A241" s="1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</row>
    <row r="242" spans="1:19" x14ac:dyDescent="0.25">
      <c r="A242" s="1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</row>
    <row r="243" spans="1:19" x14ac:dyDescent="0.25">
      <c r="A243" s="1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</row>
    <row r="244" spans="1:19" x14ac:dyDescent="0.25">
      <c r="A244" s="1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</row>
    <row r="245" spans="1:19" x14ac:dyDescent="0.25">
      <c r="A245" s="1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</row>
    <row r="246" spans="1:19" x14ac:dyDescent="0.25">
      <c r="A246" s="1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</row>
    <row r="247" spans="1:19" x14ac:dyDescent="0.25">
      <c r="A247" s="1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</row>
    <row r="248" spans="1:19" x14ac:dyDescent="0.25">
      <c r="A248" s="1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</row>
    <row r="249" spans="1:19" x14ac:dyDescent="0.25">
      <c r="A249" s="1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</row>
    <row r="250" spans="1:19" x14ac:dyDescent="0.25">
      <c r="A250" s="1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</row>
    <row r="251" spans="1:19" x14ac:dyDescent="0.25">
      <c r="A251" s="1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</row>
    <row r="252" spans="1:19" x14ac:dyDescent="0.25">
      <c r="A252" s="1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</row>
    <row r="253" spans="1:19" x14ac:dyDescent="0.25">
      <c r="A253" s="1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</row>
    <row r="254" spans="1:19" x14ac:dyDescent="0.25">
      <c r="A254" s="1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</row>
    <row r="255" spans="1:19" x14ac:dyDescent="0.25">
      <c r="A255" s="1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</row>
    <row r="256" spans="1:19" x14ac:dyDescent="0.25">
      <c r="A256" s="1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</row>
    <row r="257" spans="1:19" x14ac:dyDescent="0.25">
      <c r="A257" s="1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</row>
    <row r="258" spans="1:19" x14ac:dyDescent="0.25">
      <c r="A258" s="1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</row>
    <row r="259" spans="1:19" x14ac:dyDescent="0.25">
      <c r="A259" s="1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</row>
    <row r="260" spans="1:19" x14ac:dyDescent="0.25">
      <c r="A260" s="1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</row>
    <row r="261" spans="1:19" x14ac:dyDescent="0.25">
      <c r="A261" s="1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</row>
    <row r="262" spans="1:19" x14ac:dyDescent="0.25">
      <c r="A262" s="1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</row>
    <row r="263" spans="1:19" x14ac:dyDescent="0.25">
      <c r="A263" s="1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</row>
    <row r="264" spans="1:19" x14ac:dyDescent="0.25">
      <c r="A264" s="1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</row>
    <row r="265" spans="1:19" x14ac:dyDescent="0.25">
      <c r="A265" s="1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5"/>
  <sheetViews>
    <sheetView topLeftCell="F1" workbookViewId="0">
      <selection activeCell="P18" sqref="P18"/>
    </sheetView>
  </sheetViews>
  <sheetFormatPr defaultRowHeight="15" x14ac:dyDescent="0.25"/>
  <cols>
    <col min="1" max="1" width="29.42578125" style="5" bestFit="1" customWidth="1"/>
    <col min="2" max="4" width="9.140625" style="5"/>
    <col min="5" max="5" width="10.28515625" style="5" customWidth="1"/>
    <col min="6" max="6" width="16" style="5" customWidth="1"/>
    <col min="7" max="7" width="26" style="5" bestFit="1" customWidth="1"/>
    <col min="8" max="8" width="10.7109375" style="5" bestFit="1" customWidth="1"/>
    <col min="9" max="9" width="9.140625" style="5"/>
    <col min="10" max="10" width="11.140625" style="5" bestFit="1" customWidth="1"/>
    <col min="11" max="11" width="12.85546875" style="5" bestFit="1" customWidth="1"/>
    <col min="12" max="12" width="10.7109375" style="5" bestFit="1" customWidth="1"/>
    <col min="13" max="13" width="9.140625" style="5"/>
    <col min="14" max="14" width="12.5703125" style="5" customWidth="1"/>
    <col min="15" max="16384" width="9.140625" style="5"/>
  </cols>
  <sheetData>
    <row r="1" spans="1:20" x14ac:dyDescent="0.25">
      <c r="A1" s="5" t="s">
        <v>383</v>
      </c>
      <c r="J1" s="5" t="s">
        <v>13</v>
      </c>
      <c r="K1" s="2" t="s">
        <v>368</v>
      </c>
      <c r="M1" s="5">
        <v>3.44</v>
      </c>
    </row>
    <row r="2" spans="1:20" x14ac:dyDescent="0.25">
      <c r="J2" s="5" t="s">
        <v>27</v>
      </c>
      <c r="K2" s="2" t="s">
        <v>368</v>
      </c>
      <c r="M2" s="5">
        <v>35.99</v>
      </c>
      <c r="S2" s="5" t="s">
        <v>56</v>
      </c>
      <c r="T2" s="5">
        <v>5</v>
      </c>
    </row>
    <row r="3" spans="1:20" x14ac:dyDescent="0.25">
      <c r="J3" s="5" t="s">
        <v>27</v>
      </c>
      <c r="K3" s="2" t="s">
        <v>368</v>
      </c>
      <c r="M3" s="5">
        <f>73.91-4.48</f>
        <v>69.429999999999993</v>
      </c>
      <c r="N3" s="38" t="s">
        <v>373</v>
      </c>
      <c r="R3" s="5">
        <v>73.91</v>
      </c>
      <c r="S3" s="5" t="s">
        <v>57</v>
      </c>
      <c r="T3" s="5">
        <v>10</v>
      </c>
    </row>
    <row r="4" spans="1:20" x14ac:dyDescent="0.25">
      <c r="A4" s="5" t="s">
        <v>10</v>
      </c>
      <c r="E4" s="5">
        <v>240</v>
      </c>
      <c r="J4" s="5" t="s">
        <v>26</v>
      </c>
      <c r="K4" s="2" t="s">
        <v>368</v>
      </c>
      <c r="M4" s="5">
        <v>12.83</v>
      </c>
      <c r="S4" s="5" t="s">
        <v>58</v>
      </c>
      <c r="T4" s="5">
        <v>30</v>
      </c>
    </row>
    <row r="5" spans="1:20" x14ac:dyDescent="0.25">
      <c r="A5" s="5" t="s">
        <v>114</v>
      </c>
      <c r="E5" s="5">
        <v>35</v>
      </c>
      <c r="J5" s="5" t="s">
        <v>161</v>
      </c>
      <c r="K5" s="2" t="s">
        <v>372</v>
      </c>
      <c r="M5" s="5">
        <v>24.93</v>
      </c>
      <c r="S5" s="5" t="s">
        <v>59</v>
      </c>
      <c r="T5" s="5">
        <v>8</v>
      </c>
    </row>
    <row r="6" spans="1:20" x14ac:dyDescent="0.25">
      <c r="A6" s="5" t="s">
        <v>2</v>
      </c>
      <c r="E6" s="5">
        <v>50</v>
      </c>
      <c r="J6" s="5" t="s">
        <v>36</v>
      </c>
      <c r="K6" s="2" t="s">
        <v>372</v>
      </c>
      <c r="M6" s="5">
        <v>11.45</v>
      </c>
      <c r="S6" s="5" t="s">
        <v>60</v>
      </c>
      <c r="T6" s="5">
        <v>30</v>
      </c>
    </row>
    <row r="7" spans="1:20" x14ac:dyDescent="0.25">
      <c r="A7" s="5" t="s">
        <v>0</v>
      </c>
      <c r="E7" s="5">
        <v>90</v>
      </c>
      <c r="J7" s="5" t="s">
        <v>14</v>
      </c>
      <c r="K7" s="2" t="s">
        <v>372</v>
      </c>
      <c r="M7" s="5">
        <v>5.67</v>
      </c>
      <c r="S7" s="5" t="s">
        <v>61</v>
      </c>
      <c r="T7" s="5">
        <v>25</v>
      </c>
    </row>
    <row r="8" spans="1:20" x14ac:dyDescent="0.25">
      <c r="A8" s="5" t="s">
        <v>8</v>
      </c>
      <c r="E8" s="5">
        <v>30</v>
      </c>
      <c r="J8" s="5" t="s">
        <v>27</v>
      </c>
      <c r="K8" s="2" t="s">
        <v>374</v>
      </c>
      <c r="M8" s="4">
        <v>9.99</v>
      </c>
      <c r="S8" s="5" t="s">
        <v>62</v>
      </c>
      <c r="T8" s="5">
        <v>12</v>
      </c>
    </row>
    <row r="9" spans="1:20" x14ac:dyDescent="0.25">
      <c r="A9" s="5" t="s">
        <v>1</v>
      </c>
      <c r="D9" s="5">
        <v>10</v>
      </c>
      <c r="E9" s="5">
        <v>40</v>
      </c>
      <c r="J9" s="5" t="s">
        <v>27</v>
      </c>
      <c r="K9" s="2" t="s">
        <v>375</v>
      </c>
      <c r="M9" s="4">
        <v>64.42</v>
      </c>
      <c r="S9" s="5" t="s">
        <v>63</v>
      </c>
      <c r="T9" s="5">
        <f>SUM(T2:T8)</f>
        <v>120</v>
      </c>
    </row>
    <row r="10" spans="1:20" x14ac:dyDescent="0.25">
      <c r="A10" s="5" t="s">
        <v>4</v>
      </c>
      <c r="D10" s="5">
        <v>85</v>
      </c>
      <c r="E10" s="5">
        <v>250</v>
      </c>
      <c r="J10" s="5" t="s">
        <v>26</v>
      </c>
      <c r="K10" s="2" t="s">
        <v>375</v>
      </c>
      <c r="M10" s="5">
        <v>13.59</v>
      </c>
    </row>
    <row r="11" spans="1:20" x14ac:dyDescent="0.25">
      <c r="A11" s="5" t="s">
        <v>9</v>
      </c>
      <c r="E11" s="5">
        <v>15</v>
      </c>
      <c r="J11" s="5" t="s">
        <v>12</v>
      </c>
      <c r="K11" s="2" t="s">
        <v>376</v>
      </c>
      <c r="M11" s="4">
        <v>6.91</v>
      </c>
    </row>
    <row r="12" spans="1:20" x14ac:dyDescent="0.25">
      <c r="A12" s="5" t="s">
        <v>115</v>
      </c>
      <c r="E12" s="5">
        <v>116</v>
      </c>
      <c r="J12" s="5" t="s">
        <v>12</v>
      </c>
      <c r="K12" s="2" t="s">
        <v>376</v>
      </c>
      <c r="M12" s="4">
        <v>30.55</v>
      </c>
    </row>
    <row r="13" spans="1:20" x14ac:dyDescent="0.25">
      <c r="A13" s="5" t="s">
        <v>37</v>
      </c>
      <c r="E13" s="5">
        <v>20</v>
      </c>
      <c r="J13" s="5" t="s">
        <v>12</v>
      </c>
      <c r="K13" s="2" t="s">
        <v>376</v>
      </c>
      <c r="M13" s="4">
        <v>2.59</v>
      </c>
    </row>
    <row r="14" spans="1:20" x14ac:dyDescent="0.25">
      <c r="A14" s="5" t="s">
        <v>116</v>
      </c>
      <c r="E14" s="5">
        <v>50</v>
      </c>
      <c r="J14" s="5" t="s">
        <v>36</v>
      </c>
      <c r="K14" s="2" t="s">
        <v>376</v>
      </c>
      <c r="M14" s="4">
        <v>7.5</v>
      </c>
    </row>
    <row r="15" spans="1:20" x14ac:dyDescent="0.25">
      <c r="A15" s="5" t="s">
        <v>365</v>
      </c>
      <c r="E15" s="5">
        <v>100</v>
      </c>
      <c r="J15" s="5" t="s">
        <v>45</v>
      </c>
      <c r="K15" s="2" t="s">
        <v>377</v>
      </c>
      <c r="M15" s="4">
        <v>78.63</v>
      </c>
      <c r="N15" s="38"/>
    </row>
    <row r="16" spans="1:20" x14ac:dyDescent="0.25">
      <c r="J16" s="5" t="s">
        <v>13</v>
      </c>
      <c r="K16" s="2" t="s">
        <v>377</v>
      </c>
      <c r="M16" s="32">
        <v>9.2899999999999991</v>
      </c>
    </row>
    <row r="17" spans="1:16" x14ac:dyDescent="0.25">
      <c r="A17" s="5" t="s">
        <v>371</v>
      </c>
      <c r="E17" s="5">
        <v>30</v>
      </c>
      <c r="F17" s="5" t="s">
        <v>6</v>
      </c>
      <c r="H17" s="5">
        <v>0</v>
      </c>
      <c r="J17" s="5" t="s">
        <v>26</v>
      </c>
      <c r="K17" s="2" t="s">
        <v>379</v>
      </c>
      <c r="M17" s="5">
        <v>9.2799999999999994</v>
      </c>
    </row>
    <row r="18" spans="1:16" x14ac:dyDescent="0.25">
      <c r="F18" s="5" t="s">
        <v>7</v>
      </c>
      <c r="H18" s="5">
        <v>91.03</v>
      </c>
      <c r="I18" s="5">
        <f>1160.07+58.71</f>
        <v>1218.78</v>
      </c>
      <c r="J18" s="5" t="s">
        <v>258</v>
      </c>
      <c r="K18" s="2" t="s">
        <v>380</v>
      </c>
      <c r="M18" s="32">
        <f>52.24-2.8</f>
        <v>49.440000000000005</v>
      </c>
      <c r="N18" s="38" t="s">
        <v>381</v>
      </c>
      <c r="P18" s="5">
        <v>52.24</v>
      </c>
    </row>
    <row r="19" spans="1:16" x14ac:dyDescent="0.25">
      <c r="F19" s="5" t="s">
        <v>20</v>
      </c>
      <c r="H19" s="5">
        <v>90</v>
      </c>
      <c r="J19" s="5" t="s">
        <v>13</v>
      </c>
      <c r="K19" s="2" t="s">
        <v>380</v>
      </c>
      <c r="M19" s="4">
        <v>10.09</v>
      </c>
    </row>
    <row r="20" spans="1:16" x14ac:dyDescent="0.25">
      <c r="A20" s="5" t="s">
        <v>5</v>
      </c>
      <c r="D20" s="5">
        <f>SUM(D4:D19)</f>
        <v>95</v>
      </c>
      <c r="F20" s="5" t="s">
        <v>138</v>
      </c>
      <c r="H20" s="5">
        <v>16</v>
      </c>
      <c r="K20" s="2"/>
    </row>
    <row r="21" spans="1:16" x14ac:dyDescent="0.25">
      <c r="F21" s="5" t="s">
        <v>378</v>
      </c>
      <c r="H21" s="5">
        <v>70.34</v>
      </c>
      <c r="I21" s="5">
        <f>70.34</f>
        <v>70.34</v>
      </c>
      <c r="K21" s="2"/>
    </row>
    <row r="22" spans="1:16" x14ac:dyDescent="0.25">
      <c r="K22" s="2"/>
    </row>
    <row r="23" spans="1:16" x14ac:dyDescent="0.25">
      <c r="F23" s="5" t="s">
        <v>5</v>
      </c>
      <c r="H23" s="5">
        <f>SUM(H17:H21)</f>
        <v>267.37</v>
      </c>
      <c r="K23" s="2"/>
    </row>
    <row r="24" spans="1:16" x14ac:dyDescent="0.25">
      <c r="F24" s="5" t="s">
        <v>17</v>
      </c>
      <c r="H24" s="5">
        <f>H23-D20-L34</f>
        <v>172.37</v>
      </c>
      <c r="K24" s="2"/>
    </row>
    <row r="25" spans="1:16" x14ac:dyDescent="0.25">
      <c r="A25" s="5" t="s">
        <v>231</v>
      </c>
      <c r="K25" s="2"/>
    </row>
    <row r="26" spans="1:16" x14ac:dyDescent="0.25">
      <c r="K26" s="2"/>
    </row>
    <row r="27" spans="1:16" x14ac:dyDescent="0.25">
      <c r="A27" s="5" t="s">
        <v>6</v>
      </c>
      <c r="D27" s="5">
        <v>3</v>
      </c>
      <c r="K27" s="2"/>
    </row>
    <row r="28" spans="1:16" x14ac:dyDescent="0.25">
      <c r="A28" s="5" t="s">
        <v>7</v>
      </c>
      <c r="C28" s="5">
        <v>1.78</v>
      </c>
      <c r="K28" s="2"/>
    </row>
    <row r="29" spans="1:16" x14ac:dyDescent="0.25">
      <c r="A29" s="5" t="s">
        <v>11</v>
      </c>
      <c r="D29" s="5">
        <v>0</v>
      </c>
      <c r="K29" s="2"/>
    </row>
    <row r="30" spans="1:16" x14ac:dyDescent="0.25">
      <c r="A30" s="5" t="s">
        <v>138</v>
      </c>
      <c r="K30" s="2"/>
    </row>
    <row r="31" spans="1:16" x14ac:dyDescent="0.25">
      <c r="A31" s="5" t="s">
        <v>392</v>
      </c>
      <c r="C31" s="5">
        <v>202.32</v>
      </c>
      <c r="E31" s="5">
        <f>96.98+105.34</f>
        <v>202.32</v>
      </c>
      <c r="K31" s="2"/>
    </row>
    <row r="32" spans="1:16" x14ac:dyDescent="0.25">
      <c r="A32" s="5" t="s">
        <v>5</v>
      </c>
      <c r="C32" s="5">
        <f>SUM(C27:C31)</f>
        <v>204.1</v>
      </c>
      <c r="K32" s="2"/>
    </row>
    <row r="33" spans="1:14" x14ac:dyDescent="0.25">
      <c r="A33" s="15"/>
      <c r="K33" s="2"/>
    </row>
    <row r="34" spans="1:14" x14ac:dyDescent="0.25">
      <c r="A34" s="5" t="s">
        <v>18</v>
      </c>
      <c r="K34" s="5" t="s">
        <v>15</v>
      </c>
      <c r="L34" s="5">
        <f>SUM(L1:L33)</f>
        <v>0</v>
      </c>
    </row>
    <row r="35" spans="1:14" x14ac:dyDescent="0.25">
      <c r="A35" s="5" t="s">
        <v>1</v>
      </c>
      <c r="C35" s="5">
        <v>20</v>
      </c>
    </row>
    <row r="36" spans="1:14" x14ac:dyDescent="0.25">
      <c r="A36" s="5" t="s">
        <v>3</v>
      </c>
      <c r="D36" s="5">
        <v>20.76</v>
      </c>
      <c r="G36" s="5" t="s">
        <v>24</v>
      </c>
      <c r="H36" s="5" t="s">
        <v>23</v>
      </c>
      <c r="I36" s="5" t="s">
        <v>25</v>
      </c>
      <c r="K36" s="38"/>
    </row>
    <row r="37" spans="1:14" x14ac:dyDescent="0.25">
      <c r="A37" s="5" t="s">
        <v>4</v>
      </c>
      <c r="D37" s="5">
        <v>250</v>
      </c>
      <c r="G37" s="5" t="s">
        <v>40</v>
      </c>
      <c r="H37" s="2" t="s">
        <v>384</v>
      </c>
      <c r="J37" s="5">
        <v>11.3</v>
      </c>
    </row>
    <row r="38" spans="1:14" x14ac:dyDescent="0.25">
      <c r="A38" s="5" t="s">
        <v>128</v>
      </c>
      <c r="D38" s="5">
        <v>10</v>
      </c>
      <c r="G38" s="5" t="s">
        <v>382</v>
      </c>
      <c r="H38" s="2" t="s">
        <v>384</v>
      </c>
      <c r="J38" s="5">
        <v>32.770000000000003</v>
      </c>
    </row>
    <row r="39" spans="1:14" x14ac:dyDescent="0.25">
      <c r="A39" s="5" t="s">
        <v>37</v>
      </c>
      <c r="D39" s="5">
        <v>10</v>
      </c>
      <c r="G39" s="5" t="s">
        <v>27</v>
      </c>
      <c r="H39" s="2" t="s">
        <v>384</v>
      </c>
      <c r="J39" s="5">
        <v>16.29</v>
      </c>
      <c r="K39" s="38"/>
    </row>
    <row r="40" spans="1:14" x14ac:dyDescent="0.25">
      <c r="A40" s="5" t="s">
        <v>224</v>
      </c>
      <c r="D40" s="5">
        <v>50</v>
      </c>
      <c r="G40" s="5" t="s">
        <v>27</v>
      </c>
      <c r="H40" s="2" t="s">
        <v>384</v>
      </c>
      <c r="J40" s="5">
        <v>61.12</v>
      </c>
      <c r="K40" s="38"/>
    </row>
    <row r="41" spans="1:14" x14ac:dyDescent="0.25">
      <c r="A41" s="5" t="s">
        <v>48</v>
      </c>
      <c r="D41" s="5">
        <v>12.53</v>
      </c>
      <c r="G41" s="5" t="s">
        <v>26</v>
      </c>
      <c r="H41" s="2" t="s">
        <v>384</v>
      </c>
      <c r="J41" s="5">
        <v>10.44</v>
      </c>
      <c r="N41" s="2"/>
    </row>
    <row r="42" spans="1:14" x14ac:dyDescent="0.25">
      <c r="A42" s="5" t="s">
        <v>144</v>
      </c>
      <c r="C42" s="5">
        <v>10</v>
      </c>
      <c r="G42" s="5" t="s">
        <v>12</v>
      </c>
      <c r="H42" s="2" t="s">
        <v>385</v>
      </c>
      <c r="J42" s="5">
        <v>24.74</v>
      </c>
      <c r="N42" s="2"/>
    </row>
    <row r="43" spans="1:14" x14ac:dyDescent="0.25">
      <c r="A43" s="5" t="s">
        <v>40</v>
      </c>
      <c r="D43" s="5">
        <v>11.3</v>
      </c>
      <c r="G43" s="5" t="s">
        <v>234</v>
      </c>
      <c r="H43" s="2" t="s">
        <v>386</v>
      </c>
      <c r="J43" s="5">
        <v>116</v>
      </c>
    </row>
    <row r="44" spans="1:14" x14ac:dyDescent="0.25">
      <c r="A44" s="5" t="s">
        <v>382</v>
      </c>
      <c r="D44" s="5">
        <v>32.770000000000003</v>
      </c>
      <c r="G44" s="5" t="s">
        <v>305</v>
      </c>
      <c r="H44" s="2" t="s">
        <v>386</v>
      </c>
      <c r="J44" s="5">
        <v>11.05</v>
      </c>
      <c r="K44" s="38"/>
    </row>
    <row r="45" spans="1:14" x14ac:dyDescent="0.25">
      <c r="A45" s="15"/>
      <c r="G45" s="5" t="s">
        <v>16</v>
      </c>
      <c r="H45" s="2" t="s">
        <v>386</v>
      </c>
      <c r="J45" s="5">
        <v>20.76</v>
      </c>
      <c r="K45" s="38"/>
    </row>
    <row r="46" spans="1:14" x14ac:dyDescent="0.25">
      <c r="G46" s="5" t="s">
        <v>13</v>
      </c>
      <c r="H46" s="2" t="s">
        <v>388</v>
      </c>
      <c r="J46" s="5">
        <f>4.9-1.73</f>
        <v>3.1700000000000004</v>
      </c>
      <c r="K46" s="38" t="s">
        <v>387</v>
      </c>
      <c r="M46" s="5">
        <v>4.9000000000000004</v>
      </c>
    </row>
    <row r="47" spans="1:14" x14ac:dyDescent="0.25">
      <c r="A47" s="5" t="s">
        <v>19</v>
      </c>
      <c r="C47" s="5">
        <f>SUM(C35:C44)</f>
        <v>30</v>
      </c>
      <c r="G47" s="5" t="s">
        <v>13</v>
      </c>
      <c r="H47" s="2" t="s">
        <v>388</v>
      </c>
      <c r="J47" s="5">
        <v>8.34</v>
      </c>
      <c r="K47" s="38"/>
    </row>
    <row r="48" spans="1:14" x14ac:dyDescent="0.25">
      <c r="G48" s="5" t="s">
        <v>48</v>
      </c>
      <c r="H48" s="2" t="s">
        <v>389</v>
      </c>
      <c r="J48" s="5">
        <v>12.51</v>
      </c>
      <c r="K48" s="38"/>
    </row>
    <row r="49" spans="1:13" x14ac:dyDescent="0.25">
      <c r="G49" s="5" t="s">
        <v>390</v>
      </c>
      <c r="H49" s="2" t="s">
        <v>389</v>
      </c>
      <c r="J49" s="5">
        <v>2.62</v>
      </c>
      <c r="K49" s="38"/>
    </row>
    <row r="50" spans="1:13" x14ac:dyDescent="0.25">
      <c r="A50" s="5" t="s">
        <v>17</v>
      </c>
      <c r="C50" s="5">
        <f>C32-C47-I86</f>
        <v>78.08</v>
      </c>
      <c r="G50" s="5" t="s">
        <v>27</v>
      </c>
      <c r="H50" s="2" t="s">
        <v>391</v>
      </c>
      <c r="I50" s="5">
        <v>96.02</v>
      </c>
      <c r="K50" s="38" t="s">
        <v>393</v>
      </c>
      <c r="M50" s="5">
        <v>96.98</v>
      </c>
    </row>
    <row r="51" spans="1:13" x14ac:dyDescent="0.25">
      <c r="G51" s="5" t="s">
        <v>13</v>
      </c>
      <c r="H51" s="2" t="s">
        <v>389</v>
      </c>
      <c r="J51" s="5">
        <v>8.7899999999999991</v>
      </c>
    </row>
    <row r="52" spans="1:13" ht="15.75" thickBot="1" x14ac:dyDescent="0.3">
      <c r="G52" s="5" t="s">
        <v>257</v>
      </c>
      <c r="H52" s="2" t="s">
        <v>389</v>
      </c>
      <c r="J52" s="5">
        <v>10.6</v>
      </c>
    </row>
    <row r="53" spans="1:13" ht="24" x14ac:dyDescent="0.25">
      <c r="A53" s="20" t="s">
        <v>51</v>
      </c>
      <c r="B53" s="21" t="s">
        <v>52</v>
      </c>
      <c r="C53" s="21" t="s">
        <v>53</v>
      </c>
      <c r="D53" s="22" t="s">
        <v>54</v>
      </c>
      <c r="G53" s="5" t="s">
        <v>12</v>
      </c>
      <c r="H53" s="2" t="s">
        <v>389</v>
      </c>
      <c r="J53" s="5">
        <v>13.66</v>
      </c>
    </row>
    <row r="54" spans="1:13" x14ac:dyDescent="0.25">
      <c r="A54" s="34">
        <v>3450041444</v>
      </c>
      <c r="B54" s="33" t="s">
        <v>47</v>
      </c>
      <c r="C54" s="33" t="s">
        <v>47</v>
      </c>
      <c r="D54" s="35" t="s">
        <v>47</v>
      </c>
      <c r="G54" s="5" t="s">
        <v>26</v>
      </c>
      <c r="H54" s="2" t="s">
        <v>391</v>
      </c>
      <c r="J54" s="5">
        <v>12.33</v>
      </c>
      <c r="K54" s="38"/>
    </row>
    <row r="55" spans="1:13" x14ac:dyDescent="0.25">
      <c r="A55" s="11">
        <v>4390750000073610</v>
      </c>
      <c r="B55" s="7" t="s">
        <v>323</v>
      </c>
      <c r="C55" s="7" t="s">
        <v>47</v>
      </c>
      <c r="D55" s="12" t="s">
        <v>324</v>
      </c>
      <c r="G55" s="5" t="s">
        <v>26</v>
      </c>
      <c r="H55" s="2" t="s">
        <v>385</v>
      </c>
      <c r="L55" s="5">
        <f>15.7+45.03</f>
        <v>60.730000000000004</v>
      </c>
    </row>
    <row r="56" spans="1:13" ht="15.75" thickBot="1" x14ac:dyDescent="0.3">
      <c r="A56" s="13" t="s">
        <v>5</v>
      </c>
      <c r="B56" s="14" t="s">
        <v>323</v>
      </c>
      <c r="C56" s="14" t="s">
        <v>47</v>
      </c>
      <c r="D56" s="19" t="s">
        <v>324</v>
      </c>
      <c r="G56" s="5" t="s">
        <v>36</v>
      </c>
      <c r="H56" s="2" t="s">
        <v>385</v>
      </c>
    </row>
    <row r="57" spans="1:13" x14ac:dyDescent="0.25">
      <c r="G57" s="5" t="s">
        <v>12</v>
      </c>
      <c r="H57" s="2" t="s">
        <v>385</v>
      </c>
      <c r="K57" s="38"/>
    </row>
    <row r="58" spans="1:13" x14ac:dyDescent="0.25">
      <c r="G58" s="5" t="s">
        <v>257</v>
      </c>
      <c r="H58" s="2" t="s">
        <v>385</v>
      </c>
    </row>
    <row r="59" spans="1:13" x14ac:dyDescent="0.25">
      <c r="G59" s="5" t="s">
        <v>26</v>
      </c>
      <c r="H59" s="2" t="s">
        <v>385</v>
      </c>
    </row>
    <row r="60" spans="1:13" x14ac:dyDescent="0.25">
      <c r="G60" s="5" t="s">
        <v>48</v>
      </c>
      <c r="H60" s="2" t="s">
        <v>385</v>
      </c>
      <c r="K60" s="38" t="s">
        <v>263</v>
      </c>
      <c r="M60" s="5">
        <v>12.51</v>
      </c>
    </row>
    <row r="61" spans="1:13" x14ac:dyDescent="0.25">
      <c r="A61" s="5">
        <f>58.98-3.19</f>
        <v>55.79</v>
      </c>
      <c r="B61" s="5">
        <f>15.7+45.03</f>
        <v>60.730000000000004</v>
      </c>
      <c r="C61" s="5">
        <f>15.7-3.19</f>
        <v>12.51</v>
      </c>
      <c r="G61" s="5" t="s">
        <v>27</v>
      </c>
      <c r="H61" s="2" t="s">
        <v>385</v>
      </c>
      <c r="K61" s="38" t="s">
        <v>363</v>
      </c>
      <c r="M61" s="5">
        <v>3.69</v>
      </c>
    </row>
    <row r="62" spans="1:13" x14ac:dyDescent="0.25">
      <c r="B62" s="5">
        <f>12.51+45.03</f>
        <v>57.54</v>
      </c>
      <c r="G62" s="5" t="s">
        <v>27</v>
      </c>
      <c r="H62" s="2" t="s">
        <v>385</v>
      </c>
      <c r="K62" s="2" t="s">
        <v>367</v>
      </c>
      <c r="M62" s="5">
        <v>98.79</v>
      </c>
    </row>
    <row r="63" spans="1:13" x14ac:dyDescent="0.25">
      <c r="B63" s="5">
        <f>58.98-60.73</f>
        <v>-1.75</v>
      </c>
      <c r="G63" s="5" t="s">
        <v>26</v>
      </c>
      <c r="H63" s="2" t="s">
        <v>385</v>
      </c>
    </row>
    <row r="64" spans="1:13" x14ac:dyDescent="0.25">
      <c r="C64" s="5">
        <f>15.7-1.75</f>
        <v>13.95</v>
      </c>
      <c r="G64" s="5" t="s">
        <v>12</v>
      </c>
      <c r="H64" s="2" t="s">
        <v>385</v>
      </c>
    </row>
    <row r="65" spans="7:8" x14ac:dyDescent="0.25">
      <c r="G65" s="5" t="s">
        <v>257</v>
      </c>
      <c r="H65" s="2" t="s">
        <v>385</v>
      </c>
    </row>
    <row r="66" spans="7:8" x14ac:dyDescent="0.25">
      <c r="G66" s="5" t="s">
        <v>36</v>
      </c>
      <c r="H66" s="2" t="s">
        <v>385</v>
      </c>
    </row>
    <row r="67" spans="7:8" x14ac:dyDescent="0.25">
      <c r="G67" s="5" t="s">
        <v>12</v>
      </c>
      <c r="H67" s="2" t="s">
        <v>385</v>
      </c>
    </row>
    <row r="68" spans="7:8" x14ac:dyDescent="0.25">
      <c r="H68" s="2"/>
    </row>
    <row r="86" spans="1:9" x14ac:dyDescent="0.25">
      <c r="G86" s="5" t="s">
        <v>22</v>
      </c>
      <c r="I86" s="5">
        <f>SUM(I37:I85)</f>
        <v>96.02</v>
      </c>
    </row>
    <row r="87" spans="1:9" x14ac:dyDescent="0.25">
      <c r="A87" s="15"/>
    </row>
    <row r="88" spans="1:9" x14ac:dyDescent="0.25">
      <c r="A88" s="15"/>
    </row>
    <row r="89" spans="1:9" x14ac:dyDescent="0.25">
      <c r="A89" s="15"/>
    </row>
    <row r="90" spans="1:9" x14ac:dyDescent="0.25">
      <c r="A90" s="15"/>
    </row>
    <row r="91" spans="1:9" x14ac:dyDescent="0.25">
      <c r="A91" s="15"/>
    </row>
    <row r="92" spans="1:9" x14ac:dyDescent="0.25">
      <c r="A92" s="15"/>
    </row>
    <row r="93" spans="1:9" x14ac:dyDescent="0.25">
      <c r="A93" s="15"/>
    </row>
    <row r="94" spans="1:9" x14ac:dyDescent="0.25">
      <c r="A94" s="15"/>
    </row>
    <row r="95" spans="1:9" x14ac:dyDescent="0.25">
      <c r="A95" s="15"/>
    </row>
    <row r="96" spans="1:9" x14ac:dyDescent="0.25">
      <c r="A96" s="15"/>
    </row>
    <row r="97" spans="1:1" x14ac:dyDescent="0.25">
      <c r="A97" s="15"/>
    </row>
    <row r="98" spans="1:1" x14ac:dyDescent="0.25">
      <c r="A98" s="15"/>
    </row>
    <row r="99" spans="1:1" x14ac:dyDescent="0.25">
      <c r="A99" s="15"/>
    </row>
    <row r="100" spans="1:1" x14ac:dyDescent="0.25">
      <c r="A100" s="15"/>
    </row>
    <row r="101" spans="1:1" x14ac:dyDescent="0.25">
      <c r="A101" s="15"/>
    </row>
    <row r="102" spans="1:1" x14ac:dyDescent="0.25">
      <c r="A102" s="15"/>
    </row>
    <row r="103" spans="1:1" x14ac:dyDescent="0.25">
      <c r="A103" s="15"/>
    </row>
    <row r="104" spans="1:1" x14ac:dyDescent="0.25">
      <c r="A104" s="15"/>
    </row>
    <row r="105" spans="1:1" x14ac:dyDescent="0.25">
      <c r="A105" s="15"/>
    </row>
    <row r="106" spans="1:1" x14ac:dyDescent="0.25">
      <c r="A106" s="15"/>
    </row>
    <row r="107" spans="1:1" x14ac:dyDescent="0.25">
      <c r="A107" s="15"/>
    </row>
    <row r="108" spans="1:1" x14ac:dyDescent="0.25">
      <c r="A108" s="15"/>
    </row>
    <row r="109" spans="1:1" x14ac:dyDescent="0.25">
      <c r="A109" s="15"/>
    </row>
    <row r="110" spans="1:1" x14ac:dyDescent="0.25">
      <c r="A110" s="15"/>
    </row>
    <row r="111" spans="1:1" x14ac:dyDescent="0.25">
      <c r="A111" s="15"/>
    </row>
    <row r="112" spans="1:1" x14ac:dyDescent="0.25">
      <c r="A112" s="15"/>
    </row>
    <row r="113" spans="1:1" x14ac:dyDescent="0.25">
      <c r="A113" s="15"/>
    </row>
    <row r="114" spans="1:1" x14ac:dyDescent="0.25">
      <c r="A114" s="15"/>
    </row>
    <row r="115" spans="1:1" x14ac:dyDescent="0.25">
      <c r="A115" s="15"/>
    </row>
    <row r="116" spans="1:1" x14ac:dyDescent="0.25">
      <c r="A116" s="15"/>
    </row>
    <row r="117" spans="1:1" x14ac:dyDescent="0.25">
      <c r="A117" s="15"/>
    </row>
    <row r="118" spans="1:1" x14ac:dyDescent="0.25">
      <c r="A118" s="15"/>
    </row>
    <row r="119" spans="1:1" x14ac:dyDescent="0.25">
      <c r="A119" s="15"/>
    </row>
    <row r="120" spans="1:1" x14ac:dyDescent="0.25">
      <c r="A120" s="15"/>
    </row>
    <row r="121" spans="1:1" x14ac:dyDescent="0.25">
      <c r="A121" s="15"/>
    </row>
    <row r="122" spans="1:1" x14ac:dyDescent="0.25">
      <c r="A122" s="15"/>
    </row>
    <row r="123" spans="1:1" x14ac:dyDescent="0.25">
      <c r="A123" s="15"/>
    </row>
    <row r="124" spans="1:1" x14ac:dyDescent="0.25">
      <c r="A124" s="15"/>
    </row>
    <row r="125" spans="1:1" x14ac:dyDescent="0.25">
      <c r="A125" s="15"/>
    </row>
    <row r="126" spans="1:1" x14ac:dyDescent="0.25">
      <c r="A126" s="15"/>
    </row>
    <row r="127" spans="1:1" x14ac:dyDescent="0.25">
      <c r="A127" s="15"/>
    </row>
    <row r="128" spans="1:1" x14ac:dyDescent="0.25">
      <c r="A128" s="15"/>
    </row>
    <row r="129" spans="1:1" x14ac:dyDescent="0.25">
      <c r="A129" s="15"/>
    </row>
    <row r="130" spans="1:1" x14ac:dyDescent="0.25">
      <c r="A130" s="15"/>
    </row>
    <row r="131" spans="1:1" x14ac:dyDescent="0.25">
      <c r="A131" s="15"/>
    </row>
    <row r="132" spans="1:1" x14ac:dyDescent="0.25">
      <c r="A132" s="15"/>
    </row>
    <row r="133" spans="1:1" x14ac:dyDescent="0.25">
      <c r="A133" s="15"/>
    </row>
    <row r="134" spans="1:1" x14ac:dyDescent="0.25">
      <c r="A134" s="15"/>
    </row>
    <row r="135" spans="1:1" x14ac:dyDescent="0.25">
      <c r="A135" s="15"/>
    </row>
    <row r="136" spans="1:1" x14ac:dyDescent="0.25">
      <c r="A136" s="15"/>
    </row>
    <row r="137" spans="1:1" x14ac:dyDescent="0.25">
      <c r="A137" s="15"/>
    </row>
    <row r="138" spans="1:1" x14ac:dyDescent="0.25">
      <c r="A138" s="15"/>
    </row>
    <row r="139" spans="1:1" x14ac:dyDescent="0.25">
      <c r="A139" s="15"/>
    </row>
    <row r="140" spans="1:1" x14ac:dyDescent="0.25">
      <c r="A140" s="15"/>
    </row>
    <row r="141" spans="1:1" x14ac:dyDescent="0.25">
      <c r="A141" s="15"/>
    </row>
    <row r="142" spans="1:1" x14ac:dyDescent="0.25">
      <c r="A142" s="15"/>
    </row>
    <row r="143" spans="1:1" x14ac:dyDescent="0.25">
      <c r="A143" s="15"/>
    </row>
    <row r="144" spans="1:1" x14ac:dyDescent="0.25">
      <c r="A144" s="15"/>
    </row>
    <row r="145" spans="1:1" x14ac:dyDescent="0.25">
      <c r="A145" s="15"/>
    </row>
    <row r="146" spans="1:1" x14ac:dyDescent="0.25">
      <c r="A146" s="15"/>
    </row>
    <row r="147" spans="1:1" x14ac:dyDescent="0.25">
      <c r="A147" s="15"/>
    </row>
    <row r="148" spans="1:1" x14ac:dyDescent="0.25">
      <c r="A148" s="15"/>
    </row>
    <row r="149" spans="1:1" x14ac:dyDescent="0.25">
      <c r="A149" s="15"/>
    </row>
    <row r="150" spans="1:1" x14ac:dyDescent="0.25">
      <c r="A150" s="15"/>
    </row>
    <row r="151" spans="1:1" x14ac:dyDescent="0.25">
      <c r="A151" s="15"/>
    </row>
    <row r="152" spans="1:1" x14ac:dyDescent="0.25">
      <c r="A152" s="15"/>
    </row>
    <row r="153" spans="1:1" x14ac:dyDescent="0.25">
      <c r="A153" s="15"/>
    </row>
    <row r="154" spans="1:1" x14ac:dyDescent="0.25">
      <c r="A154" s="15"/>
    </row>
    <row r="155" spans="1:1" x14ac:dyDescent="0.25">
      <c r="A155" s="15"/>
    </row>
    <row r="156" spans="1:1" x14ac:dyDescent="0.25">
      <c r="A156" s="15"/>
    </row>
    <row r="157" spans="1:1" x14ac:dyDescent="0.25">
      <c r="A157" s="15"/>
    </row>
    <row r="158" spans="1:1" x14ac:dyDescent="0.25">
      <c r="A158" s="15"/>
    </row>
    <row r="159" spans="1:1" x14ac:dyDescent="0.25">
      <c r="A159" s="15"/>
    </row>
    <row r="160" spans="1:1" x14ac:dyDescent="0.25">
      <c r="A160" s="15"/>
    </row>
    <row r="161" spans="1:1" x14ac:dyDescent="0.25">
      <c r="A161" s="15"/>
    </row>
    <row r="162" spans="1:1" x14ac:dyDescent="0.25">
      <c r="A162" s="15"/>
    </row>
    <row r="163" spans="1:1" x14ac:dyDescent="0.25">
      <c r="A163" s="15"/>
    </row>
    <row r="164" spans="1:1" x14ac:dyDescent="0.25">
      <c r="A164" s="15"/>
    </row>
    <row r="165" spans="1:1" x14ac:dyDescent="0.25">
      <c r="A165" s="15"/>
    </row>
    <row r="166" spans="1:1" x14ac:dyDescent="0.25">
      <c r="A166" s="15"/>
    </row>
    <row r="167" spans="1:1" x14ac:dyDescent="0.25">
      <c r="A167" s="15"/>
    </row>
    <row r="168" spans="1:1" x14ac:dyDescent="0.25">
      <c r="A168" s="15"/>
    </row>
    <row r="169" spans="1:1" x14ac:dyDescent="0.25">
      <c r="A169" s="15"/>
    </row>
    <row r="170" spans="1:1" x14ac:dyDescent="0.25">
      <c r="A170" s="15"/>
    </row>
    <row r="171" spans="1:1" x14ac:dyDescent="0.25">
      <c r="A171" s="15"/>
    </row>
    <row r="172" spans="1:1" x14ac:dyDescent="0.25">
      <c r="A172" s="15"/>
    </row>
    <row r="173" spans="1:1" x14ac:dyDescent="0.25">
      <c r="A173" s="15"/>
    </row>
    <row r="174" spans="1:1" x14ac:dyDescent="0.25">
      <c r="A174" s="15"/>
    </row>
    <row r="175" spans="1:1" x14ac:dyDescent="0.25">
      <c r="A175" s="15"/>
    </row>
    <row r="176" spans="1:1" x14ac:dyDescent="0.25">
      <c r="A176" s="15"/>
    </row>
    <row r="177" spans="1:1" x14ac:dyDescent="0.25">
      <c r="A177" s="15"/>
    </row>
    <row r="178" spans="1:1" x14ac:dyDescent="0.25">
      <c r="A178" s="15"/>
    </row>
    <row r="179" spans="1:1" x14ac:dyDescent="0.25">
      <c r="A179" s="15"/>
    </row>
    <row r="180" spans="1:1" x14ac:dyDescent="0.25">
      <c r="A180" s="15"/>
    </row>
    <row r="181" spans="1:1" x14ac:dyDescent="0.25">
      <c r="A181" s="15"/>
    </row>
    <row r="182" spans="1:1" x14ac:dyDescent="0.25">
      <c r="A182" s="15"/>
    </row>
    <row r="183" spans="1:1" x14ac:dyDescent="0.25">
      <c r="A183" s="15"/>
    </row>
    <row r="184" spans="1:1" x14ac:dyDescent="0.25">
      <c r="A184" s="15"/>
    </row>
    <row r="185" spans="1:1" x14ac:dyDescent="0.25">
      <c r="A185" s="15"/>
    </row>
    <row r="186" spans="1:1" x14ac:dyDescent="0.25">
      <c r="A186" s="15"/>
    </row>
    <row r="187" spans="1:1" x14ac:dyDescent="0.25">
      <c r="A187" s="15"/>
    </row>
    <row r="188" spans="1:1" x14ac:dyDescent="0.25">
      <c r="A188" s="15"/>
    </row>
    <row r="189" spans="1:1" x14ac:dyDescent="0.25">
      <c r="A189" s="15"/>
    </row>
    <row r="190" spans="1:1" x14ac:dyDescent="0.25">
      <c r="A190" s="15"/>
    </row>
    <row r="191" spans="1:1" x14ac:dyDescent="0.25">
      <c r="A191" s="15"/>
    </row>
    <row r="192" spans="1:1" x14ac:dyDescent="0.25">
      <c r="A192" s="15"/>
    </row>
    <row r="193" spans="1:1" x14ac:dyDescent="0.25">
      <c r="A193" s="15"/>
    </row>
    <row r="194" spans="1:1" x14ac:dyDescent="0.25">
      <c r="A194" s="15"/>
    </row>
    <row r="195" spans="1:1" x14ac:dyDescent="0.25">
      <c r="A195" s="15"/>
    </row>
    <row r="196" spans="1:1" x14ac:dyDescent="0.25">
      <c r="A196" s="15"/>
    </row>
    <row r="197" spans="1:1" x14ac:dyDescent="0.25">
      <c r="A197" s="15"/>
    </row>
    <row r="198" spans="1:1" x14ac:dyDescent="0.25">
      <c r="A198" s="15"/>
    </row>
    <row r="199" spans="1:1" x14ac:dyDescent="0.25">
      <c r="A199" s="15"/>
    </row>
    <row r="200" spans="1:1" x14ac:dyDescent="0.25">
      <c r="A200" s="15"/>
    </row>
    <row r="201" spans="1:1" x14ac:dyDescent="0.25">
      <c r="A201" s="15"/>
    </row>
    <row r="202" spans="1:1" x14ac:dyDescent="0.25">
      <c r="A202" s="15"/>
    </row>
    <row r="203" spans="1:1" x14ac:dyDescent="0.25">
      <c r="A203" s="15"/>
    </row>
    <row r="204" spans="1:1" x14ac:dyDescent="0.25">
      <c r="A204" s="15"/>
    </row>
    <row r="205" spans="1:1" x14ac:dyDescent="0.25">
      <c r="A205" s="15"/>
    </row>
    <row r="206" spans="1:1" x14ac:dyDescent="0.25">
      <c r="A206" s="15"/>
    </row>
    <row r="207" spans="1:1" x14ac:dyDescent="0.25">
      <c r="A207" s="15"/>
    </row>
    <row r="208" spans="1:1" x14ac:dyDescent="0.25">
      <c r="A208" s="15"/>
    </row>
    <row r="209" spans="1:1" x14ac:dyDescent="0.25">
      <c r="A209" s="15"/>
    </row>
    <row r="210" spans="1:1" x14ac:dyDescent="0.25">
      <c r="A210" s="15"/>
    </row>
    <row r="211" spans="1:1" x14ac:dyDescent="0.25">
      <c r="A211" s="15"/>
    </row>
    <row r="212" spans="1:1" x14ac:dyDescent="0.25">
      <c r="A212" s="15"/>
    </row>
    <row r="213" spans="1:1" x14ac:dyDescent="0.25">
      <c r="A213" s="15"/>
    </row>
    <row r="214" spans="1:1" x14ac:dyDescent="0.25">
      <c r="A214" s="15"/>
    </row>
    <row r="215" spans="1:1" x14ac:dyDescent="0.25">
      <c r="A215" s="15"/>
    </row>
    <row r="216" spans="1:1" x14ac:dyDescent="0.25">
      <c r="A216" s="15"/>
    </row>
    <row r="217" spans="1:1" x14ac:dyDescent="0.25">
      <c r="A217" s="15"/>
    </row>
    <row r="218" spans="1:1" x14ac:dyDescent="0.25">
      <c r="A218" s="15"/>
    </row>
    <row r="219" spans="1:1" x14ac:dyDescent="0.25">
      <c r="A219" s="15"/>
    </row>
    <row r="220" spans="1:1" x14ac:dyDescent="0.25">
      <c r="A220" s="15"/>
    </row>
    <row r="221" spans="1:1" x14ac:dyDescent="0.25">
      <c r="A221" s="15"/>
    </row>
    <row r="222" spans="1:1" x14ac:dyDescent="0.25">
      <c r="A222" s="15"/>
    </row>
    <row r="223" spans="1:1" x14ac:dyDescent="0.25">
      <c r="A223" s="15"/>
    </row>
    <row r="224" spans="1:1" x14ac:dyDescent="0.25">
      <c r="A224" s="15"/>
    </row>
    <row r="225" spans="1:1" x14ac:dyDescent="0.25">
      <c r="A225" s="15"/>
    </row>
    <row r="226" spans="1:1" x14ac:dyDescent="0.25">
      <c r="A226" s="15"/>
    </row>
    <row r="227" spans="1:1" x14ac:dyDescent="0.25">
      <c r="A227" s="15"/>
    </row>
    <row r="228" spans="1:1" x14ac:dyDescent="0.25">
      <c r="A228" s="15"/>
    </row>
    <row r="229" spans="1:1" x14ac:dyDescent="0.25">
      <c r="A229" s="15"/>
    </row>
    <row r="230" spans="1:1" x14ac:dyDescent="0.25">
      <c r="A230" s="15"/>
    </row>
    <row r="231" spans="1:1" x14ac:dyDescent="0.25">
      <c r="A231" s="15"/>
    </row>
    <row r="232" spans="1:1" x14ac:dyDescent="0.25">
      <c r="A232" s="15"/>
    </row>
    <row r="233" spans="1:1" x14ac:dyDescent="0.25">
      <c r="A233" s="15"/>
    </row>
    <row r="234" spans="1:1" x14ac:dyDescent="0.25">
      <c r="A234" s="15"/>
    </row>
    <row r="235" spans="1:1" x14ac:dyDescent="0.25">
      <c r="A235" s="15"/>
    </row>
    <row r="236" spans="1:1" x14ac:dyDescent="0.25">
      <c r="A236" s="15"/>
    </row>
    <row r="237" spans="1:1" x14ac:dyDescent="0.25">
      <c r="A237" s="15"/>
    </row>
    <row r="238" spans="1:1" x14ac:dyDescent="0.25">
      <c r="A238" s="15"/>
    </row>
    <row r="239" spans="1:1" x14ac:dyDescent="0.25">
      <c r="A239" s="15"/>
    </row>
    <row r="240" spans="1:1" x14ac:dyDescent="0.25">
      <c r="A240" s="15"/>
    </row>
    <row r="241" spans="1:1" x14ac:dyDescent="0.25">
      <c r="A241" s="15"/>
    </row>
    <row r="242" spans="1:1" x14ac:dyDescent="0.25">
      <c r="A242" s="15"/>
    </row>
    <row r="243" spans="1:1" x14ac:dyDescent="0.25">
      <c r="A243" s="15"/>
    </row>
    <row r="244" spans="1:1" x14ac:dyDescent="0.25">
      <c r="A244" s="15"/>
    </row>
    <row r="245" spans="1:1" x14ac:dyDescent="0.25">
      <c r="A245" s="15"/>
    </row>
    <row r="246" spans="1:1" x14ac:dyDescent="0.25">
      <c r="A246" s="15"/>
    </row>
    <row r="247" spans="1:1" x14ac:dyDescent="0.25">
      <c r="A247" s="15"/>
    </row>
    <row r="248" spans="1:1" x14ac:dyDescent="0.25">
      <c r="A248" s="15"/>
    </row>
    <row r="249" spans="1:1" x14ac:dyDescent="0.25">
      <c r="A249" s="15"/>
    </row>
    <row r="250" spans="1:1" x14ac:dyDescent="0.25">
      <c r="A250" s="15"/>
    </row>
    <row r="251" spans="1:1" x14ac:dyDescent="0.25">
      <c r="A251" s="15"/>
    </row>
    <row r="252" spans="1:1" x14ac:dyDescent="0.25">
      <c r="A252" s="15"/>
    </row>
    <row r="253" spans="1:1" x14ac:dyDescent="0.25">
      <c r="A253" s="15"/>
    </row>
    <row r="254" spans="1:1" x14ac:dyDescent="0.25">
      <c r="A254" s="15"/>
    </row>
    <row r="255" spans="1:1" x14ac:dyDescent="0.25">
      <c r="A255" s="15"/>
    </row>
    <row r="256" spans="1:1" x14ac:dyDescent="0.25">
      <c r="A256" s="15"/>
    </row>
    <row r="257" spans="1:1" x14ac:dyDescent="0.25">
      <c r="A257" s="15"/>
    </row>
    <row r="258" spans="1:1" x14ac:dyDescent="0.25">
      <c r="A258" s="15"/>
    </row>
    <row r="259" spans="1:1" x14ac:dyDescent="0.25">
      <c r="A259" s="15"/>
    </row>
    <row r="260" spans="1:1" x14ac:dyDescent="0.25">
      <c r="A260" s="15"/>
    </row>
    <row r="261" spans="1:1" x14ac:dyDescent="0.25">
      <c r="A261" s="15"/>
    </row>
    <row r="262" spans="1:1" x14ac:dyDescent="0.25">
      <c r="A262" s="15"/>
    </row>
    <row r="263" spans="1:1" x14ac:dyDescent="0.25">
      <c r="A263" s="15"/>
    </row>
    <row r="264" spans="1:1" x14ac:dyDescent="0.25">
      <c r="A264" s="15"/>
    </row>
    <row r="265" spans="1:1" x14ac:dyDescent="0.25">
      <c r="A265" s="1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Ene_2016</vt:lpstr>
      <vt:lpstr>Feb_2016</vt:lpstr>
      <vt:lpstr>Mar_2016</vt:lpstr>
      <vt:lpstr>Abr_2016</vt:lpstr>
      <vt:lpstr>May_2016</vt:lpstr>
      <vt:lpstr>Jun_2015</vt:lpstr>
      <vt:lpstr>Jul_2015</vt:lpstr>
      <vt:lpstr>Ago_2015</vt:lpstr>
      <vt:lpstr>Sep_2015</vt:lpstr>
      <vt:lpstr>Oct_2015</vt:lpstr>
      <vt:lpstr>Nov_2015</vt:lpstr>
      <vt:lpstr>Dic_2015</vt:lpstr>
    </vt:vector>
  </TitlesOfParts>
  <Company>Equifax Inc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jaime.galindo</dc:creator>
  <cp:lastModifiedBy>Jaime Galindo Flores</cp:lastModifiedBy>
  <dcterms:created xsi:type="dcterms:W3CDTF">2011-06-30T17:50:02Z</dcterms:created>
  <dcterms:modified xsi:type="dcterms:W3CDTF">2016-12-23T15:00:17Z</dcterms:modified>
</cp:coreProperties>
</file>