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260" yWindow="740" windowWidth="14960" windowHeight="23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57" i="1"/>
  <c r="B255"/>
  <c r="A255"/>
  <c r="B230"/>
  <c r="A167"/>
  <c r="A166"/>
  <c r="A164"/>
  <c r="B162"/>
  <c r="A162"/>
  <c r="D141"/>
  <c r="D140"/>
  <c r="D137"/>
  <c r="B130"/>
  <c r="B128"/>
  <c r="B126"/>
  <c r="B125"/>
  <c r="B124"/>
  <c r="B120"/>
  <c r="C80"/>
  <c r="C82"/>
  <c r="B59"/>
  <c r="C59"/>
  <c r="B63"/>
  <c r="B61"/>
  <c r="B44"/>
  <c r="B46"/>
  <c r="B30"/>
  <c r="B28"/>
  <c r="B26"/>
  <c r="F24"/>
  <c r="E24"/>
  <c r="E23"/>
  <c r="C69"/>
  <c r="C70"/>
  <c r="C71"/>
  <c r="C72"/>
  <c r="C73"/>
  <c r="C74"/>
  <c r="C75"/>
  <c r="C76"/>
  <c r="C83"/>
  <c r="C78"/>
  <c r="C79"/>
  <c r="B48"/>
  <c r="E5"/>
  <c r="E54"/>
  <c r="C180"/>
  <c r="C181"/>
  <c r="C182"/>
  <c r="C183"/>
  <c r="C184"/>
  <c r="C185"/>
  <c r="C186"/>
  <c r="C187"/>
  <c r="C188"/>
  <c r="C189"/>
  <c r="C190"/>
  <c r="C191"/>
  <c r="C192"/>
  <c r="B196"/>
  <c r="E196"/>
  <c r="D198"/>
  <c r="E198"/>
  <c r="D231"/>
  <c r="F198"/>
  <c r="B241"/>
  <c r="E231"/>
  <c r="D199"/>
  <c r="E199"/>
  <c r="D232"/>
  <c r="F199"/>
  <c r="E232"/>
  <c r="D200"/>
  <c r="E200"/>
  <c r="D233"/>
  <c r="F200"/>
  <c r="E233"/>
  <c r="D201"/>
  <c r="E201"/>
  <c r="D234"/>
  <c r="F201"/>
  <c r="E234"/>
  <c r="D202"/>
  <c r="E202"/>
  <c r="D235"/>
  <c r="F202"/>
  <c r="E235"/>
  <c r="D203"/>
  <c r="E203"/>
  <c r="D236"/>
  <c r="F203"/>
  <c r="E236"/>
  <c r="D204"/>
  <c r="E204"/>
  <c r="D237"/>
  <c r="F204"/>
  <c r="E237"/>
  <c r="D205"/>
  <c r="E205"/>
  <c r="D238"/>
  <c r="F205"/>
  <c r="E238"/>
  <c r="D206"/>
  <c r="E206"/>
  <c r="D239"/>
  <c r="F206"/>
  <c r="E239"/>
  <c r="D207"/>
  <c r="E207"/>
  <c r="D240"/>
  <c r="F207"/>
  <c r="E240"/>
  <c r="D208"/>
  <c r="E208"/>
  <c r="D241"/>
  <c r="F208"/>
  <c r="E241"/>
  <c r="D209"/>
  <c r="E209"/>
  <c r="D242"/>
  <c r="F209"/>
  <c r="E242"/>
  <c r="D210"/>
  <c r="E210"/>
  <c r="D243"/>
  <c r="F210"/>
  <c r="E243"/>
  <c r="B236"/>
  <c r="B232"/>
  <c r="B234"/>
  <c r="D139"/>
  <c r="D138"/>
  <c r="C101"/>
  <c r="C102"/>
  <c r="C103"/>
  <c r="C104"/>
  <c r="C105"/>
  <c r="C106"/>
  <c r="C107"/>
  <c r="C108"/>
  <c r="C109"/>
  <c r="C110"/>
  <c r="C111"/>
  <c r="C112"/>
  <c r="C113"/>
  <c r="C114"/>
  <c r="C115"/>
  <c r="C116"/>
  <c r="C121"/>
  <c r="B121"/>
  <c r="A118"/>
  <c r="B118"/>
  <c r="F57"/>
  <c r="E57"/>
  <c r="E56"/>
  <c r="E42"/>
  <c r="E41"/>
  <c r="F42"/>
  <c r="E39"/>
  <c r="E21"/>
  <c r="E14"/>
  <c r="E13"/>
  <c r="E12"/>
  <c r="E11"/>
  <c r="E8"/>
  <c r="E7"/>
  <c r="E6"/>
</calcChain>
</file>

<file path=xl/sharedStrings.xml><?xml version="1.0" encoding="utf-8"?>
<sst xmlns="http://schemas.openxmlformats.org/spreadsheetml/2006/main" count="107" uniqueCount="73">
  <si>
    <t>Therefore, fail to reject the null hypothesis.</t>
    <phoneticPr fontId="2" type="noConversion"/>
  </si>
  <si>
    <t>Question 9</t>
    <phoneticPr fontId="2" type="noConversion"/>
  </si>
  <si>
    <t>N</t>
    <phoneticPr fontId="2" type="noConversion"/>
  </si>
  <si>
    <t xml:space="preserve">u_D is the </t>
    <phoneticPr fontId="2" type="noConversion"/>
  </si>
  <si>
    <t>difference between slide retrieval time and digital retrieval</t>
    <phoneticPr fontId="2" type="noConversion"/>
  </si>
  <si>
    <t>mean</t>
    <phoneticPr fontId="2" type="noConversion"/>
  </si>
  <si>
    <t>Slide</t>
    <phoneticPr fontId="2" type="noConversion"/>
  </si>
  <si>
    <t>Digital</t>
    <phoneticPr fontId="2" type="noConversion"/>
  </si>
  <si>
    <t>Difference</t>
    <phoneticPr fontId="2" type="noConversion"/>
  </si>
  <si>
    <t xml:space="preserve">Paired t confidence interval to estimate u_D requires difference to be </t>
    <phoneticPr fontId="2" type="noConversion"/>
  </si>
  <si>
    <t>normal</t>
    <phoneticPr fontId="2" type="noConversion"/>
  </si>
  <si>
    <t>s_d</t>
    <phoneticPr fontId="2" type="noConversion"/>
  </si>
  <si>
    <t>Sum(di)</t>
    <phoneticPr fontId="2" type="noConversion"/>
  </si>
  <si>
    <t>Error Bar</t>
    <phoneticPr fontId="2" type="noConversion"/>
  </si>
  <si>
    <t>D</t>
    <phoneticPr fontId="2" type="noConversion"/>
  </si>
  <si>
    <t>D_critical (KS)</t>
    <phoneticPr fontId="2" type="noConversion"/>
  </si>
  <si>
    <t>R</t>
    <phoneticPr fontId="2" type="noConversion"/>
  </si>
  <si>
    <t>i/N</t>
    <phoneticPr fontId="2" type="noConversion"/>
  </si>
  <si>
    <t>P_gaussian</t>
    <phoneticPr fontId="2" type="noConversion"/>
  </si>
  <si>
    <t>(i-1)/N</t>
    <phoneticPr fontId="2" type="noConversion"/>
  </si>
  <si>
    <t>Pg-(i-1)/N</t>
    <phoneticPr fontId="2" type="noConversion"/>
  </si>
  <si>
    <t>i/N-Pg</t>
    <phoneticPr fontId="2" type="noConversion"/>
  </si>
  <si>
    <t>m</t>
    <phoneticPr fontId="2" type="noConversion"/>
  </si>
  <si>
    <t>n</t>
    <phoneticPr fontId="2" type="noConversion"/>
  </si>
  <si>
    <t>s1</t>
    <phoneticPr fontId="2" type="noConversion"/>
  </si>
  <si>
    <t>s2</t>
    <phoneticPr fontId="2" type="noConversion"/>
  </si>
  <si>
    <t>n_dof</t>
    <phoneticPr fontId="2" type="noConversion"/>
  </si>
  <si>
    <t>Round Down</t>
    <phoneticPr fontId="2" type="noConversion"/>
  </si>
  <si>
    <t xml:space="preserve">m </t>
    <phoneticPr fontId="2" type="noConversion"/>
  </si>
  <si>
    <t>n</t>
    <phoneticPr fontId="2" type="noConversion"/>
  </si>
  <si>
    <t>s1</t>
    <phoneticPr fontId="2" type="noConversion"/>
  </si>
  <si>
    <t>t</t>
    <phoneticPr fontId="2" type="noConversion"/>
  </si>
  <si>
    <t>y1_bar</t>
    <phoneticPr fontId="2" type="noConversion"/>
  </si>
  <si>
    <t>y2_bar</t>
    <phoneticPr fontId="2" type="noConversion"/>
  </si>
  <si>
    <t>SEM</t>
    <phoneticPr fontId="2" type="noConversion"/>
  </si>
  <si>
    <t>t_critical</t>
    <phoneticPr fontId="2" type="noConversion"/>
  </si>
  <si>
    <t>Since t &gt; t_critical, reject H0.</t>
    <phoneticPr fontId="2" type="noConversion"/>
  </si>
  <si>
    <t>Question 1</t>
    <phoneticPr fontId="2" type="noConversion"/>
  </si>
  <si>
    <t>Question 2</t>
    <phoneticPr fontId="2" type="noConversion"/>
  </si>
  <si>
    <t>Question 3</t>
    <phoneticPr fontId="2" type="noConversion"/>
  </si>
  <si>
    <t>n</t>
    <phoneticPr fontId="2" type="noConversion"/>
  </si>
  <si>
    <t>s1</t>
    <phoneticPr fontId="2" type="noConversion"/>
  </si>
  <si>
    <t>y1_bar</t>
    <phoneticPr fontId="2" type="noConversion"/>
  </si>
  <si>
    <t>SEM</t>
    <phoneticPr fontId="2" type="noConversion"/>
  </si>
  <si>
    <t>t</t>
    <phoneticPr fontId="2" type="noConversion"/>
  </si>
  <si>
    <t>t_critical</t>
    <phoneticPr fontId="2" type="noConversion"/>
  </si>
  <si>
    <t>Question 4</t>
    <phoneticPr fontId="2" type="noConversion"/>
  </si>
  <si>
    <t>F</t>
    <phoneticPr fontId="2" type="noConversion"/>
  </si>
  <si>
    <t>F_critical</t>
    <phoneticPr fontId="2" type="noConversion"/>
  </si>
  <si>
    <t>Therefore, sigmas are equal</t>
    <phoneticPr fontId="2" type="noConversion"/>
  </si>
  <si>
    <t>Therefore, sigmas are not equal!!!</t>
    <phoneticPr fontId="2" type="noConversion"/>
  </si>
  <si>
    <t>U</t>
    <phoneticPr fontId="2" type="noConversion"/>
  </si>
  <si>
    <t>A</t>
    <phoneticPr fontId="2" type="noConversion"/>
  </si>
  <si>
    <t>U-A</t>
    <phoneticPr fontId="2" type="noConversion"/>
  </si>
  <si>
    <t>d_bar</t>
    <phoneticPr fontId="2" type="noConversion"/>
  </si>
  <si>
    <t>s_d</t>
    <phoneticPr fontId="2" type="noConversion"/>
  </si>
  <si>
    <t>Question 5</t>
    <phoneticPr fontId="2" type="noConversion"/>
  </si>
  <si>
    <t>Question 6</t>
    <phoneticPr fontId="2" type="noConversion"/>
  </si>
  <si>
    <t>s_d</t>
    <phoneticPr fontId="2" type="noConversion"/>
  </si>
  <si>
    <t>SEM</t>
    <phoneticPr fontId="2" type="noConversion"/>
  </si>
  <si>
    <t>Upper Bound</t>
    <phoneticPr fontId="2" type="noConversion"/>
  </si>
  <si>
    <t>Question 7</t>
    <phoneticPr fontId="2" type="noConversion"/>
  </si>
  <si>
    <t>nu_1</t>
    <phoneticPr fontId="2" type="noConversion"/>
  </si>
  <si>
    <t>nu_2</t>
    <phoneticPr fontId="2" type="noConversion"/>
  </si>
  <si>
    <t>f</t>
    <phoneticPr fontId="2" type="noConversion"/>
  </si>
  <si>
    <t>fdist</t>
    <phoneticPr fontId="2" type="noConversion"/>
  </si>
  <si>
    <t>Question 8</t>
    <phoneticPr fontId="2" type="noConversion"/>
  </si>
  <si>
    <t>YF</t>
    <phoneticPr fontId="2" type="noConversion"/>
  </si>
  <si>
    <t>OF</t>
    <phoneticPr fontId="2" type="noConversion"/>
  </si>
  <si>
    <t>Variance</t>
    <phoneticPr fontId="2" type="noConversion"/>
  </si>
  <si>
    <t>F</t>
    <phoneticPr fontId="2" type="noConversion"/>
  </si>
  <si>
    <t>F_max</t>
    <phoneticPr fontId="2" type="noConversion"/>
  </si>
  <si>
    <t>F_min</t>
    <phoneticPr fontId="2" type="noConversion"/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</si>
</sst>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69" formatCode="0.000"/>
    <numFmt numFmtId="170" formatCode="0.0000000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/>
    <xf numFmtId="169" fontId="0" fillId="0" borderId="0" xfId="0" applyNumberFormat="1"/>
    <xf numFmtId="168" fontId="3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Sheet1!$D$198:$D$210</c:f>
              <c:numCache>
                <c:formatCode>General</c:formatCode>
                <c:ptCount val="13"/>
                <c:pt idx="0">
                  <c:v>0.0969847145787286</c:v>
                </c:pt>
                <c:pt idx="1">
                  <c:v>0.189171207905057</c:v>
                </c:pt>
                <c:pt idx="2">
                  <c:v>0.189171207905057</c:v>
                </c:pt>
                <c:pt idx="3">
                  <c:v>0.189171207905057</c:v>
                </c:pt>
                <c:pt idx="4">
                  <c:v>0.292334465161427</c:v>
                </c:pt>
                <c:pt idx="5">
                  <c:v>0.292334465161427</c:v>
                </c:pt>
                <c:pt idx="6">
                  <c:v>0.448834509456376</c:v>
                </c:pt>
                <c:pt idx="7">
                  <c:v>0.581514871160234</c:v>
                </c:pt>
                <c:pt idx="8">
                  <c:v>0.645410469874942</c:v>
                </c:pt>
                <c:pt idx="9">
                  <c:v>0.645410469874942</c:v>
                </c:pt>
                <c:pt idx="10">
                  <c:v>0.73360133399073</c:v>
                </c:pt>
                <c:pt idx="11">
                  <c:v>0.92781150606169</c:v>
                </c:pt>
                <c:pt idx="12">
                  <c:v>0.983349593073345</c:v>
                </c:pt>
              </c:numCache>
            </c:numRef>
          </c:xVal>
          <c:yVal>
            <c:numRef>
              <c:f>Sheet1!$E$198:$E$210</c:f>
              <c:numCache>
                <c:formatCode>General</c:formatCode>
                <c:ptCount val="13"/>
                <c:pt idx="0">
                  <c:v>0.0</c:v>
                </c:pt>
                <c:pt idx="1">
                  <c:v>0.0769230769230769</c:v>
                </c:pt>
                <c:pt idx="2">
                  <c:v>0.153846153846154</c:v>
                </c:pt>
                <c:pt idx="3">
                  <c:v>0.230769230769231</c:v>
                </c:pt>
                <c:pt idx="4">
                  <c:v>0.307692307692308</c:v>
                </c:pt>
                <c:pt idx="5">
                  <c:v>0.384615384615385</c:v>
                </c:pt>
                <c:pt idx="6">
                  <c:v>0.461538461538462</c:v>
                </c:pt>
                <c:pt idx="7">
                  <c:v>0.538461538461538</c:v>
                </c:pt>
                <c:pt idx="8">
                  <c:v>0.615384615384615</c:v>
                </c:pt>
                <c:pt idx="9">
                  <c:v>0.692307692307692</c:v>
                </c:pt>
                <c:pt idx="10">
                  <c:v>0.769230769230769</c:v>
                </c:pt>
                <c:pt idx="11">
                  <c:v>0.846153846153846</c:v>
                </c:pt>
                <c:pt idx="12">
                  <c:v>0.923076923076923</c:v>
                </c:pt>
              </c:numCache>
            </c:numRef>
          </c:yVal>
        </c:ser>
        <c:axId val="366451192"/>
        <c:axId val="329344744"/>
      </c:scatterChart>
      <c:valAx>
        <c:axId val="366451192"/>
        <c:scaling>
          <c:orientation val="minMax"/>
        </c:scaling>
        <c:axPos val="b"/>
        <c:numFmt formatCode="General" sourceLinked="1"/>
        <c:tickLblPos val="nextTo"/>
        <c:crossAx val="329344744"/>
        <c:crosses val="autoZero"/>
        <c:crossBetween val="midCat"/>
      </c:valAx>
      <c:valAx>
        <c:axId val="329344744"/>
        <c:scaling>
          <c:orientation val="minMax"/>
          <c:max val="1.0"/>
          <c:min val="0.0"/>
        </c:scaling>
        <c:axPos val="l"/>
        <c:majorGridlines/>
        <c:numFmt formatCode="General" sourceLinked="1"/>
        <c:tickLblPos val="nextTo"/>
        <c:crossAx val="366451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210</xdr:row>
      <xdr:rowOff>139700</xdr:rowOff>
    </xdr:from>
    <xdr:to>
      <xdr:col>5</xdr:col>
      <xdr:colOff>774700</xdr:colOff>
      <xdr:row>228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57"/>
  <sheetViews>
    <sheetView tabSelected="1" view="pageLayout" topLeftCell="A243" workbookViewId="0">
      <selection activeCell="A258" sqref="A258"/>
    </sheetView>
  </sheetViews>
  <sheetFormatPr baseColWidth="10" defaultRowHeight="13"/>
  <cols>
    <col min="5" max="5" width="11.7109375" bestFit="1" customWidth="1"/>
    <col min="7" max="7" width="12.28515625" bestFit="1" customWidth="1"/>
  </cols>
  <sheetData>
    <row r="1" spans="1:6">
      <c r="A1" s="3" t="s">
        <v>37</v>
      </c>
    </row>
    <row r="3" spans="1:6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</row>
    <row r="5" spans="1:6">
      <c r="A5">
        <v>6</v>
      </c>
      <c r="B5">
        <v>12</v>
      </c>
      <c r="C5">
        <v>5</v>
      </c>
      <c r="D5">
        <v>6.5</v>
      </c>
      <c r="E5" s="1">
        <f>((C5^2/A5+D5^2/B5))^2/((C5^2/A5)^2/(A5-1)+(D5^2/B5)^2/(B5-1))</f>
        <v>12.849675277322602</v>
      </c>
      <c r="F5" s="2">
        <v>12</v>
      </c>
    </row>
    <row r="6" spans="1:6">
      <c r="A6">
        <v>6</v>
      </c>
      <c r="B6">
        <v>20</v>
      </c>
      <c r="C6">
        <v>5.2</v>
      </c>
      <c r="D6">
        <v>6.5</v>
      </c>
      <c r="E6" s="1">
        <f>((C6^2/A6+D6^2/B6))^2/((C6^2/A6)^2/(A6-1)+(D6^2/B6)^2/(B6-1))</f>
        <v>10.196540498518049</v>
      </c>
      <c r="F6" s="2">
        <v>10</v>
      </c>
    </row>
    <row r="7" spans="1:6">
      <c r="A7">
        <v>11</v>
      </c>
      <c r="B7">
        <v>13</v>
      </c>
      <c r="C7">
        <v>2.2000000000000002</v>
      </c>
      <c r="D7">
        <v>5.8</v>
      </c>
      <c r="E7" s="1">
        <f>((C7^2/A7+D7^2/B7))^2/((C7^2/A7)^2/(A7-1)+(D7^2/B7)^2/(B7-1))</f>
        <v>15.876957688217781</v>
      </c>
      <c r="F7" s="2">
        <v>15</v>
      </c>
    </row>
    <row r="8" spans="1:6">
      <c r="A8">
        <v>10</v>
      </c>
      <c r="B8">
        <v>22</v>
      </c>
      <c r="C8">
        <v>4</v>
      </c>
      <c r="D8">
        <v>7.1</v>
      </c>
      <c r="E8" s="1">
        <f>((C8^2/A8+D8^2/B8))^2/((C8^2/A8)^2/(A8-1)+(D8^2/B8)^2/(B8-1))</f>
        <v>28.3326780179572</v>
      </c>
      <c r="F8" s="2">
        <v>28</v>
      </c>
    </row>
    <row r="11" spans="1:6">
      <c r="A11">
        <v>6</v>
      </c>
      <c r="B11">
        <v>12</v>
      </c>
      <c r="C11">
        <v>5</v>
      </c>
      <c r="D11">
        <v>6.5</v>
      </c>
      <c r="E11" s="1">
        <f>((C11^2/A11+D11^2/B11))^2/((C11^2/A11)^2/(A11+1)+(D11^2/B11)^2/(B11+1))-2</f>
        <v>15.2109825023926</v>
      </c>
    </row>
    <row r="12" spans="1:6">
      <c r="A12">
        <v>6</v>
      </c>
      <c r="B12">
        <v>20</v>
      </c>
      <c r="C12">
        <v>5.2</v>
      </c>
      <c r="D12">
        <v>6.5</v>
      </c>
      <c r="E12" s="1">
        <f t="shared" ref="E12:E14" si="0">((C12^2/A12+D12^2/B12))^2/((C12^2/A12)^2/(A12+1)+(D12^2/B12)^2/(B12+1))-2</f>
        <v>12.070063694267514</v>
      </c>
    </row>
    <row r="13" spans="1:6">
      <c r="A13">
        <v>11</v>
      </c>
      <c r="B13">
        <v>13</v>
      </c>
      <c r="C13">
        <v>2.2000000000000002</v>
      </c>
      <c r="D13">
        <v>5.8</v>
      </c>
      <c r="E13" s="1">
        <f t="shared" si="0"/>
        <v>16.54038623342738</v>
      </c>
    </row>
    <row r="14" spans="1:6">
      <c r="A14">
        <v>10</v>
      </c>
      <c r="B14">
        <v>22</v>
      </c>
      <c r="C14">
        <v>4</v>
      </c>
      <c r="D14">
        <v>7.1</v>
      </c>
      <c r="E14" s="1">
        <f t="shared" si="0"/>
        <v>30.847298112365308</v>
      </c>
    </row>
    <row r="17" spans="1:6">
      <c r="A17" s="3" t="s">
        <v>38</v>
      </c>
    </row>
    <row r="19" spans="1:6">
      <c r="A19" t="s">
        <v>28</v>
      </c>
      <c r="B19" t="s">
        <v>29</v>
      </c>
      <c r="C19" t="s">
        <v>30</v>
      </c>
      <c r="D19" t="s">
        <v>25</v>
      </c>
      <c r="E19" t="s">
        <v>26</v>
      </c>
      <c r="F19" t="s">
        <v>27</v>
      </c>
    </row>
    <row r="21" spans="1:6">
      <c r="A21">
        <v>6</v>
      </c>
      <c r="B21">
        <v>5</v>
      </c>
      <c r="C21">
        <v>0.154</v>
      </c>
      <c r="D21">
        <v>0.224</v>
      </c>
      <c r="E21" s="1">
        <f>((C21^2/A21+D21^2/B21))^2/((C21^2/A21)^2/(A21-1)+(D21^2/B21)^2/(B21-1))</f>
        <v>6.913545259709605</v>
      </c>
      <c r="F21" s="2">
        <v>6</v>
      </c>
    </row>
    <row r="23" spans="1:6">
      <c r="A23" t="s">
        <v>32</v>
      </c>
      <c r="B23" t="s">
        <v>33</v>
      </c>
      <c r="D23" t="s">
        <v>47</v>
      </c>
      <c r="E23">
        <f>C21^2/D21^2</f>
        <v>0.47265624999999994</v>
      </c>
    </row>
    <row r="24" spans="1:6">
      <c r="A24">
        <v>23.45</v>
      </c>
      <c r="B24">
        <v>20.69</v>
      </c>
      <c r="D24" t="s">
        <v>48</v>
      </c>
      <c r="E24">
        <f>FINV(0.025,A21,B21)</f>
        <v>6.9777018587071744</v>
      </c>
      <c r="F24">
        <f>FINV(0.975,A21,B21)</f>
        <v>0.16701279717667145</v>
      </c>
    </row>
    <row r="26" spans="1:6">
      <c r="A26" t="s">
        <v>34</v>
      </c>
      <c r="B26">
        <f>SQRT(C21^2/A21+D21^2/B21)</f>
        <v>0.1182703118566391</v>
      </c>
      <c r="D26" t="s">
        <v>49</v>
      </c>
    </row>
    <row r="28" spans="1:6">
      <c r="A28" t="s">
        <v>31</v>
      </c>
      <c r="B28" s="5">
        <f>(A24-B24)/B26</f>
        <v>23.336372050371537</v>
      </c>
    </row>
    <row r="29" spans="1:6">
      <c r="B29" s="4"/>
    </row>
    <row r="30" spans="1:6">
      <c r="A30" t="s">
        <v>35</v>
      </c>
      <c r="B30" s="4">
        <f>TINV(0.1,F21)</f>
        <v>1.943180274291977</v>
      </c>
    </row>
    <row r="32" spans="1:6">
      <c r="A32" t="s">
        <v>36</v>
      </c>
    </row>
    <row r="35" spans="1:6">
      <c r="A35" s="3" t="s">
        <v>39</v>
      </c>
    </row>
    <row r="37" spans="1:6">
      <c r="A37" t="s">
        <v>22</v>
      </c>
      <c r="B37" t="s">
        <v>40</v>
      </c>
      <c r="C37" t="s">
        <v>41</v>
      </c>
      <c r="D37" t="s">
        <v>25</v>
      </c>
      <c r="E37" t="s">
        <v>26</v>
      </c>
      <c r="F37" t="s">
        <v>27</v>
      </c>
    </row>
    <row r="39" spans="1:6">
      <c r="A39">
        <v>6</v>
      </c>
      <c r="B39">
        <v>11</v>
      </c>
      <c r="C39">
        <v>0.52</v>
      </c>
      <c r="D39">
        <v>0.95</v>
      </c>
      <c r="E39" s="13">
        <f>((C39^2/A39+D39^2/B39))^2/((C39^2/A39)^2/(A39-1)+(D39^2/B39)^2/(B39-1))</f>
        <v>14.96969750666057</v>
      </c>
      <c r="F39">
        <v>14</v>
      </c>
    </row>
    <row r="41" spans="1:6">
      <c r="A41" t="s">
        <v>42</v>
      </c>
      <c r="B41" t="s">
        <v>33</v>
      </c>
      <c r="D41" t="s">
        <v>47</v>
      </c>
      <c r="E41">
        <f>C39^2/D39^2</f>
        <v>0.29961218836565101</v>
      </c>
    </row>
    <row r="42" spans="1:6">
      <c r="A42">
        <v>1.78</v>
      </c>
      <c r="B42">
        <v>2.57</v>
      </c>
      <c r="D42" t="s">
        <v>48</v>
      </c>
      <c r="E42">
        <f>FINV(0.025,A39,B39)</f>
        <v>3.8806511690196253</v>
      </c>
      <c r="F42">
        <f>FINV(0.975,A39,B39)</f>
        <v>0.18485104890776666</v>
      </c>
    </row>
    <row r="44" spans="1:6">
      <c r="A44" t="s">
        <v>43</v>
      </c>
      <c r="B44">
        <f>SQRT(C39^2/A39+D39^2/B39)</f>
        <v>0.35652786877342596</v>
      </c>
      <c r="D44" t="s">
        <v>49</v>
      </c>
    </row>
    <row r="46" spans="1:6">
      <c r="A46" t="s">
        <v>44</v>
      </c>
      <c r="B46" s="5">
        <f>ABS((A42-B42)/B44)</f>
        <v>2.2158155622388276</v>
      </c>
    </row>
    <row r="47" spans="1:6">
      <c r="B47" s="4"/>
    </row>
    <row r="48" spans="1:6">
      <c r="A48" t="s">
        <v>45</v>
      </c>
      <c r="B48" s="5">
        <f>TINV(0.02,F39)</f>
        <v>2.6244940644958863</v>
      </c>
    </row>
    <row r="50" spans="1:6">
      <c r="A50" s="3" t="s">
        <v>46</v>
      </c>
    </row>
    <row r="52" spans="1:6">
      <c r="A52" t="s">
        <v>22</v>
      </c>
      <c r="B52" t="s">
        <v>40</v>
      </c>
      <c r="C52" t="s">
        <v>41</v>
      </c>
      <c r="D52" t="s">
        <v>25</v>
      </c>
      <c r="E52" t="s">
        <v>26</v>
      </c>
      <c r="F52" t="s">
        <v>27</v>
      </c>
    </row>
    <row r="54" spans="1:6">
      <c r="A54">
        <v>12</v>
      </c>
      <c r="B54">
        <v>12</v>
      </c>
      <c r="C54">
        <v>1.54</v>
      </c>
      <c r="D54">
        <v>4.01</v>
      </c>
      <c r="E54" s="1">
        <f>((C54^2/A54+D54^2/B54))^2/((C54^2/A54)^2/(A54-1)+(D54^2/B54)^2/(B54-1))</f>
        <v>14.175628923426503</v>
      </c>
      <c r="F54" s="2">
        <v>14</v>
      </c>
    </row>
    <row r="56" spans="1:6">
      <c r="A56" t="s">
        <v>42</v>
      </c>
      <c r="B56" t="s">
        <v>33</v>
      </c>
      <c r="D56" t="s">
        <v>47</v>
      </c>
      <c r="E56">
        <f>C54^2/D54^2</f>
        <v>0.1474866449835511</v>
      </c>
    </row>
    <row r="57" spans="1:6">
      <c r="A57">
        <v>18.48</v>
      </c>
      <c r="B57">
        <v>23.78</v>
      </c>
      <c r="D57" t="s">
        <v>48</v>
      </c>
      <c r="E57">
        <f>FINV(0.025,A54,B54)</f>
        <v>3.2772770941668954</v>
      </c>
      <c r="F57">
        <f>FINV(0.975,A54,B54)</f>
        <v>0.30513135486159038</v>
      </c>
    </row>
    <row r="59" spans="1:6">
      <c r="A59" t="s">
        <v>43</v>
      </c>
      <c r="B59">
        <f>SQRT(C54^2/A54+D54^2/B54)</f>
        <v>1.2400168009614494</v>
      </c>
      <c r="C59">
        <f>SQRT(((A54-1)*C54^2+(B54-1)*D54^2)/(A54+B54-2)*(1/A54+1/B54))</f>
        <v>1.2400168009614494</v>
      </c>
      <c r="D59" t="s">
        <v>50</v>
      </c>
    </row>
    <row r="61" spans="1:6">
      <c r="A61" t="s">
        <v>44</v>
      </c>
      <c r="B61" s="5">
        <f>(A57-B57)/B59</f>
        <v>-4.274135637428973</v>
      </c>
    </row>
    <row r="62" spans="1:6">
      <c r="B62" s="4"/>
    </row>
    <row r="63" spans="1:6">
      <c r="A63" t="s">
        <v>45</v>
      </c>
      <c r="B63" s="5">
        <f>TINV(0.1,F54)</f>
        <v>1.7613101150619617</v>
      </c>
    </row>
    <row r="66" spans="1:4">
      <c r="A66" s="3" t="s">
        <v>56</v>
      </c>
    </row>
    <row r="68" spans="1:4">
      <c r="A68" t="s">
        <v>51</v>
      </c>
      <c r="B68" t="s">
        <v>52</v>
      </c>
      <c r="C68" t="s">
        <v>53</v>
      </c>
    </row>
    <row r="69" spans="1:4">
      <c r="A69">
        <v>31.1</v>
      </c>
      <c r="B69">
        <v>28.7</v>
      </c>
      <c r="C69">
        <f>A69-B69</f>
        <v>2.4000000000000021</v>
      </c>
    </row>
    <row r="70" spans="1:4">
      <c r="A70">
        <v>55</v>
      </c>
      <c r="B70">
        <v>20</v>
      </c>
      <c r="C70">
        <f t="shared" ref="C70:C76" si="1">A70-B70</f>
        <v>35</v>
      </c>
    </row>
    <row r="71" spans="1:4">
      <c r="A71">
        <v>50.4</v>
      </c>
      <c r="B71">
        <v>47.1</v>
      </c>
      <c r="C71">
        <f t="shared" si="1"/>
        <v>3.2999999999999972</v>
      </c>
    </row>
    <row r="72" spans="1:4">
      <c r="A72">
        <v>38.700000000000003</v>
      </c>
      <c r="B72">
        <v>34.5</v>
      </c>
      <c r="C72">
        <f t="shared" si="1"/>
        <v>4.2000000000000028</v>
      </c>
    </row>
    <row r="73" spans="1:4">
      <c r="A73">
        <v>41.3</v>
      </c>
      <c r="B73">
        <v>32.1</v>
      </c>
      <c r="C73">
        <f t="shared" si="1"/>
        <v>9.1999999999999957</v>
      </c>
    </row>
    <row r="74" spans="1:4">
      <c r="A74">
        <v>48.8</v>
      </c>
      <c r="B74">
        <v>52.5</v>
      </c>
      <c r="C74">
        <f t="shared" si="1"/>
        <v>-3.7000000000000028</v>
      </c>
    </row>
    <row r="75" spans="1:4">
      <c r="A75">
        <v>27.7</v>
      </c>
      <c r="B75">
        <v>25.9</v>
      </c>
      <c r="C75">
        <f t="shared" si="1"/>
        <v>1.8000000000000007</v>
      </c>
    </row>
    <row r="76" spans="1:4">
      <c r="A76">
        <v>49.8</v>
      </c>
      <c r="B76">
        <v>46.5</v>
      </c>
      <c r="C76">
        <f t="shared" si="1"/>
        <v>3.2999999999999972</v>
      </c>
    </row>
    <row r="78" spans="1:4">
      <c r="C78">
        <f>AVERAGE(C69:C77)</f>
        <v>6.9375</v>
      </c>
      <c r="D78" t="s">
        <v>54</v>
      </c>
    </row>
    <row r="79" spans="1:4">
      <c r="C79">
        <f>STDEV(C69:C76)</f>
        <v>11.872650143441918</v>
      </c>
      <c r="D79" t="s">
        <v>55</v>
      </c>
    </row>
    <row r="80" spans="1:4">
      <c r="C80">
        <f>C79/SQRT(COUNT(C69:C76))</f>
        <v>4.1976157135416079</v>
      </c>
      <c r="D80" t="s">
        <v>34</v>
      </c>
    </row>
    <row r="82" spans="1:4">
      <c r="C82" s="5">
        <f>C78/C80</f>
        <v>1.6527239446001358</v>
      </c>
      <c r="D82" t="s">
        <v>31</v>
      </c>
    </row>
    <row r="83" spans="1:4">
      <c r="C83" s="5">
        <f>TINV(0.02,COUNT(C69:C76)-1)</f>
        <v>2.9979515663577763</v>
      </c>
      <c r="D83" t="s">
        <v>45</v>
      </c>
    </row>
    <row r="85" spans="1:4">
      <c r="A85" s="3"/>
    </row>
    <row r="99" spans="1:3">
      <c r="A99" s="3" t="s">
        <v>57</v>
      </c>
    </row>
    <row r="101" spans="1:3">
      <c r="A101">
        <v>10594</v>
      </c>
      <c r="B101">
        <v>9867</v>
      </c>
      <c r="C101">
        <f>A101-B101</f>
        <v>727</v>
      </c>
    </row>
    <row r="102" spans="1:3">
      <c r="A102">
        <v>16620</v>
      </c>
      <c r="B102">
        <v>13250</v>
      </c>
      <c r="C102">
        <f t="shared" ref="C102:C116" si="2">A102-B102</f>
        <v>3370</v>
      </c>
    </row>
    <row r="103" spans="1:3">
      <c r="A103">
        <v>17300</v>
      </c>
      <c r="B103">
        <v>14720</v>
      </c>
      <c r="C103">
        <f t="shared" si="2"/>
        <v>2580</v>
      </c>
    </row>
    <row r="104" spans="1:3">
      <c r="A104">
        <v>15083</v>
      </c>
      <c r="B104">
        <v>12627</v>
      </c>
      <c r="C104">
        <f t="shared" si="2"/>
        <v>2456</v>
      </c>
    </row>
    <row r="105" spans="1:3">
      <c r="A105">
        <v>12970</v>
      </c>
      <c r="B105">
        <v>10120</v>
      </c>
      <c r="C105">
        <f t="shared" si="2"/>
        <v>2850</v>
      </c>
    </row>
    <row r="106" spans="1:3">
      <c r="A106">
        <v>17260</v>
      </c>
      <c r="B106">
        <v>14570</v>
      </c>
      <c r="C106">
        <f t="shared" si="2"/>
        <v>2690</v>
      </c>
    </row>
    <row r="107" spans="1:3">
      <c r="A107">
        <v>13400</v>
      </c>
      <c r="B107">
        <v>11220</v>
      </c>
      <c r="C107">
        <f t="shared" si="2"/>
        <v>2180</v>
      </c>
    </row>
    <row r="108" spans="1:3">
      <c r="A108">
        <v>13818</v>
      </c>
      <c r="B108">
        <v>11572</v>
      </c>
      <c r="C108">
        <f t="shared" si="2"/>
        <v>2246</v>
      </c>
    </row>
    <row r="109" spans="1:3">
      <c r="A109">
        <v>13630</v>
      </c>
      <c r="B109">
        <v>11420</v>
      </c>
      <c r="C109">
        <f t="shared" si="2"/>
        <v>2210</v>
      </c>
    </row>
    <row r="110" spans="1:3">
      <c r="A110">
        <v>13260</v>
      </c>
      <c r="B110">
        <v>10910</v>
      </c>
      <c r="C110">
        <f t="shared" si="2"/>
        <v>2350</v>
      </c>
    </row>
    <row r="111" spans="1:3">
      <c r="A111">
        <v>14370</v>
      </c>
      <c r="B111">
        <v>12110</v>
      </c>
      <c r="C111">
        <f t="shared" si="2"/>
        <v>2260</v>
      </c>
    </row>
    <row r="112" spans="1:3">
      <c r="A112">
        <v>11191</v>
      </c>
      <c r="B112">
        <v>8079</v>
      </c>
      <c r="C112">
        <f t="shared" si="2"/>
        <v>3112</v>
      </c>
    </row>
    <row r="113" spans="1:3">
      <c r="A113">
        <v>15470</v>
      </c>
      <c r="B113">
        <v>12590</v>
      </c>
      <c r="C113">
        <f t="shared" si="2"/>
        <v>2880</v>
      </c>
    </row>
    <row r="114" spans="1:3">
      <c r="A114">
        <v>17840</v>
      </c>
      <c r="B114">
        <v>15090</v>
      </c>
      <c r="C114">
        <f t="shared" si="2"/>
        <v>2750</v>
      </c>
    </row>
    <row r="115" spans="1:3">
      <c r="A115">
        <v>14070</v>
      </c>
      <c r="B115">
        <v>10550</v>
      </c>
      <c r="C115">
        <f t="shared" si="2"/>
        <v>3520</v>
      </c>
    </row>
    <row r="116" spans="1:3">
      <c r="A116">
        <v>14319</v>
      </c>
      <c r="B116">
        <v>12441</v>
      </c>
      <c r="C116">
        <f t="shared" si="2"/>
        <v>1878</v>
      </c>
    </row>
    <row r="118" spans="1:3">
      <c r="A118">
        <f>STDEV(A101:A116)</f>
        <v>2083.2552962051163</v>
      </c>
      <c r="B118">
        <f>STDEV(B101:B116)</f>
        <v>1895.4677171259516</v>
      </c>
    </row>
    <row r="120" spans="1:3">
      <c r="A120" t="s">
        <v>47</v>
      </c>
      <c r="B120">
        <f>A118^2/B118^2</f>
        <v>1.2079590308800752</v>
      </c>
    </row>
    <row r="121" spans="1:3">
      <c r="A121" t="s">
        <v>48</v>
      </c>
      <c r="B121">
        <f>FINV(0.975,COUNT(A101:A116)-1,COUNT(B101:B116)-1)</f>
        <v>0.34939471358413465</v>
      </c>
      <c r="C121">
        <f>FINV(0.025,COUNT(A101:A116)-1,COUNT(B101:B116)-1)</f>
        <v>2.8620925306564491</v>
      </c>
    </row>
    <row r="122" spans="1:3">
      <c r="A122" t="s">
        <v>49</v>
      </c>
    </row>
    <row r="124" spans="1:3">
      <c r="A124" t="s">
        <v>54</v>
      </c>
      <c r="B124">
        <f>AVERAGE(C101:C116)</f>
        <v>2503.6875</v>
      </c>
    </row>
    <row r="125" spans="1:3">
      <c r="A125" t="s">
        <v>58</v>
      </c>
      <c r="B125">
        <f>STDEV(C101:C116)</f>
        <v>653.5539476584928</v>
      </c>
    </row>
    <row r="126" spans="1:3">
      <c r="A126" t="s">
        <v>59</v>
      </c>
      <c r="B126">
        <f>B125/SQRT(COUNT(C101:C116))</f>
        <v>163.3884869146232</v>
      </c>
    </row>
    <row r="128" spans="1:3">
      <c r="A128" t="s">
        <v>35</v>
      </c>
      <c r="B128">
        <f>TINV(0.1,COUNT(C101:C116)-1)</f>
        <v>1.7530503252078615</v>
      </c>
    </row>
    <row r="130" spans="1:4">
      <c r="A130" t="s">
        <v>60</v>
      </c>
      <c r="B130" s="6">
        <f>B124+B128*B126</f>
        <v>2790.1157401209007</v>
      </c>
    </row>
    <row r="133" spans="1:4">
      <c r="A133" s="3" t="s">
        <v>61</v>
      </c>
    </row>
    <row r="135" spans="1:4">
      <c r="A135" t="s">
        <v>62</v>
      </c>
      <c r="B135" t="s">
        <v>63</v>
      </c>
      <c r="C135" t="s">
        <v>64</v>
      </c>
      <c r="D135" t="s">
        <v>65</v>
      </c>
    </row>
    <row r="137" spans="1:4">
      <c r="A137">
        <v>5</v>
      </c>
      <c r="B137">
        <v>10</v>
      </c>
      <c r="C137">
        <v>3.33</v>
      </c>
      <c r="D137" s="7">
        <f>FDIST(C137,A137,B137)</f>
        <v>4.9831275752539053E-2</v>
      </c>
    </row>
    <row r="138" spans="1:4">
      <c r="A138">
        <v>5</v>
      </c>
      <c r="B138">
        <v>10</v>
      </c>
      <c r="C138">
        <v>10.48</v>
      </c>
      <c r="D138" s="7">
        <f>FDIST(C138,A138,B138)</f>
        <v>1.0002761308011787E-3</v>
      </c>
    </row>
    <row r="139" spans="1:4">
      <c r="A139">
        <v>5</v>
      </c>
      <c r="B139">
        <v>10</v>
      </c>
      <c r="C139">
        <v>10.48</v>
      </c>
      <c r="D139" s="7">
        <f>2*FDIST(C139,A139,B139)</f>
        <v>2.0005522616023575E-3</v>
      </c>
    </row>
    <row r="140" spans="1:4">
      <c r="A140">
        <v>5</v>
      </c>
      <c r="B140">
        <v>10</v>
      </c>
      <c r="C140">
        <v>2.52</v>
      </c>
      <c r="D140" s="7">
        <f>1-FDIST(C140,A140,B140)</f>
        <v>0.89984980882559396</v>
      </c>
    </row>
    <row r="141" spans="1:4">
      <c r="A141">
        <v>40</v>
      </c>
      <c r="B141">
        <v>20</v>
      </c>
      <c r="C141">
        <v>3.86</v>
      </c>
      <c r="D141" s="7">
        <f>FDIST(C141,A141,B141)</f>
        <v>9.9362650487541475E-4</v>
      </c>
    </row>
    <row r="148" spans="1:2">
      <c r="A148" s="3" t="s">
        <v>66</v>
      </c>
    </row>
    <row r="150" spans="1:2">
      <c r="A150" t="s">
        <v>67</v>
      </c>
      <c r="B150" t="s">
        <v>68</v>
      </c>
    </row>
    <row r="151" spans="1:2">
      <c r="A151">
        <v>32</v>
      </c>
      <c r="B151">
        <v>18</v>
      </c>
    </row>
    <row r="152" spans="1:2">
      <c r="A152">
        <v>27</v>
      </c>
      <c r="B152">
        <v>22</v>
      </c>
    </row>
    <row r="153" spans="1:2">
      <c r="A153">
        <v>30</v>
      </c>
      <c r="B153">
        <v>15</v>
      </c>
    </row>
    <row r="154" spans="1:2">
      <c r="A154">
        <v>31</v>
      </c>
      <c r="B154">
        <v>21</v>
      </c>
    </row>
    <row r="155" spans="1:2">
      <c r="A155">
        <v>36</v>
      </c>
      <c r="B155">
        <v>13</v>
      </c>
    </row>
    <row r="156" spans="1:2">
      <c r="A156">
        <v>32</v>
      </c>
    </row>
    <row r="157" spans="1:2">
      <c r="A157">
        <v>33</v>
      </c>
    </row>
    <row r="158" spans="1:2">
      <c r="A158">
        <v>30</v>
      </c>
    </row>
    <row r="159" spans="1:2">
      <c r="A159">
        <v>26</v>
      </c>
    </row>
    <row r="160" spans="1:2">
      <c r="A160">
        <v>28</v>
      </c>
    </row>
    <row r="162" spans="1:3">
      <c r="A162">
        <f>VAR(A151:A160)</f>
        <v>8.9444444444444446</v>
      </c>
      <c r="B162">
        <f>VAR(B151:B155)</f>
        <v>14.699999999999989</v>
      </c>
      <c r="C162" t="s">
        <v>69</v>
      </c>
    </row>
    <row r="164" spans="1:3">
      <c r="A164" s="8">
        <f>A162/B162</f>
        <v>0.60846560846560893</v>
      </c>
      <c r="C164" t="s">
        <v>70</v>
      </c>
    </row>
    <row r="166" spans="1:3">
      <c r="A166" s="9">
        <f>FINV(0.05,COUNT(A151:A160)-1,COUNT(B151:B155)-1)</f>
        <v>5.9987790314091338</v>
      </c>
      <c r="C166" t="s">
        <v>71</v>
      </c>
    </row>
    <row r="167" spans="1:3">
      <c r="A167" s="10">
        <f>FINV(0.95,COUNT(A151:A160)-1,COUNT(B151:B155)-1)</f>
        <v>0.27524790459528337</v>
      </c>
      <c r="C167" t="s">
        <v>72</v>
      </c>
    </row>
    <row r="169" spans="1:3">
      <c r="A169" t="s">
        <v>0</v>
      </c>
    </row>
    <row r="172" spans="1:3">
      <c r="A172" s="3" t="s">
        <v>1</v>
      </c>
    </row>
    <row r="174" spans="1:3">
      <c r="A174" t="s">
        <v>2</v>
      </c>
      <c r="B174" s="2">
        <v>13</v>
      </c>
    </row>
    <row r="176" spans="1:3">
      <c r="A176" t="s">
        <v>3</v>
      </c>
      <c r="B176" s="2" t="s">
        <v>5</v>
      </c>
      <c r="C176" t="s">
        <v>4</v>
      </c>
    </row>
    <row r="178" spans="1:3">
      <c r="A178" t="s">
        <v>6</v>
      </c>
      <c r="B178" t="s">
        <v>7</v>
      </c>
      <c r="C178" t="s">
        <v>8</v>
      </c>
    </row>
    <row r="180" spans="1:3">
      <c r="A180">
        <v>30</v>
      </c>
      <c r="B180">
        <v>25</v>
      </c>
      <c r="C180">
        <f>A180-B180</f>
        <v>5</v>
      </c>
    </row>
    <row r="181" spans="1:3">
      <c r="A181">
        <v>35</v>
      </c>
      <c r="B181">
        <v>16</v>
      </c>
      <c r="C181">
        <f t="shared" ref="C181:C192" si="3">A181-B181</f>
        <v>19</v>
      </c>
    </row>
    <row r="182" spans="1:3">
      <c r="A182">
        <v>40</v>
      </c>
      <c r="B182">
        <v>15</v>
      </c>
      <c r="C182">
        <f t="shared" si="3"/>
        <v>25</v>
      </c>
    </row>
    <row r="183" spans="1:3">
      <c r="A183">
        <v>25</v>
      </c>
      <c r="B183">
        <v>15</v>
      </c>
      <c r="C183">
        <f t="shared" si="3"/>
        <v>10</v>
      </c>
    </row>
    <row r="184" spans="1:3">
      <c r="A184">
        <v>20</v>
      </c>
      <c r="B184">
        <v>10</v>
      </c>
      <c r="C184">
        <f t="shared" si="3"/>
        <v>10</v>
      </c>
    </row>
    <row r="185" spans="1:3">
      <c r="A185">
        <v>30</v>
      </c>
      <c r="B185">
        <v>20</v>
      </c>
      <c r="C185">
        <f t="shared" si="3"/>
        <v>10</v>
      </c>
    </row>
    <row r="186" spans="1:3">
      <c r="A186">
        <v>35</v>
      </c>
      <c r="B186">
        <v>7</v>
      </c>
      <c r="C186">
        <f t="shared" si="3"/>
        <v>28</v>
      </c>
    </row>
    <row r="187" spans="1:3">
      <c r="A187">
        <v>62</v>
      </c>
      <c r="B187">
        <v>16</v>
      </c>
      <c r="C187">
        <f t="shared" si="3"/>
        <v>46</v>
      </c>
    </row>
    <row r="188" spans="1:3">
      <c r="A188">
        <v>40</v>
      </c>
      <c r="B188">
        <v>15</v>
      </c>
      <c r="C188">
        <f t="shared" si="3"/>
        <v>25</v>
      </c>
    </row>
    <row r="189" spans="1:3">
      <c r="A189">
        <v>51</v>
      </c>
      <c r="B189">
        <v>13</v>
      </c>
      <c r="C189">
        <f t="shared" si="3"/>
        <v>38</v>
      </c>
    </row>
    <row r="190" spans="1:3">
      <c r="A190">
        <v>25</v>
      </c>
      <c r="B190">
        <v>11</v>
      </c>
      <c r="C190">
        <f t="shared" si="3"/>
        <v>14</v>
      </c>
    </row>
    <row r="191" spans="1:3">
      <c r="A191">
        <v>42</v>
      </c>
      <c r="B191">
        <v>19</v>
      </c>
      <c r="C191">
        <f t="shared" si="3"/>
        <v>23</v>
      </c>
    </row>
    <row r="192" spans="1:3">
      <c r="A192">
        <v>33</v>
      </c>
      <c r="B192">
        <v>19</v>
      </c>
      <c r="C192">
        <f t="shared" si="3"/>
        <v>14</v>
      </c>
    </row>
    <row r="194" spans="1:6">
      <c r="A194" t="s">
        <v>9</v>
      </c>
      <c r="F194" s="2" t="s">
        <v>10</v>
      </c>
    </row>
    <row r="196" spans="1:6">
      <c r="A196" t="s">
        <v>54</v>
      </c>
      <c r="B196">
        <f>AVERAGE(C180:C192)</f>
        <v>20.53846153846154</v>
      </c>
      <c r="D196" t="s">
        <v>11</v>
      </c>
      <c r="E196">
        <f>STDEV(C180:C192)</f>
        <v>11.962548394993608</v>
      </c>
    </row>
    <row r="197" spans="1:6">
      <c r="D197" s="3" t="s">
        <v>18</v>
      </c>
      <c r="E197" s="3" t="s">
        <v>19</v>
      </c>
      <c r="F197" s="3" t="s">
        <v>17</v>
      </c>
    </row>
    <row r="198" spans="1:6">
      <c r="A198">
        <v>1</v>
      </c>
      <c r="B198">
        <v>5</v>
      </c>
      <c r="D198">
        <f>NORMDIST(B198,$B$196,$E$196,1)</f>
        <v>9.6984714578728592E-2</v>
      </c>
      <c r="E198">
        <f>(A198-1)/($B$174)</f>
        <v>0</v>
      </c>
      <c r="F198">
        <f>A198/$B$174</f>
        <v>7.6923076923076927E-2</v>
      </c>
    </row>
    <row r="199" spans="1:6">
      <c r="A199">
        <v>2</v>
      </c>
      <c r="B199">
        <v>10</v>
      </c>
      <c r="D199">
        <f t="shared" ref="D199:D210" si="4">NORMDIST(B199,$B$196,$E$196,1)</f>
        <v>0.18917120790505737</v>
      </c>
      <c r="E199">
        <f t="shared" ref="E199:E209" si="5">(A199-1)/($B$174)</f>
        <v>7.6923076923076927E-2</v>
      </c>
      <c r="F199">
        <f t="shared" ref="F199:F210" si="6">A199/$B$174</f>
        <v>0.15384615384615385</v>
      </c>
    </row>
    <row r="200" spans="1:6">
      <c r="A200">
        <v>3</v>
      </c>
      <c r="B200">
        <v>10</v>
      </c>
      <c r="D200">
        <f t="shared" si="4"/>
        <v>0.18917120790505737</v>
      </c>
      <c r="E200">
        <f t="shared" si="5"/>
        <v>0.15384615384615385</v>
      </c>
      <c r="F200">
        <f t="shared" si="6"/>
        <v>0.23076923076923078</v>
      </c>
    </row>
    <row r="201" spans="1:6">
      <c r="A201">
        <v>4</v>
      </c>
      <c r="B201">
        <v>10</v>
      </c>
      <c r="D201">
        <f t="shared" si="4"/>
        <v>0.18917120790505737</v>
      </c>
      <c r="E201">
        <f t="shared" si="5"/>
        <v>0.23076923076923078</v>
      </c>
      <c r="F201">
        <f t="shared" si="6"/>
        <v>0.30769230769230771</v>
      </c>
    </row>
    <row r="202" spans="1:6">
      <c r="A202">
        <v>5</v>
      </c>
      <c r="B202">
        <v>14</v>
      </c>
      <c r="D202">
        <f t="shared" si="4"/>
        <v>0.29233446516142725</v>
      </c>
      <c r="E202">
        <f t="shared" si="5"/>
        <v>0.30769230769230771</v>
      </c>
      <c r="F202">
        <f t="shared" si="6"/>
        <v>0.38461538461538464</v>
      </c>
    </row>
    <row r="203" spans="1:6">
      <c r="A203">
        <v>6</v>
      </c>
      <c r="B203">
        <v>14</v>
      </c>
      <c r="D203">
        <f t="shared" si="4"/>
        <v>0.29233446516142725</v>
      </c>
      <c r="E203">
        <f t="shared" si="5"/>
        <v>0.38461538461538464</v>
      </c>
      <c r="F203">
        <f t="shared" si="6"/>
        <v>0.46153846153846156</v>
      </c>
    </row>
    <row r="204" spans="1:6">
      <c r="A204">
        <v>7</v>
      </c>
      <c r="B204">
        <v>19</v>
      </c>
      <c r="D204">
        <f t="shared" si="4"/>
        <v>0.44883450945637593</v>
      </c>
      <c r="E204">
        <f t="shared" si="5"/>
        <v>0.46153846153846156</v>
      </c>
      <c r="F204">
        <f t="shared" si="6"/>
        <v>0.53846153846153844</v>
      </c>
    </row>
    <row r="205" spans="1:6">
      <c r="A205">
        <v>8</v>
      </c>
      <c r="B205">
        <v>23</v>
      </c>
      <c r="D205">
        <f t="shared" si="4"/>
        <v>0.58151487116023404</v>
      </c>
      <c r="E205">
        <f t="shared" si="5"/>
        <v>0.53846153846153844</v>
      </c>
      <c r="F205">
        <f t="shared" si="6"/>
        <v>0.61538461538461542</v>
      </c>
    </row>
    <row r="206" spans="1:6">
      <c r="A206">
        <v>9</v>
      </c>
      <c r="B206">
        <v>25</v>
      </c>
      <c r="D206">
        <f t="shared" si="4"/>
        <v>0.64541046987494255</v>
      </c>
      <c r="E206">
        <f t="shared" si="5"/>
        <v>0.61538461538461542</v>
      </c>
      <c r="F206">
        <f t="shared" si="6"/>
        <v>0.69230769230769229</v>
      </c>
    </row>
    <row r="207" spans="1:6">
      <c r="A207">
        <v>10</v>
      </c>
      <c r="B207">
        <v>25</v>
      </c>
      <c r="D207">
        <f t="shared" si="4"/>
        <v>0.64541046987494255</v>
      </c>
      <c r="E207">
        <f t="shared" si="5"/>
        <v>0.69230769230769229</v>
      </c>
      <c r="F207">
        <f t="shared" si="6"/>
        <v>0.76923076923076927</v>
      </c>
    </row>
    <row r="208" spans="1:6">
      <c r="A208">
        <v>11</v>
      </c>
      <c r="B208">
        <v>28</v>
      </c>
      <c r="D208">
        <f t="shared" si="4"/>
        <v>0.73360133399072969</v>
      </c>
      <c r="E208">
        <f t="shared" si="5"/>
        <v>0.76923076923076927</v>
      </c>
      <c r="F208">
        <f t="shared" si="6"/>
        <v>0.84615384615384615</v>
      </c>
    </row>
    <row r="209" spans="1:6">
      <c r="A209">
        <v>12</v>
      </c>
      <c r="B209">
        <v>38</v>
      </c>
      <c r="D209">
        <f t="shared" si="4"/>
        <v>0.92781150606169049</v>
      </c>
      <c r="E209">
        <f t="shared" si="5"/>
        <v>0.84615384615384615</v>
      </c>
      <c r="F209">
        <f t="shared" si="6"/>
        <v>0.92307692307692313</v>
      </c>
    </row>
    <row r="210" spans="1:6">
      <c r="A210">
        <v>13</v>
      </c>
      <c r="B210">
        <v>46</v>
      </c>
      <c r="D210">
        <f t="shared" si="4"/>
        <v>0.98334959307334546</v>
      </c>
      <c r="E210">
        <f>(A210-1)/($B$174)</f>
        <v>0.92307692307692313</v>
      </c>
      <c r="F210">
        <f t="shared" si="6"/>
        <v>1</v>
      </c>
    </row>
    <row r="230" spans="1:5">
      <c r="A230" t="s">
        <v>12</v>
      </c>
      <c r="B230" s="2">
        <f>SUM(B198:B210)</f>
        <v>267</v>
      </c>
      <c r="D230" s="3" t="s">
        <v>20</v>
      </c>
      <c r="E230" s="3" t="s">
        <v>21</v>
      </c>
    </row>
    <row r="231" spans="1:5">
      <c r="C231">
        <v>1</v>
      </c>
      <c r="D231">
        <f t="shared" ref="D231:D243" si="7">D198-E198</f>
        <v>9.6984714578728592E-2</v>
      </c>
      <c r="E231">
        <f t="shared" ref="E231:E243" si="8">F198-D198</f>
        <v>-2.0061637655651665E-2</v>
      </c>
    </row>
    <row r="232" spans="1:5">
      <c r="A232" t="s">
        <v>35</v>
      </c>
      <c r="B232" s="11">
        <f>TINV(0.05,B174-1)</f>
        <v>2.1788128271650695</v>
      </c>
      <c r="C232">
        <v>2</v>
      </c>
      <c r="D232">
        <f t="shared" si="7"/>
        <v>0.11224813098198044</v>
      </c>
      <c r="E232">
        <f t="shared" si="8"/>
        <v>-3.5325054058903516E-2</v>
      </c>
    </row>
    <row r="233" spans="1:5">
      <c r="C233">
        <v>3</v>
      </c>
      <c r="D233">
        <f t="shared" si="7"/>
        <v>3.5325054058903516E-2</v>
      </c>
      <c r="E233">
        <f t="shared" si="8"/>
        <v>4.1598022864173412E-2</v>
      </c>
    </row>
    <row r="234" spans="1:5">
      <c r="A234" t="s">
        <v>13</v>
      </c>
      <c r="B234" s="12">
        <f>B232*E196/SQRT(B174)</f>
        <v>7.2288956382241043</v>
      </c>
      <c r="C234">
        <v>4</v>
      </c>
      <c r="D234">
        <f t="shared" si="7"/>
        <v>-4.1598022864173412E-2</v>
      </c>
      <c r="E234">
        <f t="shared" si="8"/>
        <v>0.11852109978725034</v>
      </c>
    </row>
    <row r="235" spans="1:5">
      <c r="C235">
        <v>5</v>
      </c>
      <c r="D235">
        <f t="shared" si="7"/>
        <v>-1.5357842530880461E-2</v>
      </c>
      <c r="E235">
        <f t="shared" si="8"/>
        <v>9.2280919453957388E-2</v>
      </c>
    </row>
    <row r="236" spans="1:5">
      <c r="A236" t="s">
        <v>14</v>
      </c>
      <c r="B236">
        <f>MAX(D231:E243)</f>
        <v>0.16920399637703432</v>
      </c>
      <c r="C236">
        <v>6</v>
      </c>
      <c r="D236">
        <f t="shared" si="7"/>
        <v>-9.2280919453957388E-2</v>
      </c>
      <c r="E236">
        <f t="shared" si="8"/>
        <v>0.16920399637703432</v>
      </c>
    </row>
    <row r="237" spans="1:5">
      <c r="C237">
        <v>7</v>
      </c>
      <c r="D237">
        <f t="shared" si="7"/>
        <v>-1.2703952082085634E-2</v>
      </c>
      <c r="E237">
        <f t="shared" si="8"/>
        <v>8.9627029005162506E-2</v>
      </c>
    </row>
    <row r="238" spans="1:5">
      <c r="A238" t="s">
        <v>15</v>
      </c>
      <c r="B238">
        <v>0.32549</v>
      </c>
      <c r="C238">
        <v>8</v>
      </c>
      <c r="D238">
        <f t="shared" si="7"/>
        <v>4.3053332698695601E-2</v>
      </c>
      <c r="E238">
        <f t="shared" si="8"/>
        <v>3.3869744224381382E-2</v>
      </c>
    </row>
    <row r="239" spans="1:5">
      <c r="C239">
        <v>9</v>
      </c>
      <c r="D239">
        <f t="shared" si="7"/>
        <v>3.0025854490327131E-2</v>
      </c>
      <c r="E239">
        <f t="shared" si="8"/>
        <v>4.6897222432749741E-2</v>
      </c>
    </row>
    <row r="240" spans="1:5">
      <c r="C240">
        <v>10</v>
      </c>
      <c r="D240">
        <f t="shared" si="7"/>
        <v>-4.6897222432749741E-2</v>
      </c>
      <c r="E240">
        <f t="shared" si="8"/>
        <v>0.12382029935582672</v>
      </c>
    </row>
    <row r="241" spans="1:5">
      <c r="A241" t="s">
        <v>16</v>
      </c>
      <c r="B241">
        <f>SQRT(0.95662)</f>
        <v>0.97806952718096685</v>
      </c>
      <c r="C241">
        <v>11</v>
      </c>
      <c r="D241">
        <f t="shared" si="7"/>
        <v>-3.5629435240039586E-2</v>
      </c>
      <c r="E241">
        <f t="shared" si="8"/>
        <v>0.11255251216311646</v>
      </c>
    </row>
    <row r="242" spans="1:5">
      <c r="C242">
        <v>12</v>
      </c>
      <c r="D242">
        <f t="shared" si="7"/>
        <v>8.1657659907844349E-2</v>
      </c>
      <c r="E242">
        <f t="shared" si="8"/>
        <v>-4.7345829847673659E-3</v>
      </c>
    </row>
    <row r="243" spans="1:5">
      <c r="C243">
        <v>13</v>
      </c>
      <c r="D243">
        <f t="shared" si="7"/>
        <v>6.0272669996422334E-2</v>
      </c>
      <c r="E243">
        <f t="shared" si="8"/>
        <v>1.6650406926654537E-2</v>
      </c>
    </row>
    <row r="249" spans="1:5">
      <c r="A249">
        <v>72.099999999999994</v>
      </c>
      <c r="B249">
        <v>63.4</v>
      </c>
    </row>
    <row r="250" spans="1:5">
      <c r="A250">
        <v>72.599999999999994</v>
      </c>
      <c r="B250">
        <v>75.599999999999994</v>
      </c>
    </row>
    <row r="251" spans="1:5">
      <c r="A251">
        <v>68</v>
      </c>
      <c r="B251">
        <v>70</v>
      </c>
    </row>
    <row r="252" spans="1:5">
      <c r="A252">
        <v>70.400000000000006</v>
      </c>
      <c r="B252">
        <v>78</v>
      </c>
    </row>
    <row r="253" spans="1:5">
      <c r="A253">
        <v>73.2</v>
      </c>
      <c r="B253">
        <v>69.3</v>
      </c>
    </row>
    <row r="255" spans="1:5">
      <c r="A255">
        <f>STDEV(A249:A253)</f>
        <v>2.0995237555215818</v>
      </c>
      <c r="B255">
        <f>STDEV(B249:B253)</f>
        <v>5.7330620090836772</v>
      </c>
    </row>
    <row r="257" spans="1:1">
      <c r="A257">
        <f>FINV(0.05,4,4)</f>
        <v>6.3882329087953078</v>
      </c>
    </row>
  </sheetData>
  <sheetCalcPr fullCalcOnLoad="1"/>
  <sortState ref="B197:B209">
    <sortCondition ref="B197:B209"/>
  </sortState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Christopher Newport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cp:lastPrinted>2012-10-18T13:38:59Z</cp:lastPrinted>
  <dcterms:created xsi:type="dcterms:W3CDTF">2011-10-04T13:00:55Z</dcterms:created>
  <dcterms:modified xsi:type="dcterms:W3CDTF">2012-10-18T13:39:08Z</dcterms:modified>
</cp:coreProperties>
</file>