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gif" ContentType="image/gif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Before&amp;After Tes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<sst xmlns="http://schemas.openxmlformats.org/spreadsheetml/2006/main" count="171" uniqueCount="98">
  <si>
    <t xml:space="preserve">Corn flakes</t>
  </si>
  <si>
    <t xml:space="preserve">Oat bran</t>
  </si>
  <si>
    <t xml:space="preserve">T Test: Two Independent Samples</t>
  </si>
  <si>
    <t xml:space="preserve">t value calculated using the following formula</t>
  </si>
  <si>
    <t xml:space="preserve">SUMMARY</t>
  </si>
  <si>
    <t xml:space="preserve">Hyp Mean Diff</t>
  </si>
  <si>
    <t xml:space="preserve">Groups</t>
  </si>
  <si>
    <t xml:space="preserve">Count</t>
  </si>
  <si>
    <t xml:space="preserve">Mean</t>
  </si>
  <si>
    <t xml:space="preserve">Variance</t>
  </si>
  <si>
    <t xml:space="preserve">Cohen d</t>
  </si>
  <si>
    <t xml:space="preserve">Pooled</t>
  </si>
  <si>
    <t xml:space="preserve">T TEST: Equal Variances</t>
  </si>
  <si>
    <t xml:space="preserve">Alpha</t>
  </si>
  <si>
    <t xml:space="preserve"> </t>
  </si>
  <si>
    <t xml:space="preserve">std err</t>
  </si>
  <si>
    <t xml:space="preserve">t-stat</t>
  </si>
  <si>
    <t xml:space="preserve">df</t>
  </si>
  <si>
    <t xml:space="preserve">p-value</t>
  </si>
  <si>
    <t xml:space="preserve">t-crit</t>
  </si>
  <si>
    <t xml:space="preserve">lower</t>
  </si>
  <si>
    <t xml:space="preserve">upper</t>
  </si>
  <si>
    <t xml:space="preserve">sig</t>
  </si>
  <si>
    <t xml:space="preserve">effect r</t>
  </si>
  <si>
    <t xml:space="preserve">here, s1 and s2 are variances of two samples and N1 and N2 are the samples size</t>
  </si>
  <si>
    <t xml:space="preserve">One Tail</t>
  </si>
  <si>
    <t xml:space="preserve">Two Tail</t>
  </si>
  <si>
    <t xml:space="preserve">T TEST: Unequal Variances</t>
  </si>
  <si>
    <t xml:space="preserve">Standarad Deviation</t>
  </si>
  <si>
    <t xml:space="preserve">Done by calculation</t>
  </si>
  <si>
    <t xml:space="preserve">Sample Size(n)</t>
  </si>
  <si>
    <t xml:space="preserve">t-Value</t>
  </si>
  <si>
    <t xml:space="preserve">Degree of Freedom(d.f)</t>
  </si>
  <si>
    <t xml:space="preserve">α</t>
  </si>
  <si>
    <t xml:space="preserve">T-critical</t>
  </si>
  <si>
    <t xml:space="preserve">Done by Real Statistics</t>
  </si>
  <si>
    <t xml:space="preserve">Difference</t>
  </si>
  <si>
    <t xml:space="preserve">Normality</t>
  </si>
  <si>
    <t xml:space="preserve">Box Plot</t>
  </si>
  <si>
    <t xml:space="preserve">Shapiro-Wilk Test</t>
  </si>
  <si>
    <t xml:space="preserve">QQ Plot - Corn flakes</t>
  </si>
  <si>
    <t xml:space="preserve">Min</t>
  </si>
  <si>
    <t xml:space="preserve">W</t>
  </si>
  <si>
    <t xml:space="preserve">Q1-Min</t>
  </si>
  <si>
    <t xml:space="preserve">Std Dev</t>
  </si>
  <si>
    <t xml:space="preserve">Med-Q1</t>
  </si>
  <si>
    <t xml:space="preserve">alpha</t>
  </si>
  <si>
    <t xml:space="preserve">Q3-Med</t>
  </si>
  <si>
    <t xml:space="preserve">normal</t>
  </si>
  <si>
    <t xml:space="preserve">Interval</t>
  </si>
  <si>
    <t xml:space="preserve">Data</t>
  </si>
  <si>
    <t xml:space="preserve">Std Norm</t>
  </si>
  <si>
    <t xml:space="preserve">Std Data</t>
  </si>
  <si>
    <t xml:space="preserve">Max-Q3</t>
  </si>
  <si>
    <t xml:space="preserve">Descriptive Statistics</t>
  </si>
  <si>
    <t xml:space="preserve">QQ Plot - Oat bran</t>
  </si>
  <si>
    <t xml:space="preserve">Standard Error</t>
  </si>
  <si>
    <t xml:space="preserve">Median</t>
  </si>
  <si>
    <t xml:space="preserve">Mode</t>
  </si>
  <si>
    <t xml:space="preserve">Standard Deviation</t>
  </si>
  <si>
    <t xml:space="preserve">Sample Variance</t>
  </si>
  <si>
    <t xml:space="preserve">Kurtosis</t>
  </si>
  <si>
    <t xml:space="preserve">Skewness</t>
  </si>
  <si>
    <t xml:space="preserve">Range</t>
  </si>
  <si>
    <t xml:space="preserve">Maximum</t>
  </si>
  <si>
    <t xml:space="preserve">Minimum</t>
  </si>
  <si>
    <t xml:space="preserve">Sum</t>
  </si>
  <si>
    <t xml:space="preserve">Geometric Mean</t>
  </si>
  <si>
    <t xml:space="preserve">Harmonic Mean</t>
  </si>
  <si>
    <t xml:space="preserve">AAD</t>
  </si>
  <si>
    <t xml:space="preserve">MAD</t>
  </si>
  <si>
    <t xml:space="preserve">IQR</t>
  </si>
  <si>
    <t xml:space="preserve">Subject</t>
  </si>
  <si>
    <t xml:space="preserve">Normal Distribution</t>
  </si>
  <si>
    <t xml:space="preserve">Mean, d̅</t>
  </si>
  <si>
    <t xml:space="preserve">Sample Size, n</t>
  </si>
  <si>
    <t xml:space="preserve">Grand Min</t>
  </si>
  <si>
    <t xml:space="preserve">Degree of Freedom, df</t>
  </si>
  <si>
    <t xml:space="preserve">t-critical</t>
  </si>
  <si>
    <t xml:space="preserve">QQ Plot</t>
  </si>
  <si>
    <t xml:space="preserve">QQ Plot - Difference</t>
  </si>
  <si>
    <t xml:space="preserve">Subjects</t>
  </si>
  <si>
    <t xml:space="preserve">Age</t>
  </si>
  <si>
    <t xml:space="preserve">BMI(kg/m2)</t>
  </si>
  <si>
    <t xml:space="preserve">Serum Cholesterol(mmol/L)</t>
  </si>
  <si>
    <t xml:space="preserve">Serum triglycerides(mmol/L)</t>
  </si>
  <si>
    <t xml:space="preserve">56g of Diet</t>
  </si>
  <si>
    <t xml:space="preserve">Corn Flakes(Control)</t>
  </si>
  <si>
    <t xml:space="preserve">Oat Bran Cereal</t>
  </si>
  <si>
    <t xml:space="preserve">First 2 Weeks</t>
  </si>
  <si>
    <t xml:space="preserve">1,4,7,9,10</t>
  </si>
  <si>
    <t xml:space="preserve">2,3,5,6,8,12</t>
  </si>
  <si>
    <t xml:space="preserve">Next 2 Weeks</t>
  </si>
  <si>
    <t xml:space="preserve">x̅±SEM</t>
  </si>
  <si>
    <t xml:space="preserve">58±3</t>
  </si>
  <si>
    <t xml:space="preserve">25.1±0.65</t>
  </si>
  <si>
    <t xml:space="preserve">6.95±0.29</t>
  </si>
  <si>
    <t xml:space="preserve">2.51±0.21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</si>
</sst>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FF0000"/>
      <name val="Calibri"/>
      <family val="2"/>
      <charset val="1"/>
    </font>
    <font>
      <sz val="9"/>
      <name val="Arial"/>
      <family val="2"/>
    </font>
    <font>
      <sz val="11"/>
      <color rgb="FFFF33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double"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Box Plot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Sheet1!$C$34</c:f>
              <c:strCache>
                <c:ptCount val="1"/>
                <c:pt idx="0">
                  <c:v>Corn flakes</c:v>
                </c:pt>
              </c:strCache>
            </c:strRef>
          </c:cat>
          <c:val>
            <c:numRef>
              <c:f>Sheet1!$C$35</c:f>
              <c:numCache>
                <c:formatCode>General</c:formatCode>
                <c:ptCount val="1"/>
                <c:pt idx="0">
                  <c:v>2.25</c:v>
                </c:pt>
              </c:numCache>
            </c:numRef>
          </c:val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minus"/>
            <c:errValType val="percentage"/>
            <c:noEndCap val="0"/>
            <c:val val="100"/>
          </c:errBars>
          <c:cat>
            <c:strRef>
              <c:f>Sheet1!$C$34</c:f>
              <c:strCache>
                <c:ptCount val="1"/>
                <c:pt idx="0">
                  <c:v>Corn flakes</c:v>
                </c:pt>
              </c:strCache>
            </c:strRef>
          </c:cat>
          <c:val>
            <c:numRef>
              <c:f>Sheet1!$C$36</c:f>
              <c:numCache>
                <c:formatCode>General</c:formatCode>
                <c:ptCount val="1"/>
                <c:pt idx="0">
                  <c:v>1.6625</c:v>
                </c:pt>
              </c:numCache>
            </c:numRef>
          </c:val>
        </c:ser>
        <c:ser>
          <c:idx val="2"/>
          <c:order val="2"/>
          <c:tx>
            <c:strRef>
              <c:f>Sheet1!$B$37</c:f>
              <c:strCache>
                <c:ptCount val="1"/>
                <c:pt idx="0">
                  <c:v>Med-Q1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Sheet1!$C$34</c:f>
              <c:strCache>
                <c:ptCount val="1"/>
                <c:pt idx="0">
                  <c:v>Corn flakes</c:v>
                </c:pt>
              </c:strCache>
            </c:strRef>
          </c:cat>
          <c:val>
            <c:numRef>
              <c:f>Sheet1!$C$37</c:f>
              <c:numCache>
                <c:formatCode>General</c:formatCode>
                <c:ptCount val="1"/>
                <c:pt idx="0">
                  <c:v>0.527499999999999</c:v>
                </c:pt>
              </c:numCache>
            </c:numRef>
          </c:val>
        </c:ser>
        <c:ser>
          <c:idx val="3"/>
          <c:order val="3"/>
          <c:tx>
            <c:strRef>
              <c:f>Sheet1!$B$38</c:f>
              <c:strCache>
                <c:ptCount val="1"/>
                <c:pt idx="0">
                  <c:v>Q3-Med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plus"/>
            <c:errValType val="cust"/>
            <c:noEndCap val="0"/>
            <c:plus>
              <c:numRef>
                <c:f>Sheet1!$C$39</c:f>
                <c:numCache>
                  <c:formatCode>General</c:formatCode>
                  <c:ptCount val="1"/>
                  <c:pt idx="0">
                    <c:v>1.51</c:v>
                  </c:pt>
                </c:numCache>
              </c:numRef>
            </c:plus>
          </c:errBars>
          <c:cat>
            <c:strRef>
              <c:f>Sheet1!$C$34</c:f>
              <c:strCache>
                <c:ptCount val="1"/>
                <c:pt idx="0">
                  <c:v>Corn flakes</c:v>
                </c:pt>
              </c:strCache>
            </c:strRef>
          </c:cat>
          <c:val>
            <c:numRef>
              <c:f>Sheet1!$C$38</c:f>
              <c:numCache>
                <c:formatCode>General</c:formatCode>
                <c:ptCount val="1"/>
                <c:pt idx="0">
                  <c:v>0.470000000000001</c:v>
                </c:pt>
              </c:numCache>
            </c:numRef>
          </c:val>
        </c:ser>
        <c:gapWidth val="150"/>
        <c:overlap val="100"/>
        <c:axId val="66804464"/>
        <c:axId val="97562639"/>
      </c:barChart>
      <c:catAx>
        <c:axId val="6680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562639"/>
        <c:crosses val="autoZero"/>
        <c:auto val="1"/>
        <c:lblAlgn val="ctr"/>
        <c:lblOffset val="100"/>
      </c:catAx>
      <c:valAx>
        <c:axId val="9756263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8044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(Series1)</c:nam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Sheet1!$I$39:$I$52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Sheet1!$J$39:$J$52</c:f>
              <c:numCache>
                <c:formatCode>General</c:formatCode>
                <c:ptCount val="14"/>
                <c:pt idx="0">
                  <c:v>-1.80274309073919</c:v>
                </c:pt>
                <c:pt idx="1">
                  <c:v>-1.24186679184332</c:v>
                </c:pt>
                <c:pt idx="2">
                  <c:v>-0.920822976368379</c:v>
                </c:pt>
                <c:pt idx="3">
                  <c:v>-0.674489750196082</c:v>
                </c:pt>
                <c:pt idx="4">
                  <c:v>-0.463707751457179</c:v>
                </c:pt>
                <c:pt idx="5">
                  <c:v>-0.271880005399261</c:v>
                </c:pt>
                <c:pt idx="6">
                  <c:v>-0.0896423510757625</c:v>
                </c:pt>
                <c:pt idx="7">
                  <c:v>0.0896423510757625</c:v>
                </c:pt>
                <c:pt idx="8">
                  <c:v>0.271880005399261</c:v>
                </c:pt>
                <c:pt idx="9">
                  <c:v>0.463707751457179</c:v>
                </c:pt>
                <c:pt idx="10">
                  <c:v>0.674489750196082</c:v>
                </c:pt>
                <c:pt idx="11">
                  <c:v>0.920822976368379</c:v>
                </c:pt>
                <c:pt idx="12">
                  <c:v>1.24186679184332</c:v>
                </c:pt>
                <c:pt idx="13">
                  <c:v>1.80274309073919</c:v>
                </c:pt>
              </c:numCache>
            </c:numRef>
          </c:yVal>
          <c:smooth val="0"/>
        </c:ser>
        <c:axId val="95485688"/>
        <c:axId val="35968335"/>
      </c:scatterChart>
      <c:valAx>
        <c:axId val="954856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LDL: Corn Flakes Group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968335"/>
        <c:crosses val="autoZero"/>
        <c:crossBetween val="midCat"/>
      </c:valAx>
      <c:valAx>
        <c:axId val="35968335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Standard Normal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4856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Box Plot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Sheet2!$I$12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Sheet2!$J$11:$K$11</c:f>
              <c:strCache>
                <c:ptCount val="2"/>
                <c:pt idx="0">
                  <c:v>Corn flakes</c:v>
                </c:pt>
                <c:pt idx="1">
                  <c:v>Oat bran</c:v>
                </c:pt>
              </c:strCache>
            </c:strRef>
          </c:cat>
          <c:val>
            <c:numRef>
              <c:f>Sheet2!$J$12:$K$12</c:f>
              <c:numCache>
                <c:formatCode>General</c:formatCode>
                <c:ptCount val="2"/>
                <c:pt idx="0">
                  <c:v>2.25</c:v>
                </c:pt>
                <c:pt idx="1">
                  <c:v>1.84</c:v>
                </c:pt>
              </c:numCache>
            </c:numRef>
          </c:val>
        </c:ser>
        <c:ser>
          <c:idx val="1"/>
          <c:order val="1"/>
          <c:tx>
            <c:strRef>
              <c:f>Sheet2!$I$13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minus"/>
            <c:errValType val="percentage"/>
            <c:noEndCap val="0"/>
            <c:val val="100"/>
          </c:errBars>
          <c:cat>
            <c:strRef>
              <c:f>Sheet2!$J$11:$K$11</c:f>
              <c:strCache>
                <c:ptCount val="2"/>
                <c:pt idx="0">
                  <c:v>Corn flakes</c:v>
                </c:pt>
                <c:pt idx="1">
                  <c:v>Oat bran</c:v>
                </c:pt>
              </c:strCache>
            </c:strRef>
          </c:cat>
          <c:val>
            <c:numRef>
              <c:f>Sheet2!$J$13:$K$13</c:f>
              <c:numCache>
                <c:formatCode>General</c:formatCode>
                <c:ptCount val="2"/>
                <c:pt idx="0">
                  <c:v>1.6625</c:v>
                </c:pt>
                <c:pt idx="1">
                  <c:v>1.85</c:v>
                </c:pt>
              </c:numCache>
            </c:numRef>
          </c:val>
        </c:ser>
        <c:ser>
          <c:idx val="2"/>
          <c:order val="2"/>
          <c:tx>
            <c:strRef>
              <c:f>Sheet2!$I$14</c:f>
              <c:strCache>
                <c:ptCount val="1"/>
                <c:pt idx="0">
                  <c:v>Med-Q1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Sheet2!$J$11:$K$11</c:f>
              <c:strCache>
                <c:ptCount val="2"/>
                <c:pt idx="0">
                  <c:v>Corn flakes</c:v>
                </c:pt>
                <c:pt idx="1">
                  <c:v>Oat bran</c:v>
                </c:pt>
              </c:strCache>
            </c:strRef>
          </c:cat>
          <c:val>
            <c:numRef>
              <c:f>Sheet2!$J$14:$K$14</c:f>
              <c:numCache>
                <c:formatCode>General</c:formatCode>
                <c:ptCount val="2"/>
                <c:pt idx="0">
                  <c:v>0.527499999999999</c:v>
                </c:pt>
                <c:pt idx="1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Sheet2!$I$15</c:f>
              <c:strCache>
                <c:ptCount val="1"/>
                <c:pt idx="0">
                  <c:v>Q3-Med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plus"/>
            <c:errValType val="cust"/>
            <c:noEndCap val="0"/>
            <c:plus>
              <c:numRef>
                <c:f>Sheet2!$J$16:$K$16</c:f>
                <c:numCache>
                  <c:formatCode>General</c:formatCode>
                  <c:ptCount val="2"/>
                  <c:pt idx="0">
                    <c:v>1.51</c:v>
                  </c:pt>
                  <c:pt idx="1">
                    <c:v>1.1475</c:v>
                  </c:pt>
                </c:numCache>
              </c:numRef>
            </c:plus>
          </c:errBars>
          <c:cat>
            <c:strRef>
              <c:f>Sheet2!$J$11:$K$11</c:f>
              <c:strCache>
                <c:ptCount val="2"/>
                <c:pt idx="0">
                  <c:v>Corn flakes</c:v>
                </c:pt>
                <c:pt idx="1">
                  <c:v>Oat bran</c:v>
                </c:pt>
              </c:strCache>
            </c:strRef>
          </c:cat>
          <c:val>
            <c:numRef>
              <c:f>Sheet2!$J$15:$K$15</c:f>
              <c:numCache>
                <c:formatCode>General</c:formatCode>
                <c:ptCount val="2"/>
                <c:pt idx="0">
                  <c:v>0.470000000000001</c:v>
                </c:pt>
                <c:pt idx="1">
                  <c:v>0.8625</c:v>
                </c:pt>
              </c:numCache>
            </c:numRef>
          </c:val>
        </c:ser>
        <c:gapWidth val="150"/>
        <c:overlap val="100"/>
        <c:axId val="73427697"/>
        <c:axId val="85723442"/>
      </c:barChart>
      <c:catAx>
        <c:axId val="734276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723442"/>
        <c:crosses val="autoZero"/>
        <c:auto val="1"/>
        <c:lblAlgn val="ctr"/>
        <c:lblOffset val="100"/>
      </c:catAx>
      <c:valAx>
        <c:axId val="8572344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42769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QQ Plot - Corn flakes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(Series1)</c:nam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Sheet2!$R$16:$R$29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Sheet2!$S$16:$S$29</c:f>
              <c:numCache>
                <c:formatCode>General</c:formatCode>
                <c:ptCount val="14"/>
                <c:pt idx="0">
                  <c:v>-1.80274309073919</c:v>
                </c:pt>
                <c:pt idx="1">
                  <c:v>-1.24186679184332</c:v>
                </c:pt>
                <c:pt idx="2">
                  <c:v>-0.920822976368379</c:v>
                </c:pt>
                <c:pt idx="3">
                  <c:v>-0.674489750196082</c:v>
                </c:pt>
                <c:pt idx="4">
                  <c:v>-0.463707751457179</c:v>
                </c:pt>
                <c:pt idx="5">
                  <c:v>-0.271880005399261</c:v>
                </c:pt>
                <c:pt idx="6">
                  <c:v>-0.0896423510757625</c:v>
                </c:pt>
                <c:pt idx="7">
                  <c:v>0.0896423510757625</c:v>
                </c:pt>
                <c:pt idx="8">
                  <c:v>0.271880005399261</c:v>
                </c:pt>
                <c:pt idx="9">
                  <c:v>0.463707751457179</c:v>
                </c:pt>
                <c:pt idx="10">
                  <c:v>0.674489750196082</c:v>
                </c:pt>
                <c:pt idx="11">
                  <c:v>0.920822976368379</c:v>
                </c:pt>
                <c:pt idx="12">
                  <c:v>1.24186679184332</c:v>
                </c:pt>
                <c:pt idx="13">
                  <c:v>1.80274309073919</c:v>
                </c:pt>
              </c:numCache>
            </c:numRef>
          </c:yVal>
          <c:smooth val="0"/>
        </c:ser>
        <c:axId val="87840364"/>
        <c:axId val="6466773"/>
      </c:scatterChart>
      <c:valAx>
        <c:axId val="878403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Data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66773"/>
        <c:crosses val="autoZero"/>
        <c:crossBetween val="midCat"/>
      </c:valAx>
      <c:valAx>
        <c:axId val="6466773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Std Normal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8403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QQ Plot - Oat bran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(Series1)</c:nam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Sheet2!$W$16:$W$29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Sheet2!$X$16:$X$29</c:f>
              <c:numCache>
                <c:formatCode>General</c:formatCode>
                <c:ptCount val="14"/>
                <c:pt idx="0">
                  <c:v>-1.80274309073919</c:v>
                </c:pt>
                <c:pt idx="1">
                  <c:v>-1.24186679184332</c:v>
                </c:pt>
                <c:pt idx="2">
                  <c:v>-0.920822976368379</c:v>
                </c:pt>
                <c:pt idx="3">
                  <c:v>-0.674489750196082</c:v>
                </c:pt>
                <c:pt idx="4">
                  <c:v>-0.463707751457179</c:v>
                </c:pt>
                <c:pt idx="5">
                  <c:v>-0.271880005399261</c:v>
                </c:pt>
                <c:pt idx="6">
                  <c:v>-0.0896423510757625</c:v>
                </c:pt>
                <c:pt idx="7">
                  <c:v>0.0896423510757625</c:v>
                </c:pt>
                <c:pt idx="8">
                  <c:v>0.271880005399261</c:v>
                </c:pt>
                <c:pt idx="9">
                  <c:v>0.463707751457179</c:v>
                </c:pt>
                <c:pt idx="10">
                  <c:v>0.674489750196082</c:v>
                </c:pt>
                <c:pt idx="11">
                  <c:v>0.920822976368379</c:v>
                </c:pt>
                <c:pt idx="12">
                  <c:v>1.24186679184332</c:v>
                </c:pt>
                <c:pt idx="13">
                  <c:v>1.80274309073919</c:v>
                </c:pt>
              </c:numCache>
            </c:numRef>
          </c:yVal>
          <c:smooth val="0"/>
        </c:ser>
        <c:axId val="57830975"/>
        <c:axId val="29172347"/>
      </c:scatterChart>
      <c:valAx>
        <c:axId val="57830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Data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172347"/>
        <c:crosses val="autoZero"/>
        <c:crossBetween val="midCat"/>
      </c:valAx>
      <c:valAx>
        <c:axId val="29172347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Std Normal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8309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			Difference of LDL cholesterol betwen 
CF and OB meals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'Before&amp;After Test'!$H$15:$H$15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'Before&amp;After Test'!$I$14:$I$14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'Before&amp;After Test'!$I$15:$I$15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'Before&amp;After Test'!$H$16:$H$16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minus"/>
            <c:errValType val="percentage"/>
            <c:noEndCap val="0"/>
            <c:val val="100"/>
          </c:errBars>
          <c:cat>
            <c:strRef>
              <c:f>'Before&amp;After Test'!$I$14:$I$14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'Before&amp;After Test'!$I$16:$I$16</c:f>
              <c:numCache>
                <c:formatCode>General</c:formatCode>
                <c:ptCount val="1"/>
                <c:pt idx="0">
                  <c:v>0.592499999999999</c:v>
                </c:pt>
              </c:numCache>
            </c:numRef>
          </c:val>
        </c:ser>
        <c:ser>
          <c:idx val="2"/>
          <c:order val="2"/>
          <c:tx>
            <c:strRef>
              <c:f>'Before&amp;After Test'!$H$17:$H$17</c:f>
              <c:strCache>
                <c:ptCount val="1"/>
                <c:pt idx="0">
                  <c:v>Med-Q1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'Before&amp;After Test'!$I$14:$I$14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'Before&amp;After Test'!$I$17:$I$17</c:f>
              <c:numCache>
                <c:formatCode>General</c:formatCode>
                <c:ptCount val="1"/>
                <c:pt idx="0">
                  <c:v>0.3125</c:v>
                </c:pt>
              </c:numCache>
            </c:numRef>
          </c:val>
        </c:ser>
        <c:ser>
          <c:idx val="3"/>
          <c:order val="3"/>
          <c:tx>
            <c:strRef>
              <c:f>'Before&amp;After Test'!$H$18:$H$18</c:f>
              <c:strCache>
                <c:ptCount val="1"/>
                <c:pt idx="0">
                  <c:v>Q3-Med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plus"/>
            <c:errValType val="cust"/>
            <c:noEndCap val="0"/>
            <c:plus>
              <c:numRef>
                <c:f>'Before&amp;After Test'!$I$19:$I$19</c:f>
                <c:numCache>
                  <c:formatCode>General</c:formatCode>
                  <c:ptCount val="1"/>
                  <c:pt idx="0">
                    <c:v>0.1275</c:v>
                  </c:pt>
                </c:numCache>
              </c:numRef>
            </c:plus>
          </c:errBars>
          <c:cat>
            <c:strRef>
              <c:f>'Before&amp;After Test'!$I$14:$I$14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'Before&amp;After Test'!$I$18:$I$18</c:f>
              <c:numCache>
                <c:formatCode>General</c:formatCode>
                <c:ptCount val="1"/>
                <c:pt idx="0">
                  <c:v>0.2775</c:v>
                </c:pt>
              </c:numCache>
            </c:numRef>
          </c:val>
        </c:ser>
        <c:gapWidth val="150"/>
        <c:overlap val="100"/>
        <c:axId val="95260361"/>
        <c:axId val="98280154"/>
      </c:barChart>
      <c:catAx>
        <c:axId val="95260361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280154"/>
        <c:crosses val="autoZero"/>
        <c:auto val="1"/>
        <c:lblAlgn val="ctr"/>
        <c:lblOffset val="100"/>
      </c:catAx>
      <c:valAx>
        <c:axId val="9828015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LDL Cholesterol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2603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QQ Plot - MeanDifference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(Series1)</c:nam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'Before&amp;After Test'!$I$32:$I$43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'Before&amp;After Test'!$J$32:$J$43</c:f>
              <c:numCache>
                <c:formatCode>General</c:formatCode>
                <c:ptCount val="12"/>
                <c:pt idx="0">
                  <c:v>-1.73166439612225</c:v>
                </c:pt>
                <c:pt idx="1">
                  <c:v>-1.15034938037601</c:v>
                </c:pt>
                <c:pt idx="2">
                  <c:v>-0.812217801499913</c:v>
                </c:pt>
                <c:pt idx="3">
                  <c:v>-0.548522282698098</c:v>
                </c:pt>
                <c:pt idx="4">
                  <c:v>-0.318639363964375</c:v>
                </c:pt>
                <c:pt idx="5">
                  <c:v>-0.104633455614075</c:v>
                </c:pt>
                <c:pt idx="6">
                  <c:v>0.104633455614075</c:v>
                </c:pt>
                <c:pt idx="7">
                  <c:v>0.318639363964375</c:v>
                </c:pt>
                <c:pt idx="8">
                  <c:v>0.548522282698098</c:v>
                </c:pt>
                <c:pt idx="9">
                  <c:v>0.812217801499913</c:v>
                </c:pt>
                <c:pt idx="10">
                  <c:v>1.15034938037601</c:v>
                </c:pt>
                <c:pt idx="11">
                  <c:v>1.73166439612225</c:v>
                </c:pt>
              </c:numCache>
            </c:numRef>
          </c:yVal>
          <c:smooth val="0"/>
        </c:ser>
        <c:axId val="75461416"/>
        <c:axId val="85028541"/>
      </c:scatterChart>
      <c:valAx>
        <c:axId val="75461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Data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028541"/>
        <c:crosses val="autoZero"/>
        <c:crossBetween val="midCat"/>
      </c:valAx>
      <c:valAx>
        <c:axId val="8502854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Std Normal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4614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gif"/><Relationship Id="rId2" Type="http://schemas.openxmlformats.org/officeDocument/2006/relationships/chart" Target="../charts/chart1.xml"/><Relationship Id="rId3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495360</xdr:colOff>
      <xdr:row>5</xdr:row>
      <xdr:rowOff>0</xdr:rowOff>
    </xdr:from>
    <xdr:to>
      <xdr:col>11</xdr:col>
      <xdr:colOff>204840</xdr:colOff>
      <xdr:row>10</xdr:row>
      <xdr:rowOff>132840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076800" y="971280"/>
          <a:ext cx="3519360" cy="108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476280</xdr:colOff>
      <xdr:row>48</xdr:row>
      <xdr:rowOff>14400</xdr:rowOff>
    </xdr:from>
    <xdr:to>
      <xdr:col>21</xdr:col>
      <xdr:colOff>171000</xdr:colOff>
      <xdr:row>62</xdr:row>
      <xdr:rowOff>90360</xdr:rowOff>
    </xdr:to>
    <xdr:graphicFrame>
      <xdr:nvGraphicFramePr>
        <xdr:cNvPr id="1" name="Chart 2"/>
        <xdr:cNvGraphicFramePr/>
      </xdr:nvGraphicFramePr>
      <xdr:xfrm>
        <a:off x="11391840" y="9605880"/>
        <a:ext cx="5790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28440</xdr:colOff>
      <xdr:row>31</xdr:row>
      <xdr:rowOff>109440</xdr:rowOff>
    </xdr:from>
    <xdr:to>
      <xdr:col>20</xdr:col>
      <xdr:colOff>333000</xdr:colOff>
      <xdr:row>45</xdr:row>
      <xdr:rowOff>185400</xdr:rowOff>
    </xdr:to>
    <xdr:graphicFrame>
      <xdr:nvGraphicFramePr>
        <xdr:cNvPr id="2" name="Chart 3"/>
        <xdr:cNvGraphicFramePr/>
      </xdr:nvGraphicFramePr>
      <xdr:xfrm>
        <a:off x="10944000" y="6462360"/>
        <a:ext cx="56383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399960</xdr:colOff>
      <xdr:row>10</xdr:row>
      <xdr:rowOff>104760</xdr:rowOff>
    </xdr:from>
    <xdr:to>
      <xdr:col>15</xdr:col>
      <xdr:colOff>94680</xdr:colOff>
      <xdr:row>24</xdr:row>
      <xdr:rowOff>180720</xdr:rowOff>
    </xdr:to>
    <xdr:graphicFrame>
      <xdr:nvGraphicFramePr>
        <xdr:cNvPr id="3" name="Chart 1"/>
        <xdr:cNvGraphicFramePr/>
      </xdr:nvGraphicFramePr>
      <xdr:xfrm>
        <a:off x="5733720" y="2009520"/>
        <a:ext cx="5790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0</xdr:colOff>
      <xdr:row>7</xdr:row>
      <xdr:rowOff>162000</xdr:rowOff>
    </xdr:from>
    <xdr:to>
      <xdr:col>23</xdr:col>
      <xdr:colOff>304560</xdr:colOff>
      <xdr:row>22</xdr:row>
      <xdr:rowOff>47520</xdr:rowOff>
    </xdr:to>
    <xdr:graphicFrame>
      <xdr:nvGraphicFramePr>
        <xdr:cNvPr id="4" name="Chart 2"/>
        <xdr:cNvGraphicFramePr/>
      </xdr:nvGraphicFramePr>
      <xdr:xfrm>
        <a:off x="12191760" y="1495440"/>
        <a:ext cx="56386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371520</xdr:colOff>
      <xdr:row>26</xdr:row>
      <xdr:rowOff>57240</xdr:rowOff>
    </xdr:from>
    <xdr:to>
      <xdr:col>15</xdr:col>
      <xdr:colOff>66240</xdr:colOff>
      <xdr:row>40</xdr:row>
      <xdr:rowOff>133200</xdr:rowOff>
    </xdr:to>
    <xdr:graphicFrame>
      <xdr:nvGraphicFramePr>
        <xdr:cNvPr id="5" name="Chart 3"/>
        <xdr:cNvGraphicFramePr/>
      </xdr:nvGraphicFramePr>
      <xdr:xfrm>
        <a:off x="5705280" y="5010120"/>
        <a:ext cx="5790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447120</xdr:colOff>
      <xdr:row>11</xdr:row>
      <xdr:rowOff>150480</xdr:rowOff>
    </xdr:from>
    <xdr:to>
      <xdr:col>16</xdr:col>
      <xdr:colOff>561960</xdr:colOff>
      <xdr:row>21</xdr:row>
      <xdr:rowOff>309960</xdr:rowOff>
    </xdr:to>
    <xdr:graphicFrame>
      <xdr:nvGraphicFramePr>
        <xdr:cNvPr id="6" name="Chart 5"/>
        <xdr:cNvGraphicFramePr/>
      </xdr:nvGraphicFramePr>
      <xdr:xfrm>
        <a:off x="9619560" y="2078280"/>
        <a:ext cx="5782320" cy="213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315720</xdr:colOff>
      <xdr:row>31</xdr:row>
      <xdr:rowOff>53640</xdr:rowOff>
    </xdr:from>
    <xdr:to>
      <xdr:col>19</xdr:col>
      <xdr:colOff>3960</xdr:colOff>
      <xdr:row>47</xdr:row>
      <xdr:rowOff>14400</xdr:rowOff>
    </xdr:to>
    <xdr:graphicFrame>
      <xdr:nvGraphicFramePr>
        <xdr:cNvPr id="7" name="Chart 7"/>
        <xdr:cNvGraphicFramePr/>
      </xdr:nvGraphicFramePr>
      <xdr:xfrm>
        <a:off x="11107440" y="5911920"/>
        <a:ext cx="6165000" cy="276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7.5668016194332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4"/>
      <c r="O1" s="1"/>
      <c r="P1" s="3"/>
      <c r="Q1" s="3"/>
      <c r="R1" s="3"/>
      <c r="S1" s="3"/>
      <c r="T1" s="3"/>
      <c r="U1" s="3"/>
      <c r="V1" s="3"/>
      <c r="W1" s="3"/>
      <c r="X1" s="4"/>
    </row>
    <row r="2" customFormat="false" ht="15" hidden="false" customHeight="false" outlineLevel="0" collapsed="false">
      <c r="A2" s="5"/>
      <c r="B2" s="6" t="n">
        <v>4.61</v>
      </c>
      <c r="C2" s="6" t="n">
        <v>3.84</v>
      </c>
      <c r="D2" s="7"/>
      <c r="E2" s="7"/>
      <c r="F2" s="7"/>
      <c r="G2" s="7"/>
      <c r="H2" s="7"/>
      <c r="I2" s="7"/>
      <c r="J2" s="7"/>
      <c r="K2" s="7"/>
      <c r="L2" s="7"/>
      <c r="M2" s="8"/>
      <c r="O2" s="5" t="s">
        <v>2</v>
      </c>
      <c r="P2" s="7"/>
      <c r="Q2" s="7"/>
      <c r="R2" s="7"/>
      <c r="S2" s="7"/>
      <c r="T2" s="7"/>
      <c r="U2" s="7"/>
      <c r="V2" s="7"/>
      <c r="W2" s="7"/>
      <c r="X2" s="8"/>
    </row>
    <row r="3" customFormat="false" ht="15" hidden="false" customHeight="false" outlineLevel="0" collapsed="false">
      <c r="A3" s="5"/>
      <c r="B3" s="6" t="n">
        <v>6.42</v>
      </c>
      <c r="C3" s="6" t="n">
        <v>5.57</v>
      </c>
      <c r="D3" s="7"/>
      <c r="E3" s="7"/>
      <c r="F3" s="7"/>
      <c r="G3" s="7"/>
      <c r="H3" s="7"/>
      <c r="I3" s="7"/>
      <c r="J3" s="7"/>
      <c r="K3" s="7"/>
      <c r="L3" s="7"/>
      <c r="M3" s="8"/>
      <c r="O3" s="5"/>
      <c r="P3" s="7"/>
      <c r="Q3" s="7"/>
      <c r="R3" s="7"/>
      <c r="S3" s="7"/>
      <c r="T3" s="7"/>
      <c r="U3" s="7"/>
      <c r="V3" s="7"/>
      <c r="W3" s="7"/>
      <c r="X3" s="8"/>
    </row>
    <row r="4" customFormat="false" ht="15.75" hidden="false" customHeight="false" outlineLevel="0" collapsed="false">
      <c r="A4" s="5"/>
      <c r="B4" s="6" t="n">
        <v>5.4</v>
      </c>
      <c r="C4" s="6" t="n">
        <v>5.85</v>
      </c>
      <c r="D4" s="7"/>
      <c r="E4" s="7"/>
      <c r="F4" s="7" t="s">
        <v>3</v>
      </c>
      <c r="G4" s="7"/>
      <c r="H4" s="7"/>
      <c r="I4" s="7"/>
      <c r="J4" s="7"/>
      <c r="K4" s="7"/>
      <c r="L4" s="7"/>
      <c r="M4" s="8"/>
      <c r="O4" s="5" t="s">
        <v>4</v>
      </c>
      <c r="P4" s="7"/>
      <c r="Q4" s="7"/>
      <c r="R4" s="7" t="s">
        <v>5</v>
      </c>
      <c r="S4" s="7" t="n">
        <v>0</v>
      </c>
      <c r="T4" s="7"/>
      <c r="U4" s="7"/>
      <c r="V4" s="7"/>
      <c r="W4" s="7"/>
      <c r="X4" s="8"/>
    </row>
    <row r="5" customFormat="false" ht="15.75" hidden="false" customHeight="false" outlineLevel="0" collapsed="false">
      <c r="A5" s="5"/>
      <c r="B5" s="6" t="n">
        <v>4.54</v>
      </c>
      <c r="C5" s="6" t="n">
        <v>4.8</v>
      </c>
      <c r="D5" s="7"/>
      <c r="E5" s="7"/>
      <c r="F5" s="7"/>
      <c r="G5" s="7"/>
      <c r="H5" s="7"/>
      <c r="I5" s="7"/>
      <c r="J5" s="7"/>
      <c r="K5" s="7"/>
      <c r="L5" s="7"/>
      <c r="M5" s="8"/>
      <c r="O5" s="9" t="s">
        <v>6</v>
      </c>
      <c r="P5" s="10" t="s">
        <v>7</v>
      </c>
      <c r="Q5" s="10" t="s">
        <v>8</v>
      </c>
      <c r="R5" s="10" t="s">
        <v>9</v>
      </c>
      <c r="S5" s="10" t="s">
        <v>10</v>
      </c>
      <c r="T5" s="7"/>
      <c r="U5" s="7"/>
      <c r="V5" s="7"/>
      <c r="W5" s="7"/>
      <c r="X5" s="8"/>
    </row>
    <row r="6" customFormat="false" ht="15" hidden="false" customHeight="false" outlineLevel="0" collapsed="false">
      <c r="A6" s="5"/>
      <c r="B6" s="6" t="n">
        <v>3.98</v>
      </c>
      <c r="C6" s="6" t="n">
        <v>3.68</v>
      </c>
      <c r="D6" s="7"/>
      <c r="E6" s="7"/>
      <c r="F6" s="7"/>
      <c r="G6" s="7"/>
      <c r="H6" s="7"/>
      <c r="I6" s="7"/>
      <c r="J6" s="7"/>
      <c r="K6" s="7"/>
      <c r="L6" s="7"/>
      <c r="M6" s="8"/>
      <c r="O6" s="6" t="str">
        <f aca="false">B1</f>
        <v>Corn flakes</v>
      </c>
      <c r="P6" s="6" t="n">
        <f aca="false">COUNT(B2:B15)</f>
        <v>14</v>
      </c>
      <c r="Q6" s="6" t="n">
        <f aca="false">AVERAGE(B2:B15)</f>
        <v>4.44357142857143</v>
      </c>
      <c r="R6" s="6" t="n">
        <f aca="false">VAR(B2:B15)</f>
        <v>0.938640109890103</v>
      </c>
      <c r="S6" s="6"/>
      <c r="T6" s="7"/>
      <c r="U6" s="7"/>
      <c r="V6" s="7"/>
      <c r="W6" s="7"/>
      <c r="X6" s="8"/>
    </row>
    <row r="7" customFormat="false" ht="15" hidden="false" customHeight="false" outlineLevel="0" collapsed="false">
      <c r="A7" s="5"/>
      <c r="B7" s="6" t="n">
        <v>3.82</v>
      </c>
      <c r="C7" s="6" t="n">
        <v>2.96</v>
      </c>
      <c r="D7" s="7"/>
      <c r="E7" s="7"/>
      <c r="F7" s="7"/>
      <c r="G7" s="7"/>
      <c r="H7" s="7"/>
      <c r="I7" s="7"/>
      <c r="J7" s="7"/>
      <c r="K7" s="7"/>
      <c r="L7" s="7"/>
      <c r="M7" s="8"/>
      <c r="O7" s="6" t="str">
        <f aca="false">C1</f>
        <v>Oat bran</v>
      </c>
      <c r="P7" s="6" t="n">
        <f aca="false">COUNT(C2:C15)</f>
        <v>14</v>
      </c>
      <c r="Q7" s="6" t="n">
        <f aca="false">AVERAGE(C2:C15)</f>
        <v>4.08071428571429</v>
      </c>
      <c r="R7" s="6" t="n">
        <f aca="false">VAR(C2:C15)</f>
        <v>1.11720714285715</v>
      </c>
      <c r="S7" s="6"/>
      <c r="T7" s="7"/>
      <c r="U7" s="7"/>
      <c r="V7" s="7"/>
      <c r="W7" s="7"/>
      <c r="X7" s="8"/>
    </row>
    <row r="8" customFormat="false" ht="15" hidden="false" customHeight="false" outlineLevel="0" collapsed="false">
      <c r="A8" s="5"/>
      <c r="B8" s="6" t="n">
        <v>5.01</v>
      </c>
      <c r="C8" s="6" t="n">
        <v>4.41</v>
      </c>
      <c r="D8" s="7"/>
      <c r="E8" s="7"/>
      <c r="F8" s="7"/>
      <c r="G8" s="7"/>
      <c r="H8" s="7"/>
      <c r="I8" s="7"/>
      <c r="J8" s="7"/>
      <c r="K8" s="7"/>
      <c r="L8" s="7"/>
      <c r="M8" s="8"/>
      <c r="O8" s="6" t="s">
        <v>11</v>
      </c>
      <c r="P8" s="6"/>
      <c r="Q8" s="6"/>
      <c r="R8" s="6" t="n">
        <f aca="false">((P6-1)*R6+(P7-1)*R7)/(P6+P7-2)</f>
        <v>1.02792362637363</v>
      </c>
      <c r="S8" s="6" t="n">
        <f aca="false">ABS(Q6-Q7-S4)/SQRT(R8)</f>
        <v>0.357894687999644</v>
      </c>
      <c r="T8" s="7"/>
      <c r="U8" s="7"/>
      <c r="V8" s="7"/>
      <c r="W8" s="7"/>
      <c r="X8" s="8"/>
    </row>
    <row r="9" customFormat="false" ht="15" hidden="false" customHeight="false" outlineLevel="0" collapsed="false">
      <c r="A9" s="5"/>
      <c r="B9" s="6" t="n">
        <v>4.34</v>
      </c>
      <c r="C9" s="6" t="n">
        <v>3.72</v>
      </c>
      <c r="D9" s="7"/>
      <c r="E9" s="7"/>
      <c r="F9" s="7"/>
      <c r="G9" s="7"/>
      <c r="H9" s="7"/>
      <c r="I9" s="7"/>
      <c r="J9" s="7"/>
      <c r="K9" s="7"/>
      <c r="L9" s="7"/>
      <c r="M9" s="8"/>
      <c r="O9" s="5"/>
      <c r="P9" s="7"/>
      <c r="Q9" s="7"/>
      <c r="R9" s="7"/>
      <c r="S9" s="7"/>
      <c r="T9" s="7"/>
      <c r="U9" s="7"/>
      <c r="V9" s="7"/>
      <c r="W9" s="7"/>
      <c r="X9" s="8"/>
    </row>
    <row r="10" customFormat="false" ht="15" hidden="false" customHeight="false" outlineLevel="0" collapsed="false">
      <c r="A10" s="5"/>
      <c r="B10" s="6" t="n">
        <v>3.8</v>
      </c>
      <c r="C10" s="6" t="n">
        <v>3.49</v>
      </c>
      <c r="D10" s="7"/>
      <c r="E10" s="7"/>
      <c r="F10" s="7"/>
      <c r="G10" s="7"/>
      <c r="H10" s="7"/>
      <c r="I10" s="7"/>
      <c r="J10" s="7"/>
      <c r="K10" s="7"/>
      <c r="L10" s="7"/>
      <c r="M10" s="8"/>
      <c r="O10" s="5" t="s">
        <v>12</v>
      </c>
      <c r="P10" s="7"/>
      <c r="Q10" s="7"/>
      <c r="R10" s="7"/>
      <c r="S10" s="7" t="s">
        <v>13</v>
      </c>
      <c r="T10" s="7" t="n">
        <v>0.05</v>
      </c>
      <c r="U10" s="7"/>
      <c r="V10" s="7"/>
      <c r="W10" s="7"/>
      <c r="X10" s="8"/>
    </row>
    <row r="11" customFormat="false" ht="15" hidden="false" customHeight="false" outlineLevel="0" collapsed="false">
      <c r="A11" s="5"/>
      <c r="B11" s="6" t="n">
        <v>4.56</v>
      </c>
      <c r="C11" s="6" t="n">
        <v>3.84</v>
      </c>
      <c r="D11" s="7"/>
      <c r="E11" s="7"/>
      <c r="F11" s="7"/>
      <c r="G11" s="7"/>
      <c r="H11" s="7"/>
      <c r="I11" s="7"/>
      <c r="J11" s="7"/>
      <c r="K11" s="7"/>
      <c r="L11" s="7"/>
      <c r="M11" s="8"/>
      <c r="O11" s="11" t="s">
        <v>14</v>
      </c>
      <c r="P11" s="11" t="s">
        <v>15</v>
      </c>
      <c r="Q11" s="11" t="s">
        <v>16</v>
      </c>
      <c r="R11" s="11" t="s">
        <v>17</v>
      </c>
      <c r="S11" s="11" t="s">
        <v>18</v>
      </c>
      <c r="T11" s="11" t="s">
        <v>19</v>
      </c>
      <c r="U11" s="11" t="s">
        <v>20</v>
      </c>
      <c r="V11" s="11" t="s">
        <v>21</v>
      </c>
      <c r="W11" s="11" t="s">
        <v>22</v>
      </c>
      <c r="X11" s="11" t="s">
        <v>23</v>
      </c>
    </row>
    <row r="12" customFormat="false" ht="15" hidden="false" customHeight="false" outlineLevel="0" collapsed="false">
      <c r="A12" s="5"/>
      <c r="B12" s="6" t="n">
        <v>5.35</v>
      </c>
      <c r="C12" s="6" t="n">
        <v>5.26</v>
      </c>
      <c r="D12" s="7"/>
      <c r="E12" s="7"/>
      <c r="F12" s="7" t="s">
        <v>24</v>
      </c>
      <c r="G12" s="7"/>
      <c r="H12" s="7"/>
      <c r="I12" s="7"/>
      <c r="J12" s="7"/>
      <c r="K12" s="7"/>
      <c r="L12" s="7"/>
      <c r="M12" s="8"/>
      <c r="O12" s="6" t="s">
        <v>25</v>
      </c>
      <c r="P12" s="6" t="n">
        <f aca="false">SQRT(R8*(1/P6+1/P7))</f>
        <v>0.383205209175305</v>
      </c>
      <c r="Q12" s="6" t="n">
        <f aca="false">(ABS(Q6-Q7-S4))/P12</f>
        <v>0.946900339998112</v>
      </c>
      <c r="R12" s="6" t="n">
        <f aca="false">P6+P7-2</f>
        <v>26</v>
      </c>
      <c r="S12" s="6" t="n">
        <f aca="false">TDIST(Q12,R12,1)</f>
        <v>0.1762038528763</v>
      </c>
      <c r="T12" s="6" t="n">
        <f aca="false">TINV(T10*2,R12)</f>
        <v>1.70561791975927</v>
      </c>
      <c r="U12" s="6"/>
      <c r="V12" s="6"/>
      <c r="W12" s="12" t="str">
        <f aca="false">IF(S12&lt;T10,"yes","no")</f>
        <v>no</v>
      </c>
      <c r="X12" s="6" t="n">
        <f aca="false">SQRT(Q12^2/(Q12^2+R12))</f>
        <v>0.18258093081702</v>
      </c>
    </row>
    <row r="13" customFormat="false" ht="15" hidden="false" customHeight="false" outlineLevel="0" collapsed="false">
      <c r="A13" s="5"/>
      <c r="B13" s="6" t="n">
        <v>3.89</v>
      </c>
      <c r="C13" s="6" t="n">
        <v>3.73</v>
      </c>
      <c r="D13" s="7"/>
      <c r="E13" s="7"/>
      <c r="F13" s="7"/>
      <c r="G13" s="7"/>
      <c r="H13" s="7"/>
      <c r="I13" s="7"/>
      <c r="J13" s="7"/>
      <c r="K13" s="7"/>
      <c r="L13" s="7"/>
      <c r="M13" s="8"/>
      <c r="O13" s="6" t="s">
        <v>26</v>
      </c>
      <c r="P13" s="6" t="n">
        <f aca="false">P12</f>
        <v>0.383205209175305</v>
      </c>
      <c r="Q13" s="6" t="n">
        <f aca="false">Q12</f>
        <v>0.946900339998112</v>
      </c>
      <c r="R13" s="6" t="n">
        <f aca="false">R12</f>
        <v>26</v>
      </c>
      <c r="S13" s="6" t="n">
        <f aca="false">TDIST(Q13,R13,2)</f>
        <v>0.3524077057526</v>
      </c>
      <c r="T13" s="6" t="n">
        <f aca="false">TINV(T10,R13)</f>
        <v>2.05552943864287</v>
      </c>
      <c r="U13" s="6" t="n">
        <f aca="false">(Q6-Q7)-T13*P13</f>
        <v>-0.424832445643996</v>
      </c>
      <c r="V13" s="6" t="n">
        <f aca="false">(Q6-Q7)+T13*P13</f>
        <v>1.15054673135828</v>
      </c>
      <c r="W13" s="12" t="str">
        <f aca="false">IF(S13&lt;T10,"yes","no")</f>
        <v>no</v>
      </c>
      <c r="X13" s="6" t="n">
        <f aca="false">X12</f>
        <v>0.18258093081702</v>
      </c>
    </row>
    <row r="14" customFormat="false" ht="15" hidden="false" customHeight="false" outlineLevel="0" collapsed="false">
      <c r="A14" s="5"/>
      <c r="B14" s="6" t="n">
        <v>2.25</v>
      </c>
      <c r="C14" s="6" t="n">
        <v>1.84</v>
      </c>
      <c r="D14" s="7"/>
      <c r="E14" s="7"/>
      <c r="F14" s="7"/>
      <c r="G14" s="7"/>
      <c r="H14" s="7"/>
      <c r="I14" s="7"/>
      <c r="J14" s="7"/>
      <c r="K14" s="7"/>
      <c r="L14" s="7"/>
      <c r="M14" s="8"/>
      <c r="O14" s="13"/>
      <c r="P14" s="14"/>
      <c r="Q14" s="14"/>
      <c r="R14" s="14"/>
      <c r="S14" s="14"/>
      <c r="T14" s="14"/>
      <c r="U14" s="14"/>
      <c r="V14" s="14"/>
      <c r="W14" s="14"/>
      <c r="X14" s="15"/>
    </row>
    <row r="15" customFormat="false" ht="15.75" hidden="false" customHeight="false" outlineLevel="0" collapsed="false">
      <c r="A15" s="5"/>
      <c r="B15" s="6" t="n">
        <v>4.24</v>
      </c>
      <c r="C15" s="6" t="n">
        <v>4.14</v>
      </c>
      <c r="D15" s="7"/>
      <c r="E15" s="7"/>
      <c r="F15" s="7"/>
      <c r="G15" s="7"/>
      <c r="H15" s="7"/>
      <c r="I15" s="7"/>
      <c r="J15" s="7"/>
      <c r="K15" s="7"/>
      <c r="L15" s="7"/>
      <c r="M15" s="8"/>
      <c r="O15" s="5" t="s">
        <v>27</v>
      </c>
      <c r="P15" s="7"/>
      <c r="Q15" s="7"/>
      <c r="R15" s="7"/>
      <c r="S15" s="7" t="s">
        <v>13</v>
      </c>
      <c r="T15" s="7" t="n">
        <f aca="false">T10</f>
        <v>0.05</v>
      </c>
      <c r="U15" s="7"/>
      <c r="V15" s="7"/>
      <c r="W15" s="7"/>
      <c r="X15" s="8"/>
    </row>
    <row r="16" customFormat="false" ht="15.75" hidden="false" customHeight="false" outlineLevel="0" collapsed="false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O16" s="9" t="s">
        <v>14</v>
      </c>
      <c r="P16" s="10" t="s">
        <v>15</v>
      </c>
      <c r="Q16" s="10" t="s">
        <v>16</v>
      </c>
      <c r="R16" s="10" t="s">
        <v>17</v>
      </c>
      <c r="S16" s="10" t="s">
        <v>18</v>
      </c>
      <c r="T16" s="10" t="s">
        <v>19</v>
      </c>
      <c r="U16" s="10" t="s">
        <v>20</v>
      </c>
      <c r="V16" s="10" t="s">
        <v>21</v>
      </c>
      <c r="W16" s="10" t="s">
        <v>22</v>
      </c>
      <c r="X16" s="16" t="s">
        <v>23</v>
      </c>
    </row>
    <row r="17" customFormat="false" ht="15" hidden="false" customHeight="false" outlineLevel="0" collapsed="false">
      <c r="A17" s="17" t="s">
        <v>8</v>
      </c>
      <c r="B17" s="6" t="n">
        <f aca="false">[1]!MEAN(B2:B15)</f>
        <v>4.44357142857143</v>
      </c>
      <c r="C17" s="6" t="n">
        <f aca="false">[1]!MEAN(C2:C15)</f>
        <v>4.08071428571429</v>
      </c>
      <c r="D17" s="7"/>
      <c r="E17" s="7"/>
      <c r="F17" s="7"/>
      <c r="G17" s="7"/>
      <c r="H17" s="7"/>
      <c r="I17" s="7"/>
      <c r="J17" s="7"/>
      <c r="K17" s="7"/>
      <c r="L17" s="7"/>
      <c r="M17" s="8"/>
      <c r="O17" s="6" t="s">
        <v>25</v>
      </c>
      <c r="P17" s="6" t="n">
        <f aca="false">SQRT(R6/P6+R7/P7)</f>
        <v>0.383205209175305</v>
      </c>
      <c r="Q17" s="6" t="n">
        <f aca="false">(ABS(Q6-Q7-S4))/P17</f>
        <v>0.946900339998112</v>
      </c>
      <c r="R17" s="6" t="n">
        <f aca="false">(R6/P6+R7/P7)^2/((R6/P6)^2/(P6-1)+(R7/P7)^2/(P7-1))</f>
        <v>25.8053160898109</v>
      </c>
      <c r="S17" s="6" t="n">
        <f aca="false">TDIST(Q17,ROUND(R17,0),1)</f>
        <v>0.1762038528763</v>
      </c>
      <c r="T17" s="6" t="n">
        <f aca="false">TINV(T15*2,ROUND(R17,0))</f>
        <v>1.70561791975927</v>
      </c>
      <c r="U17" s="6"/>
      <c r="V17" s="6"/>
      <c r="W17" s="12" t="str">
        <f aca="false">IF(S17&lt;T15,"yes","no")</f>
        <v>no</v>
      </c>
      <c r="X17" s="6" t="n">
        <f aca="false">SQRT(Q17^2/(Q17^2+R17))</f>
        <v>0.183245321097315</v>
      </c>
    </row>
    <row r="18" customFormat="false" ht="30.75" hidden="false" customHeight="false" outlineLevel="0" collapsed="false">
      <c r="A18" s="18" t="s">
        <v>28</v>
      </c>
      <c r="B18" s="6" t="n">
        <f aca="false">STDEV(B2:B15)</f>
        <v>0.968834407878923</v>
      </c>
      <c r="C18" s="6" t="n">
        <f aca="false">STDEV(C2:C15)</f>
        <v>1.05698019984158</v>
      </c>
      <c r="D18" s="7"/>
      <c r="E18" s="7"/>
      <c r="F18" s="7"/>
      <c r="G18" s="7"/>
      <c r="H18" s="7"/>
      <c r="I18" s="7"/>
      <c r="J18" s="7"/>
      <c r="K18" s="7"/>
      <c r="L18" s="7"/>
      <c r="M18" s="8"/>
      <c r="O18" s="6" t="s">
        <v>26</v>
      </c>
      <c r="P18" s="6" t="n">
        <f aca="false">P17</f>
        <v>0.383205209175305</v>
      </c>
      <c r="Q18" s="6" t="n">
        <f aca="false">Q17</f>
        <v>0.946900339998112</v>
      </c>
      <c r="R18" s="6" t="n">
        <f aca="false">R17</f>
        <v>25.8053160898109</v>
      </c>
      <c r="S18" s="6" t="n">
        <f aca="false">TDIST(Q18,ROUND(R18,0),2)</f>
        <v>0.3524077057526</v>
      </c>
      <c r="T18" s="6" t="n">
        <f aca="false">TINV(T15,ROUND(R18,0))</f>
        <v>2.05552943864287</v>
      </c>
      <c r="U18" s="6" t="n">
        <f aca="false">(Q6-Q7)-T18*P18</f>
        <v>-0.424832445643996</v>
      </c>
      <c r="V18" s="6" t="n">
        <f aca="false">(Q6-Q7)+T18*P18</f>
        <v>1.15054673135828</v>
      </c>
      <c r="W18" s="12" t="str">
        <f aca="false">IF(S18&lt;T15,"yes","no")</f>
        <v>no</v>
      </c>
      <c r="X18" s="6" t="n">
        <f aca="false">X17</f>
        <v>0.183245321097315</v>
      </c>
    </row>
    <row r="19" customFormat="false" ht="15.75" hidden="false" customHeight="false" outlineLevel="0" collapsed="false">
      <c r="A19" s="17" t="s">
        <v>9</v>
      </c>
      <c r="B19" s="6" t="n">
        <f aca="false">B18^2</f>
        <v>0.938640109890103</v>
      </c>
      <c r="C19" s="6" t="n">
        <f aca="false">C18^2</f>
        <v>1.11720714285715</v>
      </c>
      <c r="D19" s="7"/>
      <c r="E19" s="7"/>
      <c r="F19" s="7"/>
      <c r="G19" s="19" t="s">
        <v>29</v>
      </c>
      <c r="H19" s="20"/>
      <c r="I19" s="7"/>
      <c r="J19" s="7"/>
      <c r="K19" s="7"/>
      <c r="L19" s="7"/>
      <c r="M19" s="8"/>
      <c r="O19" s="13"/>
      <c r="P19" s="14"/>
      <c r="Q19" s="14"/>
      <c r="R19" s="14"/>
      <c r="S19" s="14"/>
      <c r="T19" s="14"/>
      <c r="U19" s="14"/>
      <c r="V19" s="14"/>
      <c r="W19" s="14"/>
      <c r="X19" s="15"/>
    </row>
    <row r="20" customFormat="false" ht="15" hidden="false" customHeight="false" outlineLevel="0" collapsed="false">
      <c r="A20" s="17" t="s">
        <v>30</v>
      </c>
      <c r="B20" s="6" t="n">
        <f aca="false">COUNT(B2:B15)</f>
        <v>14</v>
      </c>
      <c r="C20" s="6" t="n">
        <f aca="false">COUNT(C2:C15)</f>
        <v>14</v>
      </c>
      <c r="D20" s="7"/>
      <c r="E20" s="7"/>
      <c r="F20" s="7"/>
      <c r="G20" s="7"/>
      <c r="H20" s="7"/>
      <c r="I20" s="7"/>
      <c r="J20" s="7"/>
      <c r="K20" s="7"/>
      <c r="L20" s="7"/>
      <c r="M20" s="8"/>
      <c r="O20" s="5"/>
      <c r="P20" s="7"/>
      <c r="Q20" s="7"/>
      <c r="R20" s="7"/>
      <c r="S20" s="7"/>
      <c r="T20" s="7"/>
      <c r="U20" s="7"/>
      <c r="V20" s="7"/>
      <c r="W20" s="7"/>
      <c r="X20" s="8"/>
    </row>
    <row r="21" customFormat="false" ht="15" hidden="false" customHeight="false" outlineLevel="0" collapsed="false">
      <c r="A21" s="17" t="s">
        <v>31</v>
      </c>
      <c r="B21" s="6" t="n">
        <f aca="false">(ABS(B17-C17)/(SQRT(B19/B20+C19/C20)))</f>
        <v>0.946900339998112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8"/>
      <c r="O21" s="5"/>
      <c r="P21" s="7"/>
      <c r="Q21" s="7"/>
      <c r="R21" s="7"/>
      <c r="S21" s="7"/>
      <c r="T21" s="7"/>
      <c r="U21" s="7"/>
      <c r="V21" s="7"/>
      <c r="W21" s="7"/>
      <c r="X21" s="8"/>
    </row>
    <row r="22" customFormat="false" ht="30" hidden="false" customHeight="false" outlineLevel="0" collapsed="false">
      <c r="A22" s="21" t="s">
        <v>32</v>
      </c>
      <c r="B22" s="6" t="n">
        <f aca="false">B20+C20-2</f>
        <v>26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8"/>
      <c r="O22" s="5"/>
      <c r="P22" s="7"/>
      <c r="Q22" s="7"/>
      <c r="R22" s="7"/>
      <c r="S22" s="7"/>
      <c r="T22" s="7"/>
      <c r="U22" s="7"/>
      <c r="V22" s="7"/>
      <c r="W22" s="7"/>
      <c r="X22" s="8"/>
    </row>
    <row r="23" customFormat="false" ht="15" hidden="false" customHeight="false" outlineLevel="0" collapsed="false">
      <c r="A23" s="17" t="s">
        <v>33</v>
      </c>
      <c r="B23" s="6" t="n">
        <v>0.05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8"/>
      <c r="O23" s="5"/>
      <c r="P23" s="7"/>
      <c r="Q23" s="7"/>
      <c r="R23" s="7"/>
      <c r="S23" s="7"/>
      <c r="T23" s="7"/>
      <c r="U23" s="7"/>
      <c r="V23" s="7"/>
      <c r="W23" s="7"/>
      <c r="X23" s="8"/>
    </row>
    <row r="24" customFormat="false" ht="15" hidden="false" customHeight="false" outlineLevel="0" collapsed="false">
      <c r="A24" s="17" t="s">
        <v>34</v>
      </c>
      <c r="B24" s="6" t="n">
        <f aca="false">TINV(B23,B22)</f>
        <v>2.05552943864287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8"/>
      <c r="O24" s="5"/>
      <c r="P24" s="7"/>
      <c r="Q24" s="7"/>
      <c r="R24" s="22" t="s">
        <v>35</v>
      </c>
      <c r="S24" s="7"/>
      <c r="T24" s="7"/>
      <c r="U24" s="7"/>
      <c r="V24" s="7"/>
      <c r="W24" s="7"/>
      <c r="X24" s="8"/>
    </row>
    <row r="25" customFormat="false" ht="15" hidden="false" customHeight="false" outlineLevel="0" collapsed="false">
      <c r="A25" s="17" t="s">
        <v>36</v>
      </c>
      <c r="B25" s="6" t="str">
        <f aca="false">IF(B21&gt;B24,"Yes","No")</f>
        <v>No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8"/>
      <c r="O25" s="5"/>
      <c r="P25" s="7"/>
      <c r="Q25" s="7"/>
      <c r="R25" s="7"/>
      <c r="S25" s="7"/>
      <c r="T25" s="7"/>
      <c r="U25" s="7"/>
      <c r="V25" s="7"/>
      <c r="W25" s="7"/>
      <c r="X25" s="8"/>
    </row>
    <row r="26" customFormat="false" ht="15" hidden="false" customHeight="false" outlineLevel="0" collapsed="false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O26" s="5"/>
      <c r="P26" s="7"/>
      <c r="Q26" s="7"/>
      <c r="R26" s="7"/>
      <c r="S26" s="7"/>
      <c r="T26" s="7"/>
      <c r="U26" s="7"/>
      <c r="V26" s="7"/>
      <c r="W26" s="7"/>
      <c r="X26" s="8"/>
    </row>
    <row r="27" customFormat="false" ht="15" hidden="false" customHeight="false" outlineLevel="0" collapsed="false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O27" s="5"/>
      <c r="P27" s="7"/>
      <c r="Q27" s="7"/>
      <c r="R27" s="7"/>
      <c r="S27" s="7"/>
      <c r="T27" s="7"/>
      <c r="U27" s="7"/>
      <c r="V27" s="7"/>
      <c r="W27" s="7"/>
      <c r="X27" s="8"/>
    </row>
    <row r="28" customFormat="false" ht="15.75" hidden="false" customHeight="false" outlineLevel="0" collapsed="false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  <c r="O28" s="23"/>
      <c r="P28" s="24"/>
      <c r="Q28" s="24"/>
      <c r="R28" s="24"/>
      <c r="S28" s="24"/>
      <c r="T28" s="24"/>
      <c r="U28" s="24"/>
      <c r="V28" s="24"/>
      <c r="W28" s="24"/>
      <c r="X28" s="25"/>
    </row>
    <row r="32" customFormat="false" ht="15" hidden="false" customHeight="false" outlineLevel="0" collapsed="false">
      <c r="A32" s="0" t="s">
        <v>37</v>
      </c>
      <c r="B32" s="0" t="s">
        <v>38</v>
      </c>
      <c r="E32" s="0" t="s">
        <v>39</v>
      </c>
      <c r="H32" s="0" t="s">
        <v>40</v>
      </c>
    </row>
    <row r="34" customFormat="false" ht="15" hidden="false" customHeight="false" outlineLevel="0" collapsed="false">
      <c r="C34" s="26" t="str">
        <f aca="false">B1</f>
        <v>Corn flakes</v>
      </c>
      <c r="E34" s="27"/>
      <c r="F34" s="27" t="str">
        <f aca="false">B1</f>
        <v>Corn flakes</v>
      </c>
      <c r="H34" s="0" t="s">
        <v>7</v>
      </c>
      <c r="I34" s="0" t="n">
        <f aca="false">COUNT(B2:B15)</f>
        <v>14</v>
      </c>
      <c r="J34" s="0" t="n">
        <f aca="false">2*I34</f>
        <v>28</v>
      </c>
    </row>
    <row r="35" customFormat="false" ht="15" hidden="false" customHeight="false" outlineLevel="0" collapsed="false">
      <c r="B35" s="0" t="s">
        <v>41</v>
      </c>
      <c r="C35" s="28" t="n">
        <f aca="false">MIN(B2:B15)</f>
        <v>2.25</v>
      </c>
      <c r="E35" s="0" t="s">
        <v>42</v>
      </c>
      <c r="F35" s="0" t="n">
        <f aca="false">[1]!SHAPIRO(B2:B15)</f>
        <v>0.949897908451394</v>
      </c>
      <c r="H35" s="0" t="s">
        <v>8</v>
      </c>
      <c r="I35" s="0" t="n">
        <f aca="false">AVERAGE(B2:B15)</f>
        <v>4.44357142857143</v>
      </c>
    </row>
    <row r="36" customFormat="false" ht="15" hidden="false" customHeight="false" outlineLevel="0" collapsed="false">
      <c r="B36" s="0" t="s">
        <v>43</v>
      </c>
      <c r="C36" s="29" t="n">
        <f aca="false">QUARTILE(B2:B15,1)-C35</f>
        <v>1.6625</v>
      </c>
      <c r="E36" s="0" t="s">
        <v>18</v>
      </c>
      <c r="F36" s="0" t="n">
        <f aca="false">[1]!SWTEST(B2:B15)</f>
        <v>0.559121187890744</v>
      </c>
      <c r="H36" s="0" t="s">
        <v>44</v>
      </c>
      <c r="I36" s="0" t="n">
        <f aca="false">STDEV(B2:B15)</f>
        <v>0.968834407878923</v>
      </c>
    </row>
    <row r="37" customFormat="false" ht="15" hidden="false" customHeight="false" outlineLevel="0" collapsed="false">
      <c r="B37" s="0" t="s">
        <v>45</v>
      </c>
      <c r="C37" s="29" t="n">
        <f aca="false">MEDIAN(B2:B15)-QUARTILE(B2:B15,1)</f>
        <v>0.527499999999999</v>
      </c>
      <c r="E37" s="0" t="s">
        <v>46</v>
      </c>
      <c r="F37" s="0" t="n">
        <v>0.05</v>
      </c>
    </row>
    <row r="38" customFormat="false" ht="15" hidden="false" customHeight="false" outlineLevel="0" collapsed="false">
      <c r="B38" s="0" t="s">
        <v>47</v>
      </c>
      <c r="C38" s="29" t="n">
        <f aca="false">QUARTILE(B2:B15,3)-MEDIAN(B2:B15)</f>
        <v>0.470000000000001</v>
      </c>
      <c r="E38" s="30" t="s">
        <v>48</v>
      </c>
      <c r="F38" s="31" t="str">
        <f aca="false">IF(F36&lt;F37,"no","yes")</f>
        <v>yes</v>
      </c>
      <c r="H38" s="0" t="s">
        <v>49</v>
      </c>
      <c r="I38" s="0" t="s">
        <v>50</v>
      </c>
      <c r="J38" s="0" t="s">
        <v>51</v>
      </c>
      <c r="K38" s="0" t="s">
        <v>52</v>
      </c>
    </row>
    <row r="39" customFormat="false" ht="15" hidden="false" customHeight="false" outlineLevel="0" collapsed="false">
      <c r="B39" s="0" t="s">
        <v>53</v>
      </c>
      <c r="C39" s="32" t="n">
        <f aca="false">MAX(B2:B15)-QUARTILE(B2:B15,3)</f>
        <v>1.51</v>
      </c>
      <c r="H39" s="0" t="n">
        <v>1</v>
      </c>
      <c r="I39" s="0" t="e">
        <f aca="false" t="array" ref="I39:I52">[1]!QSORT(B2:B15)</f>
        <v>#NAME?</v>
      </c>
      <c r="J39" s="0" t="n">
        <f aca="false">NORMSINV(H39/J$34)</f>
        <v>-1.80274309073919</v>
      </c>
      <c r="K39" s="0" t="n">
        <f aca="false">STANDARDIZE(I39,I$35,I$36)</f>
        <v>-2.26413452157819</v>
      </c>
    </row>
    <row r="40" customFormat="false" ht="15" hidden="false" customHeight="false" outlineLevel="0" collapsed="false">
      <c r="H40" s="0" t="n">
        <f aca="false">H39+2</f>
        <v>3</v>
      </c>
      <c r="I40" s="0" t="e">
        <v>#NAME?</v>
      </c>
      <c r="J40" s="0" t="n">
        <f aca="false">NORMSINV(H40/J$34)</f>
        <v>-1.24186679184332</v>
      </c>
      <c r="K40" s="0" t="e">
        <f aca="false">STANDARDIZE(I40,I$35,I$36)</f>
        <v>#NAME?</v>
      </c>
    </row>
    <row r="41" customFormat="false" ht="15" hidden="false" customHeight="false" outlineLevel="0" collapsed="false">
      <c r="H41" s="0" t="n">
        <f aca="false">H40+2</f>
        <v>5</v>
      </c>
      <c r="I41" s="0" t="e">
        <v>#NAME?</v>
      </c>
      <c r="J41" s="0" t="n">
        <f aca="false">NORMSINV(H41/J$34)</f>
        <v>-0.920822976368379</v>
      </c>
      <c r="K41" s="0" t="e">
        <f aca="false">STANDARDIZE(I41,I$35,I$36)</f>
        <v>#NAME?</v>
      </c>
    </row>
    <row r="42" customFormat="false" ht="15" hidden="false" customHeight="false" outlineLevel="0" collapsed="false">
      <c r="H42" s="0" t="n">
        <f aca="false">H41+2</f>
        <v>7</v>
      </c>
      <c r="I42" s="0" t="e">
        <v>#NAME?</v>
      </c>
      <c r="J42" s="0" t="n">
        <f aca="false">NORMSINV(H42/J$34)</f>
        <v>-0.674489750196082</v>
      </c>
      <c r="K42" s="0" t="e">
        <f aca="false">STANDARDIZE(I42,I$35,I$36)</f>
        <v>#NAME?</v>
      </c>
    </row>
    <row r="43" customFormat="false" ht="15" hidden="false" customHeight="false" outlineLevel="0" collapsed="false">
      <c r="H43" s="0" t="n">
        <f aca="false">H42+2</f>
        <v>9</v>
      </c>
      <c r="I43" s="0" t="e">
        <v>#NAME?</v>
      </c>
      <c r="J43" s="0" t="n">
        <f aca="false">NORMSINV(H43/J$34)</f>
        <v>-0.463707751457179</v>
      </c>
      <c r="K43" s="0" t="e">
        <f aca="false">STANDARDIZE(I43,I$35,I$36)</f>
        <v>#NAME?</v>
      </c>
    </row>
    <row r="44" customFormat="false" ht="15" hidden="false" customHeight="false" outlineLevel="0" collapsed="false">
      <c r="H44" s="0" t="n">
        <f aca="false">H43+2</f>
        <v>11</v>
      </c>
      <c r="I44" s="0" t="e">
        <v>#NAME?</v>
      </c>
      <c r="J44" s="0" t="n">
        <f aca="false">NORMSINV(H44/J$34)</f>
        <v>-0.271880005399261</v>
      </c>
      <c r="K44" s="0" t="e">
        <f aca="false">STANDARDIZE(I44,I$35,I$36)</f>
        <v>#NAME?</v>
      </c>
    </row>
    <row r="45" customFormat="false" ht="15" hidden="false" customHeight="false" outlineLevel="0" collapsed="false">
      <c r="H45" s="0" t="n">
        <f aca="false">H44+2</f>
        <v>13</v>
      </c>
      <c r="I45" s="0" t="e">
        <v>#NAME?</v>
      </c>
      <c r="J45" s="0" t="n">
        <f aca="false">NORMSINV(H45/J$34)</f>
        <v>-0.0896423510757625</v>
      </c>
      <c r="K45" s="0" t="e">
        <f aca="false">STANDARDIZE(I45,I$35,I$36)</f>
        <v>#NAME?</v>
      </c>
    </row>
    <row r="46" customFormat="false" ht="15" hidden="false" customHeight="false" outlineLevel="0" collapsed="false">
      <c r="H46" s="0" t="n">
        <f aca="false">H45+2</f>
        <v>15</v>
      </c>
      <c r="I46" s="0" t="e">
        <v>#NAME?</v>
      </c>
      <c r="J46" s="0" t="n">
        <f aca="false">NORMSINV(H46/J$34)</f>
        <v>0.0896423510757625</v>
      </c>
      <c r="K46" s="0" t="e">
        <f aca="false">STANDARDIZE(I46,I$35,I$36)</f>
        <v>#NAME?</v>
      </c>
    </row>
    <row r="47" customFormat="false" ht="15" hidden="false" customHeight="false" outlineLevel="0" collapsed="false">
      <c r="H47" s="0" t="n">
        <f aca="false">H46+2</f>
        <v>17</v>
      </c>
      <c r="I47" s="0" t="e">
        <v>#NAME?</v>
      </c>
      <c r="J47" s="0" t="n">
        <f aca="false">NORMSINV(H47/J$34)</f>
        <v>0.271880005399261</v>
      </c>
      <c r="K47" s="0" t="e">
        <f aca="false">STANDARDIZE(I47,I$35,I$36)</f>
        <v>#NAME?</v>
      </c>
    </row>
    <row r="48" customFormat="false" ht="15" hidden="false" customHeight="false" outlineLevel="0" collapsed="false">
      <c r="H48" s="0" t="n">
        <f aca="false">H47+2</f>
        <v>19</v>
      </c>
      <c r="I48" s="0" t="e">
        <v>#NAME?</v>
      </c>
      <c r="J48" s="0" t="n">
        <f aca="false">NORMSINV(H48/J$34)</f>
        <v>0.463707751457179</v>
      </c>
      <c r="K48" s="0" t="e">
        <f aca="false">STANDARDIZE(I48,I$35,I$36)</f>
        <v>#NAME?</v>
      </c>
    </row>
    <row r="49" customFormat="false" ht="15" hidden="false" customHeight="false" outlineLevel="0" collapsed="false">
      <c r="H49" s="0" t="n">
        <f aca="false">H48+2</f>
        <v>21</v>
      </c>
      <c r="I49" s="0" t="e">
        <v>#NAME?</v>
      </c>
      <c r="J49" s="0" t="n">
        <f aca="false">NORMSINV(H49/J$34)</f>
        <v>0.674489750196082</v>
      </c>
      <c r="K49" s="0" t="e">
        <f aca="false">STANDARDIZE(I49,I$35,I$36)</f>
        <v>#NAME?</v>
      </c>
    </row>
    <row r="50" customFormat="false" ht="15" hidden="false" customHeight="false" outlineLevel="0" collapsed="false">
      <c r="H50" s="0" t="n">
        <f aca="false">H49+2</f>
        <v>23</v>
      </c>
      <c r="I50" s="0" t="e">
        <v>#NAME?</v>
      </c>
      <c r="J50" s="0" t="n">
        <f aca="false">NORMSINV(H50/J$34)</f>
        <v>0.920822976368379</v>
      </c>
      <c r="K50" s="0" t="e">
        <f aca="false">STANDARDIZE(I50,I$35,I$36)</f>
        <v>#NAME?</v>
      </c>
    </row>
    <row r="51" customFormat="false" ht="15" hidden="false" customHeight="false" outlineLevel="0" collapsed="false">
      <c r="H51" s="0" t="n">
        <f aca="false">H50+2</f>
        <v>25</v>
      </c>
      <c r="I51" s="0" t="e">
        <v>#NAME?</v>
      </c>
      <c r="J51" s="0" t="n">
        <f aca="false">NORMSINV(H51/J$34)</f>
        <v>1.24186679184332</v>
      </c>
      <c r="K51" s="0" t="e">
        <f aca="false">STANDARDIZE(I51,I$35,I$36)</f>
        <v>#NAME?</v>
      </c>
    </row>
    <row r="52" customFormat="false" ht="15" hidden="false" customHeight="false" outlineLevel="0" collapsed="false">
      <c r="H52" s="0" t="n">
        <f aca="false">H51+2</f>
        <v>27</v>
      </c>
      <c r="I52" s="0" t="e">
        <v>#NAME?</v>
      </c>
      <c r="J52" s="0" t="n">
        <f aca="false">NORMSINV(H52/J$34)</f>
        <v>1.80274309073919</v>
      </c>
      <c r="K52" s="0" t="e">
        <f aca="false">STANDARDIZE(I52,I$35,I$36)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6" t="n">
        <v>4.61</v>
      </c>
      <c r="B2" s="6" t="n">
        <v>3.84</v>
      </c>
    </row>
    <row r="3" customFormat="false" ht="15" hidden="false" customHeight="false" outlineLevel="0" collapsed="false">
      <c r="A3" s="6" t="n">
        <v>6.42</v>
      </c>
      <c r="B3" s="6" t="n">
        <v>5.57</v>
      </c>
    </row>
    <row r="4" customFormat="false" ht="15" hidden="false" customHeight="false" outlineLevel="0" collapsed="false">
      <c r="A4" s="6" t="n">
        <v>5.4</v>
      </c>
      <c r="B4" s="6" t="n">
        <v>5.85</v>
      </c>
    </row>
    <row r="5" customFormat="false" ht="15" hidden="false" customHeight="false" outlineLevel="0" collapsed="false">
      <c r="A5" s="6" t="n">
        <v>4.54</v>
      </c>
      <c r="B5" s="6" t="n">
        <v>4.8</v>
      </c>
    </row>
    <row r="6" customFormat="false" ht="15" hidden="false" customHeight="false" outlineLevel="0" collapsed="false">
      <c r="A6" s="6" t="n">
        <v>3.98</v>
      </c>
      <c r="B6" s="6" t="n">
        <v>3.68</v>
      </c>
    </row>
    <row r="7" customFormat="false" ht="15" hidden="false" customHeight="false" outlineLevel="0" collapsed="false">
      <c r="A7" s="6" t="n">
        <v>3.82</v>
      </c>
      <c r="B7" s="6" t="n">
        <v>2.96</v>
      </c>
    </row>
    <row r="8" customFormat="false" ht="15" hidden="false" customHeight="false" outlineLevel="0" collapsed="false">
      <c r="A8" s="6" t="n">
        <v>5.01</v>
      </c>
      <c r="B8" s="6" t="n">
        <v>4.41</v>
      </c>
    </row>
    <row r="9" customFormat="false" ht="15" hidden="false" customHeight="false" outlineLevel="0" collapsed="false">
      <c r="A9" s="6" t="n">
        <v>4.34</v>
      </c>
      <c r="B9" s="6" t="n">
        <v>3.72</v>
      </c>
      <c r="E9" s="0" t="s">
        <v>54</v>
      </c>
      <c r="I9" s="0" t="s">
        <v>38</v>
      </c>
      <c r="M9" s="0" t="s">
        <v>39</v>
      </c>
      <c r="Q9" s="0" t="s">
        <v>40</v>
      </c>
      <c r="V9" s="0" t="s">
        <v>55</v>
      </c>
    </row>
    <row r="10" customFormat="false" ht="15" hidden="false" customHeight="false" outlineLevel="0" collapsed="false">
      <c r="A10" s="6" t="n">
        <v>3.8</v>
      </c>
      <c r="B10" s="6" t="n">
        <v>3.49</v>
      </c>
    </row>
    <row r="11" customFormat="false" ht="15" hidden="false" customHeight="false" outlineLevel="0" collapsed="false">
      <c r="A11" s="6" t="n">
        <v>4.56</v>
      </c>
      <c r="B11" s="6" t="n">
        <v>3.84</v>
      </c>
      <c r="E11" s="27"/>
      <c r="F11" s="27" t="str">
        <f aca="false">A1</f>
        <v>Corn flakes</v>
      </c>
      <c r="G11" s="27" t="str">
        <f aca="false">B1</f>
        <v>Oat bran</v>
      </c>
      <c r="J11" s="26" t="str">
        <f aca="false">A1</f>
        <v>Corn flakes</v>
      </c>
      <c r="K11" s="26" t="str">
        <f aca="false">B1</f>
        <v>Oat bran</v>
      </c>
      <c r="M11" s="27"/>
      <c r="N11" s="27" t="str">
        <f aca="false">A1</f>
        <v>Corn flakes</v>
      </c>
      <c r="O11" s="27" t="str">
        <f aca="false">B1</f>
        <v>Oat bran</v>
      </c>
      <c r="Q11" s="0" t="s">
        <v>7</v>
      </c>
      <c r="R11" s="0" t="n">
        <f aca="false">COUNT(A2:A15)</f>
        <v>14</v>
      </c>
      <c r="S11" s="0" t="n">
        <f aca="false">2*R11</f>
        <v>28</v>
      </c>
      <c r="V11" s="0" t="s">
        <v>7</v>
      </c>
      <c r="W11" s="0" t="n">
        <f aca="false">COUNT(B2:B15)</f>
        <v>14</v>
      </c>
      <c r="X11" s="0" t="n">
        <f aca="false">2*W11</f>
        <v>28</v>
      </c>
    </row>
    <row r="12" customFormat="false" ht="15" hidden="false" customHeight="false" outlineLevel="0" collapsed="false">
      <c r="A12" s="6" t="n">
        <v>5.35</v>
      </c>
      <c r="B12" s="6" t="n">
        <v>5.26</v>
      </c>
      <c r="E12" s="0" t="s">
        <v>8</v>
      </c>
      <c r="F12" s="0" t="n">
        <f aca="false">AVERAGE(A2:A15)</f>
        <v>4.44357142857143</v>
      </c>
      <c r="G12" s="0" t="n">
        <f aca="false">AVERAGE(B2:B15)</f>
        <v>4.08071428571429</v>
      </c>
      <c r="I12" s="0" t="s">
        <v>41</v>
      </c>
      <c r="J12" s="33" t="n">
        <f aca="false">MIN(A2:A15)</f>
        <v>2.25</v>
      </c>
      <c r="K12" s="34" t="n">
        <f aca="false">MIN(B2:B15)</f>
        <v>1.84</v>
      </c>
      <c r="M12" s="0" t="s">
        <v>42</v>
      </c>
      <c r="N12" s="0" t="n">
        <f aca="false">[1]!SHAPIRO(A2:A15)</f>
        <v>0.949897908451394</v>
      </c>
      <c r="O12" s="0" t="n">
        <f aca="false">[1]!SHAPIRO(B2:B15)</f>
        <v>0.954882208316374</v>
      </c>
      <c r="Q12" s="0" t="s">
        <v>8</v>
      </c>
      <c r="R12" s="0" t="n">
        <f aca="false">AVERAGE(A2:A15)</f>
        <v>4.44357142857143</v>
      </c>
      <c r="V12" s="0" t="s">
        <v>8</v>
      </c>
      <c r="W12" s="0" t="n">
        <f aca="false">AVERAGE(B2:B15)</f>
        <v>4.08071428571429</v>
      </c>
    </row>
    <row r="13" customFormat="false" ht="15" hidden="false" customHeight="false" outlineLevel="0" collapsed="false">
      <c r="A13" s="6" t="n">
        <v>3.89</v>
      </c>
      <c r="B13" s="6" t="n">
        <v>3.73</v>
      </c>
      <c r="E13" s="0" t="s">
        <v>56</v>
      </c>
      <c r="F13" s="0" t="n">
        <f aca="false">STDEV(A2:A15)/SQRT(COUNT(A2:A15))</f>
        <v>0.258931887057209</v>
      </c>
      <c r="G13" s="0" t="n">
        <f aca="false">STDEV(B2:B15)/SQRT(COUNT(B2:B15))</f>
        <v>0.282489840886503</v>
      </c>
      <c r="I13" s="0" t="s">
        <v>43</v>
      </c>
      <c r="J13" s="35" t="n">
        <f aca="false">QUARTILE(A2:A15,1)-J12</f>
        <v>1.6625</v>
      </c>
      <c r="K13" s="36" t="n">
        <f aca="false">QUARTILE(B2:B15,1)-K12</f>
        <v>1.85</v>
      </c>
      <c r="M13" s="0" t="s">
        <v>18</v>
      </c>
      <c r="N13" s="0" t="n">
        <f aca="false">[1]!SWTEST(A2:A15)</f>
        <v>0.559121187890744</v>
      </c>
      <c r="O13" s="0" t="n">
        <f aca="false">[1]!SWTEST(B2:B15)</f>
        <v>0.638718590734735</v>
      </c>
      <c r="Q13" s="0" t="s">
        <v>44</v>
      </c>
      <c r="R13" s="0" t="n">
        <f aca="false">STDEV(A2:A15)</f>
        <v>0.968834407878923</v>
      </c>
      <c r="V13" s="0" t="s">
        <v>44</v>
      </c>
      <c r="W13" s="0" t="n">
        <f aca="false">STDEV(B2:B15)</f>
        <v>1.05698019984158</v>
      </c>
    </row>
    <row r="14" customFormat="false" ht="15" hidden="false" customHeight="false" outlineLevel="0" collapsed="false">
      <c r="A14" s="6" t="n">
        <v>2.25</v>
      </c>
      <c r="B14" s="6" t="n">
        <v>1.84</v>
      </c>
      <c r="E14" s="0" t="s">
        <v>57</v>
      </c>
      <c r="F14" s="0" t="n">
        <f aca="false">MEDIAN(A2:A15)</f>
        <v>4.44</v>
      </c>
      <c r="G14" s="0" t="n">
        <f aca="false">MEDIAN(B2:B15)</f>
        <v>3.84</v>
      </c>
      <c r="I14" s="0" t="s">
        <v>45</v>
      </c>
      <c r="J14" s="35" t="n">
        <f aca="false">MEDIAN(A2:A15)-QUARTILE(A2:A15,1)</f>
        <v>0.527499999999999</v>
      </c>
      <c r="K14" s="36" t="n">
        <f aca="false">MEDIAN(B2:B15)-QUARTILE(B2:B15,1)</f>
        <v>0.15</v>
      </c>
      <c r="M14" s="0" t="s">
        <v>46</v>
      </c>
      <c r="N14" s="0" t="n">
        <v>0.05</v>
      </c>
      <c r="O14" s="0" t="n">
        <v>0.05</v>
      </c>
    </row>
    <row r="15" customFormat="false" ht="15" hidden="false" customHeight="false" outlineLevel="0" collapsed="false">
      <c r="A15" s="6" t="n">
        <v>4.24</v>
      </c>
      <c r="B15" s="6" t="n">
        <v>4.14</v>
      </c>
      <c r="E15" s="0" t="s">
        <v>58</v>
      </c>
      <c r="F15" s="0" t="e">
        <f aca="false">MODE(A2:A15)</f>
        <v>#VALUE!</v>
      </c>
      <c r="G15" s="0" t="n">
        <f aca="false">MODE(B2:B15)</f>
        <v>3.84</v>
      </c>
      <c r="I15" s="0" t="s">
        <v>47</v>
      </c>
      <c r="J15" s="35" t="n">
        <f aca="false">QUARTILE(A2:A15,3)-MEDIAN(A2:A15)</f>
        <v>0.470000000000001</v>
      </c>
      <c r="K15" s="36" t="n">
        <f aca="false">QUARTILE(B2:B15,3)-MEDIAN(B2:B15)</f>
        <v>0.8625</v>
      </c>
      <c r="M15" s="30" t="s">
        <v>48</v>
      </c>
      <c r="N15" s="31" t="str">
        <f aca="false">IF(N13&lt;N14,"no","yes")</f>
        <v>yes</v>
      </c>
      <c r="O15" s="31" t="str">
        <f aca="false">IF(O13&lt;O14,"no","yes")</f>
        <v>yes</v>
      </c>
      <c r="Q15" s="0" t="s">
        <v>49</v>
      </c>
      <c r="R15" s="0" t="s">
        <v>50</v>
      </c>
      <c r="S15" s="0" t="s">
        <v>51</v>
      </c>
      <c r="T15" s="0" t="s">
        <v>52</v>
      </c>
      <c r="V15" s="0" t="s">
        <v>49</v>
      </c>
      <c r="W15" s="0" t="s">
        <v>50</v>
      </c>
      <c r="X15" s="0" t="s">
        <v>51</v>
      </c>
      <c r="Y15" s="0" t="s">
        <v>52</v>
      </c>
    </row>
    <row r="16" customFormat="false" ht="15" hidden="false" customHeight="false" outlineLevel="0" collapsed="false">
      <c r="E16" s="0" t="s">
        <v>59</v>
      </c>
      <c r="F16" s="0" t="n">
        <f aca="false">STDEV(A2:A15)</f>
        <v>0.968834407878923</v>
      </c>
      <c r="G16" s="0" t="n">
        <f aca="false">STDEV(B2:B15)</f>
        <v>1.05698019984158</v>
      </c>
      <c r="I16" s="0" t="s">
        <v>53</v>
      </c>
      <c r="J16" s="37" t="n">
        <f aca="false">MAX(A2:A15)-QUARTILE(A2:A15,3)</f>
        <v>1.51</v>
      </c>
      <c r="K16" s="38" t="n">
        <f aca="false">MAX(B2:B15)-QUARTILE(B2:B15,3)</f>
        <v>1.1475</v>
      </c>
      <c r="Q16" s="0" t="n">
        <v>1</v>
      </c>
      <c r="R16" s="0" t="e">
        <f aca="false" t="array" ref="R16:R29">[1]!QSORT(A2:A15)</f>
        <v>#NAME?</v>
      </c>
      <c r="S16" s="0" t="n">
        <f aca="false">NORMSINV(Q16/S$11)</f>
        <v>-1.80274309073919</v>
      </c>
      <c r="T16" s="0" t="n">
        <f aca="false">STANDARDIZE(R16,R$12,R$13)</f>
        <v>-2.26413452157819</v>
      </c>
      <c r="V16" s="0" t="n">
        <v>1</v>
      </c>
      <c r="W16" s="0" t="e">
        <f aca="false" t="array" ref="W16:W29">[1]!QSORT(B2:B15)</f>
        <v>#NAME?</v>
      </c>
      <c r="X16" s="0" t="n">
        <f aca="false">NORMSINV(V16/X$11)</f>
        <v>-1.80274309073919</v>
      </c>
      <c r="Y16" s="0" t="n">
        <f aca="false">STANDARDIZE(W16,W$12,W$13)</f>
        <v>-2.11992077623604</v>
      </c>
    </row>
    <row r="17" customFormat="false" ht="15" hidden="false" customHeight="false" outlineLevel="0" collapsed="false">
      <c r="E17" s="0" t="s">
        <v>60</v>
      </c>
      <c r="F17" s="0" t="n">
        <f aca="false">VAR(A2:A15)</f>
        <v>0.938640109890103</v>
      </c>
      <c r="G17" s="0" t="n">
        <f aca="false">VAR(B2:B15)</f>
        <v>1.11720714285715</v>
      </c>
      <c r="Q17" s="0" t="n">
        <f aca="false">Q16+2</f>
        <v>3</v>
      </c>
      <c r="R17" s="0" t="e">
        <v>#NAME?</v>
      </c>
      <c r="S17" s="0" t="n">
        <f aca="false">NORMSINV(Q17/S$11)</f>
        <v>-1.24186679184332</v>
      </c>
      <c r="T17" s="0" t="e">
        <f aca="false">STANDARDIZE(R17,R$12,R$13)</f>
        <v>#NAME?</v>
      </c>
      <c r="V17" s="0" t="n">
        <f aca="false">V16+2</f>
        <v>3</v>
      </c>
      <c r="W17" s="0" t="e">
        <v>#NAME?</v>
      </c>
      <c r="X17" s="0" t="n">
        <f aca="false">NORMSINV(V17/X$11)</f>
        <v>-1.24186679184332</v>
      </c>
      <c r="Y17" s="0" t="e">
        <f aca="false">STANDARDIZE(W17,W$12,W$13)</f>
        <v>#NAME?</v>
      </c>
    </row>
    <row r="18" customFormat="false" ht="15" hidden="false" customHeight="false" outlineLevel="0" collapsed="false">
      <c r="E18" s="0" t="s">
        <v>61</v>
      </c>
      <c r="F18" s="0" t="n">
        <f aca="false">KURT(A2:A15)</f>
        <v>1.78350597870053</v>
      </c>
      <c r="G18" s="0" t="n">
        <f aca="false">KURT(B2:B15)</f>
        <v>0.463793657792677</v>
      </c>
      <c r="Q18" s="0" t="n">
        <f aca="false">Q17+2</f>
        <v>5</v>
      </c>
      <c r="R18" s="0" t="e">
        <v>#NAME?</v>
      </c>
      <c r="S18" s="0" t="n">
        <f aca="false">NORMSINV(Q18/S$11)</f>
        <v>-0.920822976368379</v>
      </c>
      <c r="T18" s="0" t="e">
        <f aca="false">STANDARDIZE(R18,R$12,R$13)</f>
        <v>#NAME?</v>
      </c>
      <c r="V18" s="0" t="n">
        <f aca="false">V17+2</f>
        <v>5</v>
      </c>
      <c r="W18" s="0" t="e">
        <v>#NAME?</v>
      </c>
      <c r="X18" s="0" t="n">
        <f aca="false">NORMSINV(V18/X$11)</f>
        <v>-0.920822976368379</v>
      </c>
      <c r="Y18" s="0" t="e">
        <f aca="false">STANDARDIZE(W18,W$12,W$13)</f>
        <v>#NAME?</v>
      </c>
    </row>
    <row r="19" customFormat="false" ht="15" hidden="false" customHeight="false" outlineLevel="0" collapsed="false">
      <c r="E19" s="0" t="s">
        <v>62</v>
      </c>
      <c r="F19" s="0" t="n">
        <f aca="false">SKEW(A2:A15)</f>
        <v>-0.179001164211992</v>
      </c>
      <c r="G19" s="0" t="n">
        <f aca="false">SKEW(B2:B15)</f>
        <v>-0.16388366578706</v>
      </c>
      <c r="Q19" s="0" t="n">
        <f aca="false">Q18+2</f>
        <v>7</v>
      </c>
      <c r="R19" s="0" t="e">
        <v>#NAME?</v>
      </c>
      <c r="S19" s="0" t="n">
        <f aca="false">NORMSINV(Q19/S$11)</f>
        <v>-0.674489750196082</v>
      </c>
      <c r="T19" s="0" t="e">
        <f aca="false">STANDARDIZE(R19,R$12,R$13)</f>
        <v>#NAME?</v>
      </c>
      <c r="V19" s="0" t="n">
        <f aca="false">V18+2</f>
        <v>7</v>
      </c>
      <c r="W19" s="0" t="e">
        <v>#NAME?</v>
      </c>
      <c r="X19" s="0" t="n">
        <f aca="false">NORMSINV(V19/X$11)</f>
        <v>-0.674489750196082</v>
      </c>
      <c r="Y19" s="0" t="e">
        <f aca="false">STANDARDIZE(W19,W$12,W$13)</f>
        <v>#NAME?</v>
      </c>
    </row>
    <row r="20" customFormat="false" ht="15" hidden="false" customHeight="false" outlineLevel="0" collapsed="false">
      <c r="E20" s="0" t="s">
        <v>63</v>
      </c>
      <c r="F20" s="0" t="n">
        <f aca="false">F21-F22</f>
        <v>4.17</v>
      </c>
      <c r="G20" s="0" t="n">
        <f aca="false">G21-G22</f>
        <v>4.01</v>
      </c>
      <c r="Q20" s="0" t="n">
        <f aca="false">Q19+2</f>
        <v>9</v>
      </c>
      <c r="R20" s="0" t="e">
        <v>#NAME?</v>
      </c>
      <c r="S20" s="0" t="n">
        <f aca="false">NORMSINV(Q20/S$11)</f>
        <v>-0.463707751457179</v>
      </c>
      <c r="T20" s="0" t="e">
        <f aca="false">STANDARDIZE(R20,R$12,R$13)</f>
        <v>#NAME?</v>
      </c>
      <c r="V20" s="0" t="n">
        <f aca="false">V19+2</f>
        <v>9</v>
      </c>
      <c r="W20" s="0" t="e">
        <v>#NAME?</v>
      </c>
      <c r="X20" s="0" t="n">
        <f aca="false">NORMSINV(V20/X$11)</f>
        <v>-0.463707751457179</v>
      </c>
      <c r="Y20" s="0" t="e">
        <f aca="false">STANDARDIZE(W20,W$12,W$13)</f>
        <v>#NAME?</v>
      </c>
    </row>
    <row r="21" customFormat="false" ht="15" hidden="false" customHeight="false" outlineLevel="0" collapsed="false">
      <c r="E21" s="0" t="s">
        <v>64</v>
      </c>
      <c r="F21" s="0" t="n">
        <f aca="false">MAX(A2:A15)</f>
        <v>6.42</v>
      </c>
      <c r="G21" s="0" t="n">
        <f aca="false">MAX(B2:B15)</f>
        <v>5.85</v>
      </c>
      <c r="Q21" s="0" t="n">
        <f aca="false">Q20+2</f>
        <v>11</v>
      </c>
      <c r="R21" s="0" t="e">
        <v>#NAME?</v>
      </c>
      <c r="S21" s="0" t="n">
        <f aca="false">NORMSINV(Q21/S$11)</f>
        <v>-0.271880005399261</v>
      </c>
      <c r="T21" s="0" t="e">
        <f aca="false">STANDARDIZE(R21,R$12,R$13)</f>
        <v>#NAME?</v>
      </c>
      <c r="V21" s="0" t="n">
        <f aca="false">V20+2</f>
        <v>11</v>
      </c>
      <c r="W21" s="0" t="e">
        <v>#NAME?</v>
      </c>
      <c r="X21" s="0" t="n">
        <f aca="false">NORMSINV(V21/X$11)</f>
        <v>-0.271880005399261</v>
      </c>
      <c r="Y21" s="0" t="e">
        <f aca="false">STANDARDIZE(W21,W$12,W$13)</f>
        <v>#NAME?</v>
      </c>
    </row>
    <row r="22" customFormat="false" ht="15" hidden="false" customHeight="false" outlineLevel="0" collapsed="false">
      <c r="E22" s="0" t="s">
        <v>65</v>
      </c>
      <c r="F22" s="0" t="n">
        <f aca="false">MIN(A2:A15)</f>
        <v>2.25</v>
      </c>
      <c r="G22" s="0" t="n">
        <f aca="false">MIN(B2:B15)</f>
        <v>1.84</v>
      </c>
      <c r="Q22" s="0" t="n">
        <f aca="false">Q21+2</f>
        <v>13</v>
      </c>
      <c r="R22" s="0" t="e">
        <v>#NAME?</v>
      </c>
      <c r="S22" s="0" t="n">
        <f aca="false">NORMSINV(Q22/S$11)</f>
        <v>-0.0896423510757625</v>
      </c>
      <c r="T22" s="0" t="e">
        <f aca="false">STANDARDIZE(R22,R$12,R$13)</f>
        <v>#NAME?</v>
      </c>
      <c r="V22" s="0" t="n">
        <f aca="false">V21+2</f>
        <v>13</v>
      </c>
      <c r="W22" s="0" t="e">
        <v>#NAME?</v>
      </c>
      <c r="X22" s="0" t="n">
        <f aca="false">NORMSINV(V22/X$11)</f>
        <v>-0.0896423510757625</v>
      </c>
      <c r="Y22" s="0" t="e">
        <f aca="false">STANDARDIZE(W22,W$12,W$13)</f>
        <v>#NAME?</v>
      </c>
    </row>
    <row r="23" customFormat="false" ht="15" hidden="false" customHeight="false" outlineLevel="0" collapsed="false">
      <c r="E23" s="0" t="s">
        <v>66</v>
      </c>
      <c r="F23" s="0" t="n">
        <f aca="false">SUM(A2:A15)</f>
        <v>62.21</v>
      </c>
      <c r="G23" s="0" t="n">
        <f aca="false">SUM(B2:B15)</f>
        <v>57.13</v>
      </c>
      <c r="Q23" s="0" t="n">
        <f aca="false">Q22+2</f>
        <v>15</v>
      </c>
      <c r="R23" s="0" t="e">
        <v>#NAME?</v>
      </c>
      <c r="S23" s="0" t="n">
        <f aca="false">NORMSINV(Q23/S$11)</f>
        <v>0.0896423510757625</v>
      </c>
      <c r="T23" s="0" t="e">
        <f aca="false">STANDARDIZE(R23,R$12,R$13)</f>
        <v>#NAME?</v>
      </c>
      <c r="V23" s="0" t="n">
        <f aca="false">V22+2</f>
        <v>15</v>
      </c>
      <c r="W23" s="0" t="e">
        <v>#NAME?</v>
      </c>
      <c r="X23" s="0" t="n">
        <f aca="false">NORMSINV(V23/X$11)</f>
        <v>0.0896423510757625</v>
      </c>
      <c r="Y23" s="0" t="e">
        <f aca="false">STANDARDIZE(W23,W$12,W$13)</f>
        <v>#NAME?</v>
      </c>
    </row>
    <row r="24" customFormat="false" ht="15" hidden="false" customHeight="false" outlineLevel="0" collapsed="false">
      <c r="E24" s="0" t="s">
        <v>7</v>
      </c>
      <c r="F24" s="0" t="n">
        <f aca="false">COUNT(A2:A15)</f>
        <v>14</v>
      </c>
      <c r="G24" s="0" t="n">
        <f aca="false">COUNT(B2:B15)</f>
        <v>14</v>
      </c>
      <c r="Q24" s="0" t="n">
        <f aca="false">Q23+2</f>
        <v>17</v>
      </c>
      <c r="R24" s="0" t="e">
        <v>#NAME?</v>
      </c>
      <c r="S24" s="0" t="n">
        <f aca="false">NORMSINV(Q24/S$11)</f>
        <v>0.271880005399261</v>
      </c>
      <c r="T24" s="0" t="e">
        <f aca="false">STANDARDIZE(R24,R$12,R$13)</f>
        <v>#NAME?</v>
      </c>
      <c r="V24" s="0" t="n">
        <f aca="false">V23+2</f>
        <v>17</v>
      </c>
      <c r="W24" s="0" t="e">
        <v>#NAME?</v>
      </c>
      <c r="X24" s="0" t="n">
        <f aca="false">NORMSINV(V24/X$11)</f>
        <v>0.271880005399261</v>
      </c>
      <c r="Y24" s="0" t="e">
        <f aca="false">STANDARDIZE(W24,W$12,W$13)</f>
        <v>#NAME?</v>
      </c>
    </row>
    <row r="25" customFormat="false" ht="15" hidden="false" customHeight="false" outlineLevel="0" collapsed="false">
      <c r="E25" s="0" t="s">
        <v>67</v>
      </c>
      <c r="F25" s="0" t="n">
        <f aca="false">GEOMEAN(A2:A15)</f>
        <v>4.33408194312959</v>
      </c>
      <c r="G25" s="0" t="n">
        <f aca="false">GEOMEAN(B2:B15)</f>
        <v>3.93703766410148</v>
      </c>
      <c r="Q25" s="0" t="n">
        <f aca="false">Q24+2</f>
        <v>19</v>
      </c>
      <c r="R25" s="0" t="e">
        <v>#NAME?</v>
      </c>
      <c r="S25" s="0" t="n">
        <f aca="false">NORMSINV(Q25/S$11)</f>
        <v>0.463707751457179</v>
      </c>
      <c r="T25" s="0" t="e">
        <f aca="false">STANDARDIZE(R25,R$12,R$13)</f>
        <v>#NAME?</v>
      </c>
      <c r="V25" s="0" t="n">
        <f aca="false">V24+2</f>
        <v>19</v>
      </c>
      <c r="W25" s="0" t="e">
        <v>#NAME?</v>
      </c>
      <c r="X25" s="0" t="n">
        <f aca="false">NORMSINV(V25/X$11)</f>
        <v>0.463707751457179</v>
      </c>
      <c r="Y25" s="0" t="e">
        <f aca="false">STANDARDIZE(W25,W$12,W$13)</f>
        <v>#NAME?</v>
      </c>
    </row>
    <row r="26" customFormat="false" ht="15" hidden="false" customHeight="false" outlineLevel="0" collapsed="false">
      <c r="E26" s="0" t="s">
        <v>68</v>
      </c>
      <c r="F26" s="0" t="n">
        <f aca="false">HARMEAN(A2:A15)</f>
        <v>4.20683271540839</v>
      </c>
      <c r="G26" s="0" t="n">
        <f aca="false">HARMEAN(B2:B15)</f>
        <v>3.7689531745903</v>
      </c>
      <c r="Q26" s="0" t="n">
        <f aca="false">Q25+2</f>
        <v>21</v>
      </c>
      <c r="R26" s="0" t="e">
        <v>#NAME?</v>
      </c>
      <c r="S26" s="0" t="n">
        <f aca="false">NORMSINV(Q26/S$11)</f>
        <v>0.674489750196082</v>
      </c>
      <c r="T26" s="0" t="e">
        <f aca="false">STANDARDIZE(R26,R$12,R$13)</f>
        <v>#NAME?</v>
      </c>
      <c r="V26" s="0" t="n">
        <f aca="false">V25+2</f>
        <v>21</v>
      </c>
      <c r="W26" s="0" t="e">
        <v>#NAME?</v>
      </c>
      <c r="X26" s="0" t="n">
        <f aca="false">NORMSINV(V26/X$11)</f>
        <v>0.674489750196082</v>
      </c>
      <c r="Y26" s="0" t="e">
        <f aca="false">STANDARDIZE(W26,W$12,W$13)</f>
        <v>#NAME?</v>
      </c>
    </row>
    <row r="27" customFormat="false" ht="15" hidden="false" customHeight="false" outlineLevel="0" collapsed="false">
      <c r="E27" s="0" t="s">
        <v>69</v>
      </c>
      <c r="F27" s="0" t="n">
        <f aca="false">AVEDEV(A2:A15)</f>
        <v>0.683571428571429</v>
      </c>
      <c r="G27" s="0" t="n">
        <f aca="false">AVEDEV(B2:B15)</f>
        <v>0.792244897959184</v>
      </c>
      <c r="Q27" s="0" t="n">
        <f aca="false">Q26+2</f>
        <v>23</v>
      </c>
      <c r="R27" s="0" t="e">
        <v>#NAME?</v>
      </c>
      <c r="S27" s="0" t="n">
        <f aca="false">NORMSINV(Q27/S$11)</f>
        <v>0.920822976368379</v>
      </c>
      <c r="T27" s="0" t="e">
        <f aca="false">STANDARDIZE(R27,R$12,R$13)</f>
        <v>#NAME?</v>
      </c>
      <c r="V27" s="0" t="n">
        <f aca="false">V26+2</f>
        <v>23</v>
      </c>
      <c r="W27" s="0" t="e">
        <v>#NAME?</v>
      </c>
      <c r="X27" s="0" t="n">
        <f aca="false">NORMSINV(V27/X$11)</f>
        <v>0.920822976368379</v>
      </c>
      <c r="Y27" s="0" t="e">
        <f aca="false">STANDARDIZE(W27,W$12,W$13)</f>
        <v>#NAME?</v>
      </c>
    </row>
    <row r="28" customFormat="false" ht="15" hidden="false" customHeight="false" outlineLevel="0" collapsed="false">
      <c r="E28" s="0" t="s">
        <v>70</v>
      </c>
      <c r="F28" s="0" t="n">
        <f aca="false">[1]!MAD(A2:A15)</f>
        <v>0.56</v>
      </c>
      <c r="G28" s="0" t="n">
        <f aca="false">[1]!MAD(B2:B15)</f>
        <v>0.46</v>
      </c>
      <c r="Q28" s="0" t="n">
        <f aca="false">Q27+2</f>
        <v>25</v>
      </c>
      <c r="R28" s="0" t="e">
        <v>#NAME?</v>
      </c>
      <c r="S28" s="0" t="n">
        <f aca="false">NORMSINV(Q28/S$11)</f>
        <v>1.24186679184332</v>
      </c>
      <c r="T28" s="0" t="e">
        <f aca="false">STANDARDIZE(R28,R$12,R$13)</f>
        <v>#NAME?</v>
      </c>
      <c r="V28" s="0" t="n">
        <f aca="false">V27+2</f>
        <v>25</v>
      </c>
      <c r="W28" s="0" t="e">
        <v>#NAME?</v>
      </c>
      <c r="X28" s="0" t="n">
        <f aca="false">NORMSINV(V28/X$11)</f>
        <v>1.24186679184332</v>
      </c>
      <c r="Y28" s="0" t="e">
        <f aca="false">STANDARDIZE(W28,W$12,W$13)</f>
        <v>#NAME?</v>
      </c>
    </row>
    <row r="29" customFormat="false" ht="15" hidden="false" customHeight="false" outlineLevel="0" collapsed="false">
      <c r="E29" s="30" t="s">
        <v>71</v>
      </c>
      <c r="F29" s="30" t="n">
        <f aca="false">[1]!IQR(A2:A15,0)</f>
        <v>0.9975</v>
      </c>
      <c r="G29" s="30" t="n">
        <f aca="false">[1]!IQR(B2:B15,0)</f>
        <v>1.0125</v>
      </c>
      <c r="Q29" s="0" t="n">
        <f aca="false">Q28+2</f>
        <v>27</v>
      </c>
      <c r="R29" s="0" t="e">
        <v>#NAME?</v>
      </c>
      <c r="S29" s="0" t="n">
        <f aca="false">NORMSINV(Q29/S$11)</f>
        <v>1.80274309073919</v>
      </c>
      <c r="T29" s="0" t="e">
        <f aca="false">STANDARDIZE(R29,R$12,R$13)</f>
        <v>#NAME?</v>
      </c>
      <c r="V29" s="0" t="n">
        <f aca="false">V28+2</f>
        <v>27</v>
      </c>
      <c r="W29" s="0" t="e">
        <v>#NAME?</v>
      </c>
      <c r="X29" s="0" t="n">
        <f aca="false">NORMSINV(V29/X$11)</f>
        <v>1.80274309073919</v>
      </c>
      <c r="Y29" s="0" t="e">
        <f aca="false">STANDARDIZE(W29,W$12,W$13)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E24" activeCellId="0" sqref="E24"/>
    </sheetView>
  </sheetViews>
  <sheetFormatPr defaultRowHeight="13.8"/>
  <cols>
    <col collapsed="false" hidden="false" max="2" min="1" style="39" width="13.1740890688259"/>
    <col collapsed="false" hidden="false" max="3" min="3" style="39" width="10.9271255060729"/>
    <col collapsed="false" hidden="false" max="4" min="4" style="39" width="9.10526315789474"/>
    <col collapsed="false" hidden="false" max="5" min="5" style="39" width="10.497975708502"/>
    <col collapsed="false" hidden="false" max="7" min="6" style="39" width="9.10526315789474"/>
    <col collapsed="false" hidden="false" max="8" min="8" style="39" width="18.9595141700405"/>
    <col collapsed="false" hidden="false" max="1025" min="9" style="39" width="9.10526315789474"/>
  </cols>
  <sheetData>
    <row r="1" customFormat="false" ht="13.8" hidden="false" customHeight="false" outlineLevel="0" collapsed="false">
      <c r="B1" s="40"/>
      <c r="C1" s="41"/>
      <c r="D1" s="41"/>
      <c r="E1" s="42"/>
      <c r="H1" s="43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40" t="s">
        <v>72</v>
      </c>
      <c r="C2" s="41" t="s">
        <v>0</v>
      </c>
      <c r="D2" s="41" t="s">
        <v>1</v>
      </c>
      <c r="E2" s="42" t="s">
        <v>36</v>
      </c>
      <c r="H2" s="43" t="s">
        <v>73</v>
      </c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4" t="n">
        <v>1</v>
      </c>
      <c r="C3" s="45" t="n">
        <v>4.61</v>
      </c>
      <c r="D3" s="45" t="n">
        <v>3.84</v>
      </c>
      <c r="E3" s="45" t="n">
        <f aca="false">C3-D3</f>
        <v>0.77</v>
      </c>
      <c r="H3" s="42" t="s">
        <v>39</v>
      </c>
      <c r="I3" s="45"/>
      <c r="J3" s="46"/>
      <c r="K3" s="46"/>
      <c r="L3" s="46"/>
      <c r="M3" s="46"/>
      <c r="N3" s="46"/>
      <c r="O3" s="46"/>
      <c r="P3" s="46"/>
      <c r="Q3" s="46"/>
      <c r="R3" s="46"/>
    </row>
    <row r="4" customFormat="false" ht="13.8" hidden="false" customHeight="false" outlineLevel="0" collapsed="false">
      <c r="B4" s="44" t="n">
        <v>2</v>
      </c>
      <c r="C4" s="45" t="n">
        <v>6.42</v>
      </c>
      <c r="D4" s="45" t="n">
        <v>5.57</v>
      </c>
      <c r="E4" s="45" t="n">
        <f aca="false">C4-D4</f>
        <v>0.85</v>
      </c>
      <c r="H4" s="45"/>
      <c r="I4" s="45"/>
      <c r="J4" s="46"/>
      <c r="K4" s="46"/>
      <c r="L4" s="46"/>
      <c r="M4" s="46"/>
      <c r="N4" s="46"/>
      <c r="O4" s="46"/>
      <c r="P4" s="46"/>
      <c r="Q4" s="46"/>
      <c r="R4" s="46"/>
    </row>
    <row r="5" customFormat="false" ht="13.8" hidden="false" customHeight="false" outlineLevel="0" collapsed="false">
      <c r="B5" s="44" t="n">
        <v>3</v>
      </c>
      <c r="C5" s="45" t="n">
        <v>5.4</v>
      </c>
      <c r="D5" s="45" t="n">
        <v>5.85</v>
      </c>
      <c r="E5" s="45" t="n">
        <f aca="false">C5-D5</f>
        <v>-0.449999999999999</v>
      </c>
      <c r="H5" s="47"/>
      <c r="I5" s="47" t="str">
        <f aca="false">E2</f>
        <v>Difference</v>
      </c>
      <c r="J5" s="48"/>
      <c r="K5" s="46"/>
      <c r="L5" s="48"/>
      <c r="M5" s="48"/>
      <c r="N5" s="48"/>
      <c r="O5" s="48"/>
      <c r="P5" s="46"/>
      <c r="Q5" s="46"/>
      <c r="R5" s="46"/>
    </row>
    <row r="6" customFormat="false" ht="13.8" hidden="false" customHeight="false" outlineLevel="0" collapsed="false">
      <c r="B6" s="44" t="n">
        <v>4</v>
      </c>
      <c r="C6" s="45" t="n">
        <v>4.54</v>
      </c>
      <c r="D6" s="45" t="n">
        <v>4.8</v>
      </c>
      <c r="E6" s="45" t="n">
        <f aca="false">C6-D6</f>
        <v>-0.26</v>
      </c>
      <c r="H6" s="45" t="s">
        <v>42</v>
      </c>
      <c r="I6" s="45" t="n">
        <f aca="false">[1]!SHAPIRO(E3:E14)</f>
        <v>0.91205220423298</v>
      </c>
      <c r="J6" s="46"/>
      <c r="K6" s="46"/>
      <c r="L6" s="46"/>
      <c r="M6" s="46"/>
      <c r="N6" s="46"/>
      <c r="O6" s="46"/>
      <c r="P6" s="46"/>
      <c r="Q6" s="46"/>
      <c r="R6" s="46"/>
    </row>
    <row r="7" customFormat="false" ht="13.8" hidden="false" customHeight="false" outlineLevel="0" collapsed="false">
      <c r="B7" s="44" t="n">
        <v>5</v>
      </c>
      <c r="C7" s="45" t="n">
        <v>3.98</v>
      </c>
      <c r="D7" s="45" t="n">
        <v>3.68</v>
      </c>
      <c r="E7" s="45" t="n">
        <f aca="false">C7-D7</f>
        <v>0.3</v>
      </c>
      <c r="H7" s="45" t="s">
        <v>18</v>
      </c>
      <c r="I7" s="45" t="n">
        <f aca="false">[1]!SWTEST(E3:E14)</f>
        <v>0.226652716209273</v>
      </c>
      <c r="J7" s="46"/>
      <c r="K7" s="46"/>
      <c r="L7" s="46"/>
      <c r="M7" s="46"/>
      <c r="N7" s="46"/>
      <c r="O7" s="46"/>
      <c r="P7" s="46"/>
      <c r="Q7" s="46"/>
      <c r="R7" s="46"/>
    </row>
    <row r="8" customFormat="false" ht="13.8" hidden="false" customHeight="false" outlineLevel="0" collapsed="false">
      <c r="B8" s="44" t="n">
        <v>6</v>
      </c>
      <c r="C8" s="45" t="n">
        <v>3.82</v>
      </c>
      <c r="D8" s="45" t="n">
        <v>2.96</v>
      </c>
      <c r="E8" s="45" t="n">
        <f aca="false">C8-D8</f>
        <v>0.86</v>
      </c>
      <c r="H8" s="45" t="s">
        <v>46</v>
      </c>
      <c r="I8" s="45" t="n">
        <v>0.05</v>
      </c>
      <c r="J8" s="46"/>
      <c r="K8" s="46"/>
      <c r="L8" s="46"/>
      <c r="M8" s="46"/>
      <c r="N8" s="46"/>
      <c r="O8" s="46"/>
      <c r="P8" s="46"/>
      <c r="Q8" s="46"/>
      <c r="R8" s="46"/>
    </row>
    <row r="9" customFormat="false" ht="13.8" hidden="false" customHeight="false" outlineLevel="0" collapsed="false">
      <c r="B9" s="44" t="n">
        <v>7</v>
      </c>
      <c r="C9" s="45" t="n">
        <v>5.01</v>
      </c>
      <c r="D9" s="45" t="n">
        <v>4.41</v>
      </c>
      <c r="E9" s="45" t="n">
        <f aca="false">C9-D9</f>
        <v>0.6</v>
      </c>
      <c r="H9" s="45" t="s">
        <v>48</v>
      </c>
      <c r="I9" s="49" t="str">
        <f aca="false">IF(I7&lt;I8,"no","yes")</f>
        <v>yes</v>
      </c>
      <c r="J9" s="46"/>
      <c r="K9" s="46"/>
      <c r="L9" s="46"/>
      <c r="M9" s="50"/>
      <c r="N9" s="46"/>
      <c r="O9" s="50"/>
      <c r="P9" s="46"/>
      <c r="Q9" s="46"/>
      <c r="R9" s="46"/>
    </row>
    <row r="10" customFormat="false" ht="13.8" hidden="false" customHeight="false" outlineLevel="0" collapsed="false">
      <c r="B10" s="44" t="n">
        <v>8</v>
      </c>
      <c r="C10" s="45" t="n">
        <v>4.34</v>
      </c>
      <c r="D10" s="45" t="n">
        <v>3.72</v>
      </c>
      <c r="E10" s="45" t="n">
        <f aca="false">C10-D10</f>
        <v>0.62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customFormat="false" ht="13.8" hidden="false" customHeight="false" outlineLevel="0" collapsed="false">
      <c r="B11" s="44" t="n">
        <v>9</v>
      </c>
      <c r="C11" s="45" t="n">
        <v>3.8</v>
      </c>
      <c r="D11" s="45" t="n">
        <v>3.49</v>
      </c>
      <c r="E11" s="45" t="n">
        <f aca="false">C11-D11</f>
        <v>0.31</v>
      </c>
      <c r="H11" s="51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customFormat="false" ht="13.8" hidden="false" customHeight="false" outlineLevel="0" collapsed="false">
      <c r="B12" s="44" t="n">
        <v>10</v>
      </c>
      <c r="C12" s="45" t="n">
        <v>4.56</v>
      </c>
      <c r="D12" s="45" t="n">
        <v>3.84</v>
      </c>
      <c r="E12" s="45" t="n">
        <f aca="false">C12-D12</f>
        <v>0.72</v>
      </c>
      <c r="H12" s="0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customFormat="false" ht="13.8" hidden="false" customHeight="false" outlineLevel="0" collapsed="false">
      <c r="B13" s="44" t="n">
        <v>11</v>
      </c>
      <c r="C13" s="45" t="n">
        <v>5.35</v>
      </c>
      <c r="D13" s="45" t="n">
        <v>5.26</v>
      </c>
      <c r="E13" s="45" t="n">
        <f aca="false">C13-D13</f>
        <v>0.0899999999999999</v>
      </c>
      <c r="H13" s="52" t="s">
        <v>38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customFormat="false" ht="13.8" hidden="false" customHeight="false" outlineLevel="0" collapsed="false">
      <c r="B14" s="44" t="n">
        <v>12</v>
      </c>
      <c r="C14" s="45" t="n">
        <v>3.89</v>
      </c>
      <c r="D14" s="45" t="n">
        <v>3.73</v>
      </c>
      <c r="E14" s="45" t="n">
        <f aca="false">C14-D14</f>
        <v>0.16</v>
      </c>
      <c r="H14" s="45"/>
      <c r="I14" s="47" t="str">
        <f aca="false">E2</f>
        <v>Difference</v>
      </c>
      <c r="J14" s="46"/>
      <c r="K14" s="46"/>
      <c r="L14" s="46"/>
      <c r="M14" s="46"/>
      <c r="N14" s="46"/>
      <c r="O14" s="46"/>
      <c r="P14" s="46"/>
      <c r="Q14" s="46"/>
      <c r="R14" s="46"/>
    </row>
    <row r="15" customFormat="false" ht="13.8" hidden="false" customHeight="false" outlineLevel="0" collapsed="false">
      <c r="B15" s="44" t="n">
        <v>13</v>
      </c>
      <c r="C15" s="53" t="n">
        <v>2.25</v>
      </c>
      <c r="D15" s="53" t="n">
        <v>1.84</v>
      </c>
      <c r="E15" s="53" t="n">
        <f aca="false">C15-D15</f>
        <v>0.41</v>
      </c>
      <c r="H15" s="45" t="s">
        <v>41</v>
      </c>
      <c r="I15" s="45" t="n">
        <f aca="false">MIN(E3:E14)-$I$21</f>
        <v>0</v>
      </c>
      <c r="J15" s="46"/>
      <c r="K15" s="46"/>
      <c r="L15" s="46"/>
      <c r="M15" s="46"/>
      <c r="N15" s="46"/>
      <c r="O15" s="46"/>
      <c r="P15" s="46"/>
      <c r="Q15" s="46"/>
      <c r="R15" s="46"/>
    </row>
    <row r="16" customFormat="false" ht="13.8" hidden="false" customHeight="false" outlineLevel="0" collapsed="false">
      <c r="B16" s="44" t="n">
        <v>14</v>
      </c>
      <c r="C16" s="53" t="n">
        <v>4.24</v>
      </c>
      <c r="D16" s="53" t="n">
        <v>4.14</v>
      </c>
      <c r="E16" s="53" t="n">
        <f aca="false">C16-D16</f>
        <v>0.100000000000001</v>
      </c>
      <c r="H16" s="45" t="s">
        <v>43</v>
      </c>
      <c r="I16" s="45" t="n">
        <f aca="false">QUARTILE(E3:E14,1)-I15-$I$21</f>
        <v>0.592499999999999</v>
      </c>
      <c r="J16" s="46"/>
      <c r="K16" s="46"/>
      <c r="L16" s="46"/>
      <c r="M16" s="46"/>
      <c r="N16" s="46"/>
      <c r="O16" s="46"/>
      <c r="P16" s="46"/>
      <c r="Q16" s="46"/>
      <c r="R16" s="46"/>
    </row>
    <row r="17" customFormat="false" ht="13.8" hidden="false" customHeight="false" outlineLevel="0" collapsed="false">
      <c r="B17" s="0"/>
      <c r="E17" s="0"/>
      <c r="H17" s="45" t="s">
        <v>45</v>
      </c>
      <c r="I17" s="45" t="n">
        <f aca="false">MEDIAN(E3:E14)-QUARTILE(E3:E14,1)</f>
        <v>0.3125</v>
      </c>
      <c r="J17" s="46"/>
      <c r="K17" s="46"/>
      <c r="L17" s="46"/>
      <c r="M17" s="46"/>
      <c r="N17" s="46"/>
      <c r="O17" s="46"/>
      <c r="P17" s="46"/>
      <c r="Q17" s="46"/>
      <c r="R17" s="46"/>
    </row>
    <row r="18" customFormat="false" ht="14.9" hidden="false" customHeight="false" outlineLevel="0" collapsed="false">
      <c r="B18" s="54" t="s">
        <v>74</v>
      </c>
      <c r="E18" s="39" t="n">
        <f aca="false">[1]!MEAN(E3:E14)</f>
        <v>0.380833333333333</v>
      </c>
      <c r="H18" s="45" t="s">
        <v>47</v>
      </c>
      <c r="I18" s="45" t="n">
        <f aca="false">QUARTILE(E3:E14,3)-MEDIAN(E3:E14)</f>
        <v>0.2775</v>
      </c>
      <c r="J18" s="46"/>
      <c r="K18" s="46"/>
      <c r="L18" s="46"/>
      <c r="M18" s="46"/>
      <c r="N18" s="46"/>
      <c r="O18" s="46"/>
      <c r="P18" s="46"/>
      <c r="Q18" s="46"/>
      <c r="R18" s="46"/>
    </row>
    <row r="19" customFormat="false" ht="28.35" hidden="false" customHeight="false" outlineLevel="0" collapsed="false">
      <c r="B19" s="54" t="s">
        <v>59</v>
      </c>
      <c r="E19" s="39" t="n">
        <f aca="false">_xlfn.STDEV.S(E3:E14)</f>
        <v>0.433515404640488</v>
      </c>
      <c r="H19" s="45" t="s">
        <v>53</v>
      </c>
      <c r="I19" s="45" t="n">
        <f aca="false">MAX(E3:E14)-QUARTILE(E3:E14,3)</f>
        <v>0.1275</v>
      </c>
      <c r="J19" s="46"/>
      <c r="K19" s="46"/>
      <c r="L19" s="46"/>
      <c r="M19" s="46"/>
      <c r="N19" s="46"/>
      <c r="O19" s="46"/>
      <c r="P19" s="46"/>
      <c r="Q19" s="46"/>
      <c r="R19" s="46"/>
    </row>
    <row r="20" customFormat="false" ht="14.9" hidden="false" customHeight="false" outlineLevel="0" collapsed="false">
      <c r="B20" s="54" t="s">
        <v>75</v>
      </c>
      <c r="E20" s="39" t="n">
        <f aca="false">COUNT(E3:E14)</f>
        <v>12</v>
      </c>
      <c r="H20" s="45"/>
      <c r="I20" s="45"/>
      <c r="J20" s="46"/>
      <c r="K20" s="46"/>
      <c r="L20" s="46"/>
      <c r="M20" s="46"/>
      <c r="N20" s="46"/>
      <c r="O20" s="46"/>
      <c r="P20" s="46"/>
      <c r="Q20" s="46"/>
      <c r="R20" s="46"/>
    </row>
    <row r="21" customFormat="false" ht="14.9" hidden="false" customHeight="false" outlineLevel="0" collapsed="false">
      <c r="B21" s="55" t="s">
        <v>31</v>
      </c>
      <c r="E21" s="39" t="n">
        <f aca="false">E18/(E19/SQRT(E20))</f>
        <v>3.04313376405237</v>
      </c>
      <c r="H21" s="45" t="s">
        <v>76</v>
      </c>
      <c r="I21" s="45" t="n">
        <f aca="false">MIN(E3:E14)</f>
        <v>-0.449999999999999</v>
      </c>
      <c r="J21" s="46"/>
      <c r="K21" s="46"/>
      <c r="L21" s="46"/>
      <c r="M21" s="46"/>
      <c r="N21" s="46"/>
      <c r="O21" s="46"/>
      <c r="P21" s="46"/>
      <c r="Q21" s="46"/>
      <c r="R21" s="46"/>
    </row>
    <row r="22" customFormat="false" ht="28.35" hidden="false" customHeight="false" outlineLevel="0" collapsed="false">
      <c r="B22" s="55" t="s">
        <v>77</v>
      </c>
      <c r="E22" s="39" t="n">
        <f aca="false">E20-1</f>
        <v>11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customFormat="false" ht="14.9" hidden="false" customHeight="false" outlineLevel="0" collapsed="false">
      <c r="B23" s="55" t="s">
        <v>78</v>
      </c>
      <c r="E23" s="39" t="n">
        <f aca="false">TINV(0.05,E22)</f>
        <v>2.20098516009164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</row>
    <row r="24" customFormat="false" ht="13.8" hidden="false" customHeight="false" outlineLevel="0" collapsed="false">
      <c r="H24" s="46" t="s">
        <v>79</v>
      </c>
      <c r="I24" s="46"/>
      <c r="J24" s="46"/>
      <c r="K24" s="46"/>
      <c r="L24" s="46"/>
      <c r="M24" s="46"/>
      <c r="N24" s="46"/>
      <c r="O24" s="46"/>
    </row>
    <row r="25" customFormat="false" ht="13.8" hidden="false" customHeight="false" outlineLevel="0" collapsed="false">
      <c r="H25" s="39" t="s">
        <v>80</v>
      </c>
      <c r="I25" s="0"/>
      <c r="J25" s="0"/>
      <c r="K25" s="0"/>
    </row>
    <row r="26" customFormat="false" ht="13.8" hidden="false" customHeight="false" outlineLevel="0" collapsed="false">
      <c r="H26" s="0"/>
      <c r="I26" s="0"/>
      <c r="J26" s="0"/>
      <c r="K26" s="0"/>
    </row>
    <row r="27" customFormat="false" ht="13.8" hidden="false" customHeight="false" outlineLevel="0" collapsed="false">
      <c r="H27" s="39" t="s">
        <v>7</v>
      </c>
      <c r="I27" s="39" t="n">
        <f aca="false">COUNT(E3:E14)</f>
        <v>12</v>
      </c>
      <c r="J27" s="39" t="n">
        <f aca="false">2*I27</f>
        <v>24</v>
      </c>
      <c r="K27" s="0"/>
    </row>
    <row r="28" customFormat="false" ht="13.8" hidden="false" customHeight="false" outlineLevel="0" collapsed="false">
      <c r="H28" s="39" t="s">
        <v>8</v>
      </c>
      <c r="I28" s="39" t="n">
        <f aca="false">AVERAGE(E3:E14)</f>
        <v>0.380833333333333</v>
      </c>
      <c r="J28" s="0"/>
      <c r="K28" s="0"/>
    </row>
    <row r="29" customFormat="false" ht="13.8" hidden="false" customHeight="false" outlineLevel="0" collapsed="false">
      <c r="H29" s="39" t="s">
        <v>44</v>
      </c>
      <c r="I29" s="39" t="n">
        <f aca="false">STDEV(E3:E14)</f>
        <v>0.433515404640488</v>
      </c>
      <c r="J29" s="0"/>
      <c r="K29" s="0"/>
    </row>
    <row r="30" customFormat="false" ht="13.8" hidden="false" customHeight="false" outlineLevel="0" collapsed="false">
      <c r="H30" s="0"/>
      <c r="I30" s="0"/>
      <c r="J30" s="0"/>
      <c r="K30" s="0"/>
    </row>
    <row r="31" customFormat="false" ht="13.8" hidden="false" customHeight="false" outlineLevel="0" collapsed="false">
      <c r="H31" s="39" t="s">
        <v>49</v>
      </c>
      <c r="I31" s="39" t="s">
        <v>50</v>
      </c>
      <c r="J31" s="39" t="s">
        <v>51</v>
      </c>
      <c r="K31" s="39" t="s">
        <v>52</v>
      </c>
    </row>
    <row r="32" customFormat="false" ht="13.8" hidden="false" customHeight="false" outlineLevel="0" collapsed="false">
      <c r="H32" s="39" t="n">
        <v>1</v>
      </c>
      <c r="I32" s="39" t="e">
        <f aca="false" t="array" ref="I32:I43">[1]!QSORT(E3:E14)</f>
        <v>#NAME?</v>
      </c>
      <c r="J32" s="39" t="n">
        <f aca="false">NORMSINV(H32/J$27)</f>
        <v>-1.73166439612225</v>
      </c>
      <c r="K32" s="39" t="n">
        <f aca="false">STANDARDIZE(I32,I$28,I$29)</f>
        <v>-1.9165024459104</v>
      </c>
    </row>
    <row r="33" customFormat="false" ht="13.8" hidden="false" customHeight="false" outlineLevel="0" collapsed="false">
      <c r="H33" s="39" t="n">
        <f aca="false">H32+2</f>
        <v>3</v>
      </c>
      <c r="I33" s="39" t="e">
        <v>#NAME?</v>
      </c>
      <c r="J33" s="39" t="n">
        <f aca="false">NORMSINV(H33/J$27)</f>
        <v>-1.15034938037601</v>
      </c>
      <c r="K33" s="39" t="e">
        <f aca="false">STANDARDIZE(I33,I$28,I$29)</f>
        <v>#NAME?</v>
      </c>
    </row>
    <row r="34" customFormat="false" ht="13.8" hidden="false" customHeight="false" outlineLevel="0" collapsed="false">
      <c r="H34" s="39" t="n">
        <f aca="false">H33+2</f>
        <v>5</v>
      </c>
      <c r="I34" s="39" t="e">
        <v>#NAME?</v>
      </c>
      <c r="J34" s="39" t="n">
        <f aca="false">NORMSINV(H34/J$27)</f>
        <v>-0.812217801499913</v>
      </c>
      <c r="K34" s="39" t="e">
        <f aca="false">STANDARDIZE(I34,I$28,I$29)</f>
        <v>#NAME?</v>
      </c>
    </row>
    <row r="35" customFormat="false" ht="13.8" hidden="false" customHeight="false" outlineLevel="0" collapsed="false">
      <c r="H35" s="39" t="n">
        <f aca="false">H34+2</f>
        <v>7</v>
      </c>
      <c r="I35" s="39" t="e">
        <v>#NAME?</v>
      </c>
      <c r="J35" s="39" t="n">
        <f aca="false">NORMSINV(H35/J$27)</f>
        <v>-0.548522282698098</v>
      </c>
      <c r="K35" s="39" t="e">
        <f aca="false">STANDARDIZE(I35,I$28,I$29)</f>
        <v>#NAME?</v>
      </c>
    </row>
    <row r="36" customFormat="false" ht="13.8" hidden="false" customHeight="false" outlineLevel="0" collapsed="false">
      <c r="H36" s="39" t="n">
        <f aca="false">H35+2</f>
        <v>9</v>
      </c>
      <c r="I36" s="39" t="e">
        <v>#NAME?</v>
      </c>
      <c r="J36" s="39" t="n">
        <f aca="false">NORMSINV(H36/J$27)</f>
        <v>-0.318639363964375</v>
      </c>
      <c r="K36" s="39" t="e">
        <f aca="false">STANDARDIZE(I36,I$28,I$29)</f>
        <v>#NAME?</v>
      </c>
    </row>
    <row r="37" customFormat="false" ht="13.8" hidden="false" customHeight="false" outlineLevel="0" collapsed="false">
      <c r="H37" s="39" t="n">
        <f aca="false">H36+2</f>
        <v>11</v>
      </c>
      <c r="I37" s="39" t="e">
        <v>#NAME?</v>
      </c>
      <c r="J37" s="39" t="n">
        <f aca="false">NORMSINV(H37/J$27)</f>
        <v>-0.104633455614075</v>
      </c>
      <c r="K37" s="39" t="e">
        <f aca="false">STANDARDIZE(I37,I$28,I$29)</f>
        <v>#NAME?</v>
      </c>
    </row>
    <row r="38" customFormat="false" ht="13.8" hidden="false" customHeight="false" outlineLevel="0" collapsed="false">
      <c r="H38" s="39" t="n">
        <f aca="false">H37+2</f>
        <v>13</v>
      </c>
      <c r="I38" s="39" t="e">
        <v>#NAME?</v>
      </c>
      <c r="J38" s="39" t="n">
        <f aca="false">NORMSINV(H38/J$27)</f>
        <v>0.104633455614075</v>
      </c>
      <c r="K38" s="39" t="e">
        <f aca="false">STANDARDIZE(I38,I$28,I$29)</f>
        <v>#NAME?</v>
      </c>
    </row>
    <row r="39" customFormat="false" ht="13.8" hidden="false" customHeight="false" outlineLevel="0" collapsed="false">
      <c r="H39" s="39" t="n">
        <f aca="false">H38+2</f>
        <v>15</v>
      </c>
      <c r="I39" s="39" t="e">
        <v>#NAME?</v>
      </c>
      <c r="J39" s="39" t="n">
        <f aca="false">NORMSINV(H39/J$27)</f>
        <v>0.318639363964375</v>
      </c>
      <c r="K39" s="39" t="e">
        <f aca="false">STANDARDIZE(I39,I$28,I$29)</f>
        <v>#NAME?</v>
      </c>
    </row>
    <row r="40" customFormat="false" ht="13.8" hidden="false" customHeight="false" outlineLevel="0" collapsed="false">
      <c r="H40" s="39" t="n">
        <f aca="false">H39+2</f>
        <v>17</v>
      </c>
      <c r="I40" s="39" t="e">
        <v>#NAME?</v>
      </c>
      <c r="J40" s="39" t="n">
        <f aca="false">NORMSINV(H40/J$27)</f>
        <v>0.548522282698098</v>
      </c>
      <c r="K40" s="39" t="e">
        <f aca="false">STANDARDIZE(I40,I$28,I$29)</f>
        <v>#NAME?</v>
      </c>
    </row>
    <row r="41" customFormat="false" ht="13.8" hidden="false" customHeight="false" outlineLevel="0" collapsed="false">
      <c r="H41" s="39" t="n">
        <f aca="false">H40+2</f>
        <v>19</v>
      </c>
      <c r="I41" s="39" t="e">
        <v>#NAME?</v>
      </c>
      <c r="J41" s="39" t="n">
        <f aca="false">NORMSINV(H41/J$27)</f>
        <v>0.812217801499913</v>
      </c>
      <c r="K41" s="39" t="e">
        <f aca="false">STANDARDIZE(I41,I$28,I$29)</f>
        <v>#NAME?</v>
      </c>
    </row>
    <row r="42" customFormat="false" ht="13.8" hidden="false" customHeight="false" outlineLevel="0" collapsed="false">
      <c r="H42" s="39" t="n">
        <f aca="false">H41+2</f>
        <v>21</v>
      </c>
      <c r="I42" s="39" t="e">
        <v>#NAME?</v>
      </c>
      <c r="J42" s="39" t="n">
        <f aca="false">NORMSINV(H42/J$27)</f>
        <v>1.15034938037601</v>
      </c>
      <c r="K42" s="39" t="e">
        <f aca="false">STANDARDIZE(I42,I$28,I$29)</f>
        <v>#NAME?</v>
      </c>
    </row>
    <row r="43" customFormat="false" ht="13.8" hidden="false" customHeight="false" outlineLevel="0" collapsed="false">
      <c r="H43" s="39" t="n">
        <f aca="false">H42+2</f>
        <v>23</v>
      </c>
      <c r="I43" s="39" t="e">
        <v>#NAME?</v>
      </c>
      <c r="J43" s="39" t="n">
        <f aca="false">NORMSINV(H43/J$27)</f>
        <v>1.73166439612225</v>
      </c>
      <c r="K43" s="39" t="e">
        <f aca="false">STANDARDIZE(I43,I$28,I$29)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2" min="1" style="0" width="8.57085020242915"/>
    <col collapsed="false" hidden="false" max="3" min="3" style="0" width="11.4615384615385"/>
    <col collapsed="false" hidden="false" max="4" min="4" style="0" width="11.5708502024291"/>
    <col collapsed="false" hidden="false" max="5" min="5" style="0" width="9.1417004048583"/>
    <col collapsed="false" hidden="false" max="6" min="6" style="0" width="10.6194331983806"/>
    <col collapsed="false" hidden="false" max="10" min="7" style="0" width="8.57085020242915"/>
    <col collapsed="false" hidden="false" max="11" min="11" style="0" width="12.2672064777328"/>
    <col collapsed="false" hidden="false" max="12" min="12" style="0" width="20.2105263157895"/>
    <col collapsed="false" hidden="false" max="13" min="13" style="0" width="15.7975708502024"/>
    <col collapsed="false" hidden="false" max="1025" min="14" style="0" width="8.57085020242915"/>
  </cols>
  <sheetData>
    <row r="1" customFormat="false" ht="13.8" hidden="false" customHeight="false" outlineLevel="0" collapsed="false"/>
    <row r="2" customFormat="false" ht="55.45" hidden="false" customHeight="false" outlineLevel="0" collapsed="false">
      <c r="B2" s="17" t="s">
        <v>81</v>
      </c>
      <c r="C2" s="17" t="s">
        <v>82</v>
      </c>
      <c r="D2" s="17" t="s">
        <v>83</v>
      </c>
      <c r="E2" s="21" t="s">
        <v>84</v>
      </c>
      <c r="F2" s="21" t="s">
        <v>85</v>
      </c>
      <c r="K2" s="44"/>
      <c r="L2" s="56" t="s">
        <v>86</v>
      </c>
      <c r="M2" s="56"/>
    </row>
    <row r="3" customFormat="false" ht="13.8" hidden="false" customHeight="false" outlineLevel="0" collapsed="false">
      <c r="B3" s="6" t="n">
        <v>1</v>
      </c>
      <c r="C3" s="6" t="n">
        <v>63</v>
      </c>
      <c r="D3" s="6" t="n">
        <v>29</v>
      </c>
      <c r="E3" s="6" t="n">
        <v>7.29</v>
      </c>
      <c r="F3" s="6" t="n">
        <v>3.89</v>
      </c>
      <c r="K3" s="44"/>
      <c r="L3" s="40" t="s">
        <v>87</v>
      </c>
      <c r="M3" s="40" t="s">
        <v>88</v>
      </c>
    </row>
    <row r="4" customFormat="false" ht="13.8" hidden="false" customHeight="false" outlineLevel="0" collapsed="false">
      <c r="B4" s="6" t="n">
        <v>2</v>
      </c>
      <c r="C4" s="6" t="n">
        <v>70</v>
      </c>
      <c r="D4" s="6" t="n">
        <v>26.3</v>
      </c>
      <c r="E4" s="6" t="n">
        <v>8.04</v>
      </c>
      <c r="F4" s="6" t="n">
        <v>2.21</v>
      </c>
      <c r="K4" s="44" t="s">
        <v>89</v>
      </c>
      <c r="L4" s="44" t="s">
        <v>90</v>
      </c>
      <c r="M4" s="44" t="s">
        <v>91</v>
      </c>
    </row>
    <row r="5" customFormat="false" ht="13.8" hidden="false" customHeight="false" outlineLevel="0" collapsed="false">
      <c r="B5" s="6" t="n">
        <v>3</v>
      </c>
      <c r="C5" s="6" t="n">
        <v>59</v>
      </c>
      <c r="D5" s="6" t="n">
        <v>21.6</v>
      </c>
      <c r="E5" s="6" t="n">
        <v>8.43</v>
      </c>
      <c r="F5" s="6" t="n">
        <v>1.86</v>
      </c>
      <c r="K5" s="44" t="s">
        <v>92</v>
      </c>
      <c r="L5" s="44" t="s">
        <v>91</v>
      </c>
      <c r="M5" s="44" t="s">
        <v>90</v>
      </c>
    </row>
    <row r="6" customFormat="false" ht="13.8" hidden="false" customHeight="false" outlineLevel="0" collapsed="false">
      <c r="B6" s="6" t="n">
        <v>4</v>
      </c>
      <c r="C6" s="6" t="n">
        <v>66</v>
      </c>
      <c r="D6" s="6" t="n">
        <v>21.8</v>
      </c>
      <c r="E6" s="6" t="n">
        <v>7.96</v>
      </c>
      <c r="F6" s="6" t="n">
        <v>2.78</v>
      </c>
    </row>
    <row r="7" customFormat="false" ht="13.8" hidden="false" customHeight="false" outlineLevel="0" collapsed="false">
      <c r="B7" s="6" t="n">
        <v>5</v>
      </c>
      <c r="C7" s="6" t="n">
        <v>58</v>
      </c>
      <c r="D7" s="6" t="n">
        <v>27.2</v>
      </c>
      <c r="E7" s="6" t="n">
        <v>5.43</v>
      </c>
      <c r="F7" s="6" t="n">
        <v>1.96</v>
      </c>
    </row>
    <row r="8" customFormat="false" ht="13.8" hidden="false" customHeight="false" outlineLevel="0" collapsed="false">
      <c r="B8" s="6" t="n">
        <v>6</v>
      </c>
      <c r="C8" s="6" t="n">
        <v>65</v>
      </c>
      <c r="D8" s="6" t="n">
        <v>24.8</v>
      </c>
      <c r="E8" s="6" t="n">
        <v>5.77</v>
      </c>
      <c r="F8" s="6" t="n">
        <v>1.23</v>
      </c>
    </row>
    <row r="9" customFormat="false" ht="13.8" hidden="false" customHeight="false" outlineLevel="0" collapsed="false">
      <c r="B9" s="6" t="n">
        <v>7</v>
      </c>
      <c r="C9" s="6" t="n">
        <v>46</v>
      </c>
      <c r="D9" s="6" t="n">
        <v>25.2</v>
      </c>
      <c r="E9" s="6" t="n">
        <v>6.96</v>
      </c>
      <c r="F9" s="6" t="n">
        <v>2.36</v>
      </c>
    </row>
    <row r="10" customFormat="false" ht="13.8" hidden="false" customHeight="false" outlineLevel="0" collapsed="false">
      <c r="B10" s="6" t="n">
        <v>8</v>
      </c>
      <c r="C10" s="6" t="n">
        <v>50</v>
      </c>
      <c r="D10" s="6" t="n">
        <v>24.5</v>
      </c>
      <c r="E10" s="6" t="n">
        <v>6.23</v>
      </c>
      <c r="F10" s="6" t="n">
        <v>2.83</v>
      </c>
    </row>
    <row r="11" customFormat="false" ht="13.8" hidden="false" customHeight="false" outlineLevel="0" collapsed="false">
      <c r="B11" s="6" t="n">
        <v>9</v>
      </c>
      <c r="C11" s="6" t="n">
        <v>42</v>
      </c>
      <c r="D11" s="6" t="n">
        <v>25.1</v>
      </c>
      <c r="E11" s="6" t="n">
        <v>6.65</v>
      </c>
      <c r="F11" s="6" t="n">
        <v>3.3</v>
      </c>
    </row>
    <row r="12" customFormat="false" ht="13.8" hidden="false" customHeight="false" outlineLevel="0" collapsed="false">
      <c r="B12" s="6" t="n">
        <v>10</v>
      </c>
      <c r="C12" s="6" t="n">
        <v>68</v>
      </c>
      <c r="D12" s="6" t="n">
        <v>23.5</v>
      </c>
      <c r="E12" s="6" t="n">
        <v>6.26</v>
      </c>
      <c r="F12" s="6" t="n">
        <v>3.13</v>
      </c>
    </row>
    <row r="13" customFormat="false" ht="13.8" hidden="false" customHeight="false" outlineLevel="0" collapsed="false">
      <c r="B13" s="6" t="n">
        <v>11</v>
      </c>
      <c r="C13" s="6" t="n">
        <v>42</v>
      </c>
      <c r="D13" s="6" t="n">
        <v>27.9</v>
      </c>
      <c r="E13" s="6" t="n">
        <v>8.2</v>
      </c>
      <c r="F13" s="6" t="n">
        <v>2.54</v>
      </c>
    </row>
    <row r="14" customFormat="false" ht="13.8" hidden="false" customHeight="false" outlineLevel="0" collapsed="false">
      <c r="B14" s="6" t="n">
        <v>12</v>
      </c>
      <c r="C14" s="6" t="n">
        <v>66</v>
      </c>
      <c r="D14" s="6" t="n">
        <v>24.8</v>
      </c>
      <c r="E14" s="6" t="n">
        <v>6.21</v>
      </c>
      <c r="F14" s="6" t="n">
        <v>2.01</v>
      </c>
    </row>
    <row r="15" customFormat="false" ht="13.8" hidden="false" customHeight="false" outlineLevel="0" collapsed="false">
      <c r="B15" s="57" t="n">
        <v>13</v>
      </c>
      <c r="C15" s="57" t="n">
        <v>68</v>
      </c>
      <c r="D15" s="57" t="n">
        <v>31.9</v>
      </c>
      <c r="E15" s="57" t="n">
        <v>5.92</v>
      </c>
      <c r="F15" s="57" t="n">
        <v>5.26</v>
      </c>
    </row>
    <row r="16" customFormat="false" ht="13.8" hidden="false" customHeight="false" outlineLevel="0" collapsed="false">
      <c r="B16" s="57" t="n">
        <v>14</v>
      </c>
      <c r="C16" s="57" t="n">
        <v>61</v>
      </c>
      <c r="D16" s="57" t="n">
        <v>24.4</v>
      </c>
      <c r="E16" s="57" t="n">
        <v>5.92</v>
      </c>
      <c r="F16" s="57" t="n">
        <v>1.89</v>
      </c>
    </row>
    <row r="17" customFormat="false" ht="14.95" hidden="false" customHeight="false" outlineLevel="0" collapsed="false">
      <c r="B17" s="17" t="s">
        <v>93</v>
      </c>
      <c r="C17" s="17" t="s">
        <v>94</v>
      </c>
      <c r="D17" s="17" t="s">
        <v>95</v>
      </c>
      <c r="E17" s="17" t="s">
        <v>96</v>
      </c>
      <c r="F17" s="17" t="s">
        <v>97</v>
      </c>
    </row>
  </sheetData>
  <mergeCells count="1">
    <mergeCell ref="L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LibreOffice/5.1.6.2$Linux_X86_64 LibreOffice_project/10m0$Build-2</Application>
  <Company>University of Memphis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2017-04-18T16:20:36Z</dcterms:created>
  <dc:creator>Md Sabbir Bin Zaman (mzaman)</dc:creator>
  <dc:description/>
  <dc:language>en-US</dc:language>
  <cp:lastModifiedBy/>
  <dcterms:modified xsi:type="dcterms:W3CDTF">2017-04-23T21:43:59Z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Memphis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