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576" windowHeight="6960" tabRatio="838" activeTab="2"/>
  </bookViews>
  <sheets>
    <sheet name="MasterA1(current$)" sheetId="7" r:id="rId1"/>
    <sheet name="MasterA2(constant$)" sheetId="22" r:id="rId2"/>
    <sheet name="MasterA3(FTEs)" sheetId="8" r:id="rId3"/>
  </sheets>
  <definedNames>
    <definedName name="BodyA1" localSheetId="1">'MasterA2(constant$)'!#REF!</definedName>
    <definedName name="BodyA1">'MasterA1(current$)'!$A$9:$AR$225</definedName>
    <definedName name="bodya1short">#REF!</definedName>
    <definedName name="BodyA2" localSheetId="1">'MasterA2(constant$)'!$A$9:$AU$226</definedName>
    <definedName name="BodyA2">'MasterA1(current$)'!#REF!</definedName>
    <definedName name="documents__various_fiscal_years.">#REF!</definedName>
    <definedName name="_xlnm.Print_Area" localSheetId="0">'MasterA1(current$)'!$A$1:$BL$224</definedName>
    <definedName name="_xlnm.Print_Area" localSheetId="1">'MasterA2(constant$)'!$A$1:$BL$227</definedName>
    <definedName name="_xlnm.Print_Area" localSheetId="2">'MasterA3(FTEs)'!$A$1:$BJ$230</definedName>
    <definedName name="_xlnm.Print_Titles" localSheetId="0">'MasterA1(current$)'!$A:$A,'MasterA1(current$)'!$1:$8</definedName>
    <definedName name="_xlnm.Print_Titles" localSheetId="1">'MasterA2(constant$)'!$A:$A,'MasterA2(constant$)'!$1:$8</definedName>
    <definedName name="_xlnm.Print_Titles" localSheetId="2">'MasterA3(FTEs)'!$A:$A,'MasterA3(FTEs)'!$2:$8</definedName>
    <definedName name="SideA1" localSheetId="1">'MasterA2(constant$)'!#REF!</definedName>
    <definedName name="SideA1">'MasterA1(current$)'!$A$5:$A$229</definedName>
    <definedName name="SIDEA2" localSheetId="2">#REF!</definedName>
    <definedName name="Table_A_1">#REF!</definedName>
    <definedName name="Table_A_2">#REF!</definedName>
    <definedName name="TopA1" localSheetId="1">'MasterA2(constant$)'!#REF!</definedName>
    <definedName name="TopA1">'MasterA1(current$)'!$A$1:$AR$8</definedName>
    <definedName name="topa1short" localSheetId="1">'MasterA2(constant$)'!#REF!</definedName>
    <definedName name="topa1short">'MasterA1(current$)'!$A$1:$AR$8</definedName>
    <definedName name="TopA2" localSheetId="1">'MasterA2(constant$)'!$A$1:$AU$8</definedName>
    <definedName name="TopA2">'MasterA1(current$)'!#REF!</definedName>
  </definedNames>
  <calcPr calcId="145621"/>
</workbook>
</file>

<file path=xl/calcChain.xml><?xml version="1.0" encoding="utf-8"?>
<calcChain xmlns="http://schemas.openxmlformats.org/spreadsheetml/2006/main">
  <c r="BH68" i="7" l="1"/>
  <c r="BH219" i="8" l="1"/>
  <c r="BG219" i="8"/>
  <c r="BF219" i="8"/>
  <c r="BH168" i="8"/>
  <c r="BG168" i="8"/>
  <c r="BF168" i="8"/>
  <c r="BH112" i="8" l="1"/>
  <c r="BG112" i="8"/>
  <c r="BF112" i="8"/>
  <c r="BH107" i="8" l="1"/>
  <c r="BG107" i="8"/>
  <c r="BF107" i="8"/>
  <c r="BH104" i="8"/>
  <c r="BG104" i="8"/>
  <c r="BF104" i="8"/>
  <c r="BJ54" i="7" l="1"/>
  <c r="BI54" i="7"/>
  <c r="BH56" i="7"/>
  <c r="BG56" i="7"/>
  <c r="BF56" i="7"/>
  <c r="BH52" i="8"/>
  <c r="BG52" i="8"/>
  <c r="BF52" i="8"/>
  <c r="BH53" i="7"/>
  <c r="BG53" i="7"/>
  <c r="BF53" i="7"/>
  <c r="BH51" i="8"/>
  <c r="BG51" i="8"/>
  <c r="BF51" i="8"/>
  <c r="BH52" i="7"/>
  <c r="BG52" i="7"/>
  <c r="BF52" i="7"/>
  <c r="BH38" i="8"/>
  <c r="BG38" i="8"/>
  <c r="BF38" i="8"/>
  <c r="BH34" i="8"/>
  <c r="BG34" i="8"/>
  <c r="BF34" i="8"/>
  <c r="BH35" i="7"/>
  <c r="BG35" i="7"/>
  <c r="BH201" i="8" l="1"/>
  <c r="BH173" i="8"/>
  <c r="BH189" i="8" s="1"/>
  <c r="BH157" i="8"/>
  <c r="BH140" i="8"/>
  <c r="BH122" i="8"/>
  <c r="BH116" i="8"/>
  <c r="BH84" i="8"/>
  <c r="BH67" i="8"/>
  <c r="BH72" i="8" s="1"/>
  <c r="BH56" i="8"/>
  <c r="BH35" i="8"/>
  <c r="BH21" i="8"/>
  <c r="BI176" i="7"/>
  <c r="BH173" i="7"/>
  <c r="BH189" i="7" s="1"/>
  <c r="BH189" i="22" s="1"/>
  <c r="BH157" i="7"/>
  <c r="BH140" i="7"/>
  <c r="BH140" i="22" s="1"/>
  <c r="BH123" i="7"/>
  <c r="BH117" i="7"/>
  <c r="BH85" i="7"/>
  <c r="BH85" i="22" s="1"/>
  <c r="BH73" i="7"/>
  <c r="BH73" i="22" s="1"/>
  <c r="BH57" i="7"/>
  <c r="BH57" i="22" s="1"/>
  <c r="BH36" i="7"/>
  <c r="BH36" i="22" s="1"/>
  <c r="BH30" i="7"/>
  <c r="BH30" i="22" s="1"/>
  <c r="BH21" i="7"/>
  <c r="BH21" i="22" s="1"/>
  <c r="BH207" i="22"/>
  <c r="BH201" i="7"/>
  <c r="BH222" i="7" s="1"/>
  <c r="BH221" i="22"/>
  <c r="BH219" i="22"/>
  <c r="BH216" i="22"/>
  <c r="BH214" i="22"/>
  <c r="BH212" i="22"/>
  <c r="BH210" i="22"/>
  <c r="BH204" i="22"/>
  <c r="BH200" i="22"/>
  <c r="BH199" i="22"/>
  <c r="BH198" i="22"/>
  <c r="BH184" i="22"/>
  <c r="BH182" i="22"/>
  <c r="BH180" i="22"/>
  <c r="BH176" i="22"/>
  <c r="BH173" i="22"/>
  <c r="BH171" i="22"/>
  <c r="BH168" i="22"/>
  <c r="BH165" i="22"/>
  <c r="BH159" i="22"/>
  <c r="BH156" i="22"/>
  <c r="BH155" i="22"/>
  <c r="BH152" i="22"/>
  <c r="BH148" i="22"/>
  <c r="BH146" i="22"/>
  <c r="BH144" i="22"/>
  <c r="BH142" i="22"/>
  <c r="BH138" i="22"/>
  <c r="BH137" i="22"/>
  <c r="BH126" i="22"/>
  <c r="BH124" i="22"/>
  <c r="BH122" i="22"/>
  <c r="BH121" i="22"/>
  <c r="BH119" i="22"/>
  <c r="BH115" i="22"/>
  <c r="BH114" i="22"/>
  <c r="BH113" i="22"/>
  <c r="BH112" i="22"/>
  <c r="BH111" i="22"/>
  <c r="BH110" i="22"/>
  <c r="BH107" i="22"/>
  <c r="BH104" i="22"/>
  <c r="BH101" i="22"/>
  <c r="BH96" i="22"/>
  <c r="BH94" i="22"/>
  <c r="BH92" i="22"/>
  <c r="BH90" i="22"/>
  <c r="BH88" i="22"/>
  <c r="BH84" i="22"/>
  <c r="BH83" i="22"/>
  <c r="BH82" i="22"/>
  <c r="BH80" i="22"/>
  <c r="BH79" i="22"/>
  <c r="BH72" i="22"/>
  <c r="BH70" i="22"/>
  <c r="BH68" i="22"/>
  <c r="BH67" i="22"/>
  <c r="BH66" i="22"/>
  <c r="BH65" i="22"/>
  <c r="BH64" i="22"/>
  <c r="BH62" i="22"/>
  <c r="BH56" i="22"/>
  <c r="BH55" i="22"/>
  <c r="BH54" i="22"/>
  <c r="BH53" i="22"/>
  <c r="BH52" i="22"/>
  <c r="BH45" i="22"/>
  <c r="BH43" i="22"/>
  <c r="BH41" i="22"/>
  <c r="BH39" i="22"/>
  <c r="BH35" i="22"/>
  <c r="BH33" i="22"/>
  <c r="BH28" i="22"/>
  <c r="BH27" i="22"/>
  <c r="BH24" i="22"/>
  <c r="BH20" i="22"/>
  <c r="BH19" i="22"/>
  <c r="BH18" i="22"/>
  <c r="BH17" i="22"/>
  <c r="BH13" i="22"/>
  <c r="BG221" i="22"/>
  <c r="BG219" i="22"/>
  <c r="BG216" i="22"/>
  <c r="BG214" i="22"/>
  <c r="BG212" i="22"/>
  <c r="BG210" i="22"/>
  <c r="BG207" i="22"/>
  <c r="BG204" i="22"/>
  <c r="BG200" i="22"/>
  <c r="BG199" i="22"/>
  <c r="BG198" i="22"/>
  <c r="BG184" i="22"/>
  <c r="BG182" i="22"/>
  <c r="BG180" i="22"/>
  <c r="BG176" i="22"/>
  <c r="BG171" i="22"/>
  <c r="BG168" i="22"/>
  <c r="BG165" i="22"/>
  <c r="BG159" i="22"/>
  <c r="BG156" i="22"/>
  <c r="BG155" i="22"/>
  <c r="BG152" i="22"/>
  <c r="BG148" i="22"/>
  <c r="BG146" i="22"/>
  <c r="BG144" i="22"/>
  <c r="BG142" i="22"/>
  <c r="BG138" i="22"/>
  <c r="BG137" i="22"/>
  <c r="BG126" i="22"/>
  <c r="BG124" i="22"/>
  <c r="BG121" i="22"/>
  <c r="BG119" i="22"/>
  <c r="BG115" i="22"/>
  <c r="BG114" i="22"/>
  <c r="BG113" i="22"/>
  <c r="BG112" i="22"/>
  <c r="BG111" i="22"/>
  <c r="BG110" i="22"/>
  <c r="BG107" i="22"/>
  <c r="BG104" i="22"/>
  <c r="BG101" i="22"/>
  <c r="BG96" i="22"/>
  <c r="BG94" i="22"/>
  <c r="BG92" i="22"/>
  <c r="BG90" i="22"/>
  <c r="BG88" i="22"/>
  <c r="BG84" i="22"/>
  <c r="BG83" i="22"/>
  <c r="BG82" i="22"/>
  <c r="BG80" i="22"/>
  <c r="BG79" i="22"/>
  <c r="BG72" i="22"/>
  <c r="BG70" i="22"/>
  <c r="BG67" i="22"/>
  <c r="BG66" i="22"/>
  <c r="BG65" i="22"/>
  <c r="BG64" i="22"/>
  <c r="BG62" i="22"/>
  <c r="BG56" i="22"/>
  <c r="BG55" i="22"/>
  <c r="BG54" i="22"/>
  <c r="BG53" i="22"/>
  <c r="BG52" i="22"/>
  <c r="BG45" i="22"/>
  <c r="BG43" i="22"/>
  <c r="BG41" i="22"/>
  <c r="BG39" i="22"/>
  <c r="BG35" i="22"/>
  <c r="BG33" i="22"/>
  <c r="BG28" i="22"/>
  <c r="BG27" i="22"/>
  <c r="BG24" i="22"/>
  <c r="BG20" i="22"/>
  <c r="BG19" i="22"/>
  <c r="BG18" i="22"/>
  <c r="BG17" i="22"/>
  <c r="BG13" i="22"/>
  <c r="BF221" i="22"/>
  <c r="BF219" i="22"/>
  <c r="BF216" i="22"/>
  <c r="BF214" i="22"/>
  <c r="BF212" i="22"/>
  <c r="BF210" i="22"/>
  <c r="BF207" i="22"/>
  <c r="BF204" i="22"/>
  <c r="BF200" i="22"/>
  <c r="BF199" i="22"/>
  <c r="BF198" i="22"/>
  <c r="BF184" i="22"/>
  <c r="BF182" i="22"/>
  <c r="BF180" i="22"/>
  <c r="BF176" i="22"/>
  <c r="BF171" i="22"/>
  <c r="BF168" i="22"/>
  <c r="BF165" i="22"/>
  <c r="BF159" i="22"/>
  <c r="BF156" i="22"/>
  <c r="BF155" i="22"/>
  <c r="BF152" i="22"/>
  <c r="BF148" i="22"/>
  <c r="BF146" i="22"/>
  <c r="BF144" i="22"/>
  <c r="BF142" i="22"/>
  <c r="BF138" i="22"/>
  <c r="BF137" i="22"/>
  <c r="BF126" i="22"/>
  <c r="BF124" i="22"/>
  <c r="BF121" i="22"/>
  <c r="BF119" i="22"/>
  <c r="BF115" i="22"/>
  <c r="BF114" i="22"/>
  <c r="BF113" i="22"/>
  <c r="BF112" i="22"/>
  <c r="BF111" i="22"/>
  <c r="BF110" i="22"/>
  <c r="BF107" i="22"/>
  <c r="BF104" i="22"/>
  <c r="BF101" i="22"/>
  <c r="BF96" i="22"/>
  <c r="BF94" i="22"/>
  <c r="BF92" i="22"/>
  <c r="BF90" i="22"/>
  <c r="BF88" i="22"/>
  <c r="BF84" i="22"/>
  <c r="BF83" i="22"/>
  <c r="BF82" i="22"/>
  <c r="BF80" i="22"/>
  <c r="BF79" i="22"/>
  <c r="BF72" i="22"/>
  <c r="BF70" i="22"/>
  <c r="BF67" i="22"/>
  <c r="BF66" i="22"/>
  <c r="BF65" i="22"/>
  <c r="BF64" i="22"/>
  <c r="BF62" i="22"/>
  <c r="BF56" i="22"/>
  <c r="BF55" i="22"/>
  <c r="BF54" i="22"/>
  <c r="BF53" i="22"/>
  <c r="BF52" i="22"/>
  <c r="BF45" i="22"/>
  <c r="BF43" i="22"/>
  <c r="BF41" i="22"/>
  <c r="BF39" i="22"/>
  <c r="BF35" i="22"/>
  <c r="BF33" i="22"/>
  <c r="BF28" i="22"/>
  <c r="BF27" i="22"/>
  <c r="BF24" i="22"/>
  <c r="BF20" i="22"/>
  <c r="BF19" i="22"/>
  <c r="BF18" i="22"/>
  <c r="BF17" i="22"/>
  <c r="BF13" i="22"/>
  <c r="BE221" i="22"/>
  <c r="BE219" i="22"/>
  <c r="BE216" i="22"/>
  <c r="BE214" i="22"/>
  <c r="BE212" i="22"/>
  <c r="BE210" i="22"/>
  <c r="BE204" i="22"/>
  <c r="BE200" i="22"/>
  <c r="BE199" i="22"/>
  <c r="BE198" i="22"/>
  <c r="BE184" i="22"/>
  <c r="BE182" i="22"/>
  <c r="BE180" i="22"/>
  <c r="BE176" i="22"/>
  <c r="BE171" i="22"/>
  <c r="BE168" i="22"/>
  <c r="BE165" i="22"/>
  <c r="BE159" i="22"/>
  <c r="BE156" i="22"/>
  <c r="BE155" i="22"/>
  <c r="BE152" i="22"/>
  <c r="BE148" i="22"/>
  <c r="BE146" i="22"/>
  <c r="BE144" i="22"/>
  <c r="BE142" i="22"/>
  <c r="BE138" i="22"/>
  <c r="BE137" i="22"/>
  <c r="BE126" i="22"/>
  <c r="BE124" i="22"/>
  <c r="BE121" i="22"/>
  <c r="BE120" i="22"/>
  <c r="BE119" i="22"/>
  <c r="BE115" i="22"/>
  <c r="BE114" i="22"/>
  <c r="BE113" i="22"/>
  <c r="BE112" i="22"/>
  <c r="BE111" i="22"/>
  <c r="BE110" i="22"/>
  <c r="BE107" i="22"/>
  <c r="BE104" i="22"/>
  <c r="BE101" i="22"/>
  <c r="BE96" i="22"/>
  <c r="BE94" i="22"/>
  <c r="BE92" i="22"/>
  <c r="BE90" i="22"/>
  <c r="BE88" i="22"/>
  <c r="BE84" i="22"/>
  <c r="BE83" i="22"/>
  <c r="BE82" i="22"/>
  <c r="BE80" i="22"/>
  <c r="BE72" i="22"/>
  <c r="BE70" i="22"/>
  <c r="BE67" i="22"/>
  <c r="BE66" i="22"/>
  <c r="BE65" i="22"/>
  <c r="BE64" i="22"/>
  <c r="BE62" i="22"/>
  <c r="BE55" i="22"/>
  <c r="BE54" i="22"/>
  <c r="BE45" i="22"/>
  <c r="BE43" i="22"/>
  <c r="BE41" i="22"/>
  <c r="BE39" i="22"/>
  <c r="BE33" i="22"/>
  <c r="BE28" i="22"/>
  <c r="BE27" i="22"/>
  <c r="BE24" i="22"/>
  <c r="BE20" i="22"/>
  <c r="BE19" i="22"/>
  <c r="BE18" i="22"/>
  <c r="BE17" i="22"/>
  <c r="BE13" i="22"/>
  <c r="BD221" i="22"/>
  <c r="BD219" i="22"/>
  <c r="BD216" i="22"/>
  <c r="BD214" i="22"/>
  <c r="BD212" i="22"/>
  <c r="BD210" i="22"/>
  <c r="BD207" i="22"/>
  <c r="BD204" i="22"/>
  <c r="BD200" i="22"/>
  <c r="BD199" i="22"/>
  <c r="BD198" i="22"/>
  <c r="BD184" i="22"/>
  <c r="BD182" i="22"/>
  <c r="BD180" i="22"/>
  <c r="BD176" i="22"/>
  <c r="BD171" i="22"/>
  <c r="BD168" i="22"/>
  <c r="BD165" i="22"/>
  <c r="BD159" i="22"/>
  <c r="BD156" i="22"/>
  <c r="BD155" i="22"/>
  <c r="BD152" i="22"/>
  <c r="BD146" i="22"/>
  <c r="BD144" i="22"/>
  <c r="BD142" i="22"/>
  <c r="BD138" i="22"/>
  <c r="BD137" i="22"/>
  <c r="BD126" i="22"/>
  <c r="BD124" i="22"/>
  <c r="BD121" i="22"/>
  <c r="BD120" i="22"/>
  <c r="BD119" i="22"/>
  <c r="BD115" i="22"/>
  <c r="BD114" i="22"/>
  <c r="BD113" i="22"/>
  <c r="BD112" i="22"/>
  <c r="BD111" i="22"/>
  <c r="BD110" i="22"/>
  <c r="BD107" i="22"/>
  <c r="BD104" i="22"/>
  <c r="BD101" i="22"/>
  <c r="BD96" i="22"/>
  <c r="BD94" i="22"/>
  <c r="BD92" i="22"/>
  <c r="BD90" i="22"/>
  <c r="BD88" i="22"/>
  <c r="BD84" i="22"/>
  <c r="BD83" i="22"/>
  <c r="BD82" i="22"/>
  <c r="BD80" i="22"/>
  <c r="BD72" i="22"/>
  <c r="BD70" i="22"/>
  <c r="BD67" i="22"/>
  <c r="BD66" i="22"/>
  <c r="BD65" i="22"/>
  <c r="BD64" i="22"/>
  <c r="BD62" i="22"/>
  <c r="BD55" i="22"/>
  <c r="BD54" i="22"/>
  <c r="BD45" i="22"/>
  <c r="BD43" i="22"/>
  <c r="BD41" i="22"/>
  <c r="BD39" i="22"/>
  <c r="BD35" i="22"/>
  <c r="BD33" i="22"/>
  <c r="BD28" i="22"/>
  <c r="BD27" i="22"/>
  <c r="BD24" i="22"/>
  <c r="BD20" i="22"/>
  <c r="BD19" i="22"/>
  <c r="BD18" i="22"/>
  <c r="BD17" i="22"/>
  <c r="BD13" i="22"/>
  <c r="BC221" i="22"/>
  <c r="BC219" i="22"/>
  <c r="BC216" i="22"/>
  <c r="BC214" i="22"/>
  <c r="BC212" i="22"/>
  <c r="BC210" i="22"/>
  <c r="BC207" i="22"/>
  <c r="BC204" i="22"/>
  <c r="BC200" i="22"/>
  <c r="BC199" i="22"/>
  <c r="BC198" i="22"/>
  <c r="BC184" i="22"/>
  <c r="BC182" i="22"/>
  <c r="BC171" i="22"/>
  <c r="BC168" i="22"/>
  <c r="BC165" i="22"/>
  <c r="BC159" i="22"/>
  <c r="BC156" i="22"/>
  <c r="BC155" i="22"/>
  <c r="BC152" i="22"/>
  <c r="BC146" i="22"/>
  <c r="BC144" i="22"/>
  <c r="BC142" i="22"/>
  <c r="BC138" i="22"/>
  <c r="BC137" i="22"/>
  <c r="BC126" i="22"/>
  <c r="BC124" i="22"/>
  <c r="BC121" i="22"/>
  <c r="BC120" i="22"/>
  <c r="BC119" i="22"/>
  <c r="BC115" i="22"/>
  <c r="BC114" i="22"/>
  <c r="BC113" i="22"/>
  <c r="BC112" i="22"/>
  <c r="BC111" i="22"/>
  <c r="BC110" i="22"/>
  <c r="BC107" i="22"/>
  <c r="BC104" i="22"/>
  <c r="BC101" i="22"/>
  <c r="BC96" i="22"/>
  <c r="BC94" i="22"/>
  <c r="BC92" i="22"/>
  <c r="BC90" i="22"/>
  <c r="BC88" i="22"/>
  <c r="BC84" i="22"/>
  <c r="BC83" i="22"/>
  <c r="BC82" i="22"/>
  <c r="BC80" i="22"/>
  <c r="BC79" i="22"/>
  <c r="BC72" i="22"/>
  <c r="BC70" i="22"/>
  <c r="BC67" i="22"/>
  <c r="BC66" i="22"/>
  <c r="BC65" i="22"/>
  <c r="BC64" i="22"/>
  <c r="BC62" i="22"/>
  <c r="BC55" i="22"/>
  <c r="BC54" i="22"/>
  <c r="BC45" i="22"/>
  <c r="BC43" i="22"/>
  <c r="BC41" i="22"/>
  <c r="BC39" i="22"/>
  <c r="BC35" i="22"/>
  <c r="BC33" i="22"/>
  <c r="BC28" i="22"/>
  <c r="BC27" i="22"/>
  <c r="BC20" i="22"/>
  <c r="BC19" i="22"/>
  <c r="BC18" i="22"/>
  <c r="BC17" i="22"/>
  <c r="BC13" i="22"/>
  <c r="U221" i="22"/>
  <c r="U219" i="22"/>
  <c r="U216" i="22"/>
  <c r="U214" i="22"/>
  <c r="U212" i="22"/>
  <c r="U210" i="22"/>
  <c r="U207" i="22"/>
  <c r="U204" i="22"/>
  <c r="U200" i="22"/>
  <c r="U198" i="22"/>
  <c r="U195" i="22"/>
  <c r="U193" i="22"/>
  <c r="U188" i="22"/>
  <c r="U186" i="22"/>
  <c r="U184" i="22"/>
  <c r="U182" i="22"/>
  <c r="U180" i="22"/>
  <c r="U178" i="22"/>
  <c r="U172" i="22"/>
  <c r="U171" i="22"/>
  <c r="U168" i="22"/>
  <c r="U165" i="22"/>
  <c r="U159" i="22"/>
  <c r="U156" i="22"/>
  <c r="U155" i="22"/>
  <c r="U146" i="22"/>
  <c r="U144" i="22"/>
  <c r="U139" i="22"/>
  <c r="U137" i="22"/>
  <c r="U126" i="22"/>
  <c r="U124" i="22"/>
  <c r="U121" i="22"/>
  <c r="U114" i="22"/>
  <c r="U110" i="22"/>
  <c r="U107" i="22"/>
  <c r="U101" i="22"/>
  <c r="U96" i="22"/>
  <c r="U94" i="22"/>
  <c r="U92" i="22"/>
  <c r="U84" i="22"/>
  <c r="U83" i="22"/>
  <c r="U81" i="22"/>
  <c r="U78" i="22"/>
  <c r="U72" i="22"/>
  <c r="U66" i="22"/>
  <c r="U65" i="22"/>
  <c r="U63" i="22"/>
  <c r="U62" i="22"/>
  <c r="U54" i="22"/>
  <c r="U53" i="22"/>
  <c r="U52" i="22"/>
  <c r="T54" i="22"/>
  <c r="T53" i="22"/>
  <c r="T52" i="22"/>
  <c r="U45" i="22"/>
  <c r="U35" i="22"/>
  <c r="U33" i="22"/>
  <c r="U27" i="22"/>
  <c r="U24" i="22"/>
  <c r="U19" i="22"/>
  <c r="U18" i="22"/>
  <c r="U17" i="22"/>
  <c r="U13" i="22"/>
  <c r="BH128" i="7" l="1"/>
  <c r="BH127" i="22" s="1"/>
  <c r="BH222" i="8"/>
  <c r="BH201" i="22"/>
  <c r="BH157" i="22"/>
  <c r="BH160" i="8"/>
  <c r="BH127" i="8"/>
  <c r="BH97" i="8"/>
  <c r="BH45" i="8"/>
  <c r="BH160" i="7"/>
  <c r="BH223" i="7" s="1"/>
  <c r="BH116" i="22"/>
  <c r="BH46" i="7"/>
  <c r="BH98" i="7"/>
  <c r="BH222" i="22"/>
  <c r="BL221" i="8"/>
  <c r="BK221" i="8"/>
  <c r="BJ221" i="8"/>
  <c r="BI221" i="8"/>
  <c r="BL219" i="8"/>
  <c r="BK219" i="8"/>
  <c r="BJ219" i="8"/>
  <c r="BI219" i="8"/>
  <c r="BL216" i="8"/>
  <c r="BK216" i="8"/>
  <c r="BJ216" i="8"/>
  <c r="BI216" i="8"/>
  <c r="BL214" i="8"/>
  <c r="BK214" i="8"/>
  <c r="BJ214" i="8"/>
  <c r="BI214" i="8"/>
  <c r="BL212" i="8"/>
  <c r="BK212" i="8"/>
  <c r="BJ212" i="8"/>
  <c r="BI212" i="8"/>
  <c r="BL210" i="8"/>
  <c r="BK210" i="8"/>
  <c r="BJ210" i="8"/>
  <c r="BI210" i="8"/>
  <c r="BL207" i="8"/>
  <c r="BK207" i="8"/>
  <c r="BJ207" i="8"/>
  <c r="BI207" i="8"/>
  <c r="BL204" i="8"/>
  <c r="BK204" i="8"/>
  <c r="BJ204" i="8"/>
  <c r="BI204" i="8"/>
  <c r="BL200" i="8"/>
  <c r="BK200" i="8"/>
  <c r="BJ200" i="8"/>
  <c r="BI200" i="8"/>
  <c r="BL199" i="8"/>
  <c r="BK199" i="8"/>
  <c r="BJ199" i="8"/>
  <c r="BI199" i="8"/>
  <c r="BL198" i="8"/>
  <c r="BK198" i="8"/>
  <c r="BJ198" i="8"/>
  <c r="BI198" i="8"/>
  <c r="BL184" i="8"/>
  <c r="BK184" i="8"/>
  <c r="BJ184" i="8"/>
  <c r="BI184" i="8"/>
  <c r="BL182" i="8"/>
  <c r="BK182" i="8"/>
  <c r="BJ182" i="8"/>
  <c r="BI182" i="8"/>
  <c r="BL180" i="8"/>
  <c r="BK180" i="8"/>
  <c r="BJ180" i="8"/>
  <c r="BI180" i="8"/>
  <c r="BL176" i="8"/>
  <c r="BK176" i="8"/>
  <c r="BJ176" i="8"/>
  <c r="BI176" i="8"/>
  <c r="BL171" i="8"/>
  <c r="BK171" i="8"/>
  <c r="BJ171" i="8"/>
  <c r="BI171" i="8"/>
  <c r="BL168" i="8"/>
  <c r="BK168" i="8"/>
  <c r="BJ168" i="8"/>
  <c r="BI168" i="8"/>
  <c r="BL165" i="8"/>
  <c r="BK165" i="8"/>
  <c r="BJ165" i="8"/>
  <c r="BI165" i="8"/>
  <c r="BL159" i="8"/>
  <c r="BK159" i="8"/>
  <c r="BJ159" i="8"/>
  <c r="BI159" i="8"/>
  <c r="BL156" i="8"/>
  <c r="BK156" i="8"/>
  <c r="BJ156" i="8"/>
  <c r="BI156" i="8"/>
  <c r="BL155" i="8"/>
  <c r="BK155" i="8"/>
  <c r="BJ155" i="8"/>
  <c r="BI155" i="8"/>
  <c r="BL152" i="8"/>
  <c r="BK152" i="8"/>
  <c r="BJ152" i="8"/>
  <c r="BI152" i="8"/>
  <c r="BL148" i="8"/>
  <c r="BK148" i="8"/>
  <c r="BJ148" i="8"/>
  <c r="BI148" i="8"/>
  <c r="BL146" i="8"/>
  <c r="BK146" i="8"/>
  <c r="BJ146" i="8"/>
  <c r="BI146" i="8"/>
  <c r="BL144" i="8"/>
  <c r="BK144" i="8"/>
  <c r="BJ144" i="8"/>
  <c r="BI144" i="8"/>
  <c r="BL142" i="8"/>
  <c r="BK142" i="8"/>
  <c r="BJ142" i="8"/>
  <c r="BI142" i="8"/>
  <c r="BL138" i="8"/>
  <c r="BK138" i="8"/>
  <c r="BJ138" i="8"/>
  <c r="BI138" i="8"/>
  <c r="BL137" i="8"/>
  <c r="BK137" i="8"/>
  <c r="BJ137" i="8"/>
  <c r="BI137" i="8"/>
  <c r="BL126" i="8"/>
  <c r="BK126" i="8"/>
  <c r="BJ126" i="8"/>
  <c r="BI126" i="8"/>
  <c r="BL124" i="8"/>
  <c r="BK124" i="8"/>
  <c r="BJ124" i="8"/>
  <c r="BI124" i="8"/>
  <c r="BL121" i="8"/>
  <c r="BK121" i="8"/>
  <c r="BJ121" i="8"/>
  <c r="BI121" i="8"/>
  <c r="BL119" i="8"/>
  <c r="BK119" i="8"/>
  <c r="BJ119" i="8"/>
  <c r="BI119" i="8"/>
  <c r="BL115" i="8"/>
  <c r="BK115" i="8"/>
  <c r="BJ115" i="8"/>
  <c r="BI115" i="8"/>
  <c r="BL114" i="8"/>
  <c r="BK114" i="8"/>
  <c r="BJ114" i="8"/>
  <c r="BI114" i="8"/>
  <c r="BL113" i="8"/>
  <c r="BK113" i="8"/>
  <c r="BJ113" i="8"/>
  <c r="BI113" i="8"/>
  <c r="BL112" i="8"/>
  <c r="BK112" i="8"/>
  <c r="BJ112" i="8"/>
  <c r="BI112" i="8"/>
  <c r="BL111" i="8"/>
  <c r="BK111" i="8"/>
  <c r="BJ111" i="8"/>
  <c r="BI111" i="8"/>
  <c r="BL110" i="8"/>
  <c r="BK110" i="8"/>
  <c r="BJ110" i="8"/>
  <c r="BI110" i="8"/>
  <c r="BL107" i="8"/>
  <c r="BK107" i="8"/>
  <c r="BJ107" i="8"/>
  <c r="BI107" i="8"/>
  <c r="BL104" i="8"/>
  <c r="BK104" i="8"/>
  <c r="BJ104" i="8"/>
  <c r="BI104" i="8"/>
  <c r="BL101" i="8"/>
  <c r="BK101" i="8"/>
  <c r="BJ101" i="8"/>
  <c r="BI101" i="8"/>
  <c r="BL95" i="8"/>
  <c r="BK95" i="8"/>
  <c r="BJ95" i="8"/>
  <c r="BI95" i="8"/>
  <c r="BL93" i="8"/>
  <c r="BK93" i="8"/>
  <c r="BJ93" i="8"/>
  <c r="BI93" i="8"/>
  <c r="BL91" i="8"/>
  <c r="BK91" i="8"/>
  <c r="BJ91" i="8"/>
  <c r="BI91" i="8"/>
  <c r="BL89" i="8"/>
  <c r="BK89" i="8"/>
  <c r="BJ89" i="8"/>
  <c r="BI89" i="8"/>
  <c r="BL87" i="8"/>
  <c r="BK87" i="8"/>
  <c r="BJ87" i="8"/>
  <c r="BI87" i="8"/>
  <c r="BL83" i="8"/>
  <c r="BK83" i="8"/>
  <c r="BJ83" i="8"/>
  <c r="BI83" i="8"/>
  <c r="BL82" i="8"/>
  <c r="BK82" i="8"/>
  <c r="BJ82" i="8"/>
  <c r="BI82" i="8"/>
  <c r="BL81" i="8"/>
  <c r="BK81" i="8"/>
  <c r="BJ81" i="8"/>
  <c r="BI81" i="8"/>
  <c r="BL79" i="8"/>
  <c r="BK79" i="8"/>
  <c r="BJ79" i="8"/>
  <c r="BI79" i="8"/>
  <c r="BL78" i="8"/>
  <c r="BK78" i="8"/>
  <c r="BJ78" i="8"/>
  <c r="BI78" i="8"/>
  <c r="BL71" i="8"/>
  <c r="BK71" i="8"/>
  <c r="BJ71" i="8"/>
  <c r="BI71" i="8"/>
  <c r="BL69" i="8"/>
  <c r="BK69" i="8"/>
  <c r="BJ69" i="8"/>
  <c r="BI69" i="8"/>
  <c r="BL66" i="8"/>
  <c r="BK66" i="8"/>
  <c r="BJ66" i="8"/>
  <c r="BI66" i="8"/>
  <c r="BL65" i="8"/>
  <c r="BK65" i="8"/>
  <c r="BJ65" i="8"/>
  <c r="BI65" i="8"/>
  <c r="BL64" i="8"/>
  <c r="BK64" i="8"/>
  <c r="BJ64" i="8"/>
  <c r="BI64" i="8"/>
  <c r="BL63" i="8"/>
  <c r="BK63" i="8"/>
  <c r="BJ63" i="8"/>
  <c r="BI63" i="8"/>
  <c r="BL61" i="8"/>
  <c r="BK61" i="8"/>
  <c r="BJ61" i="8"/>
  <c r="BI61" i="8"/>
  <c r="BL55" i="8"/>
  <c r="BK55" i="8"/>
  <c r="BJ55" i="8"/>
  <c r="BI55" i="8"/>
  <c r="BL54" i="8"/>
  <c r="BK54" i="8"/>
  <c r="BJ54" i="8"/>
  <c r="BI54" i="8"/>
  <c r="BL53" i="8"/>
  <c r="BK53" i="8"/>
  <c r="BJ53" i="8"/>
  <c r="BI53" i="8"/>
  <c r="BL52" i="8"/>
  <c r="BK52" i="8"/>
  <c r="BJ52" i="8"/>
  <c r="BI52" i="8"/>
  <c r="BL51" i="8"/>
  <c r="BK51" i="8"/>
  <c r="BJ51" i="8"/>
  <c r="BI51" i="8"/>
  <c r="BL44" i="8"/>
  <c r="BK44" i="8"/>
  <c r="BJ44" i="8"/>
  <c r="BI44" i="8"/>
  <c r="BL42" i="8"/>
  <c r="BK42" i="8"/>
  <c r="BJ42" i="8"/>
  <c r="BI42" i="8"/>
  <c r="BL40" i="8"/>
  <c r="BK40" i="8"/>
  <c r="BJ40" i="8"/>
  <c r="BI40" i="8"/>
  <c r="BL38" i="8"/>
  <c r="BK38" i="8"/>
  <c r="BJ38" i="8"/>
  <c r="BI38" i="8"/>
  <c r="BL34" i="8"/>
  <c r="BK34" i="8"/>
  <c r="BJ34" i="8"/>
  <c r="BI34" i="8"/>
  <c r="BL33" i="8"/>
  <c r="BK33" i="8"/>
  <c r="BL32" i="8"/>
  <c r="BK32" i="8"/>
  <c r="BJ32" i="8"/>
  <c r="BI32" i="8"/>
  <c r="BL24" i="8"/>
  <c r="BK24" i="8"/>
  <c r="BJ24" i="8"/>
  <c r="BI24" i="8"/>
  <c r="BL20" i="8"/>
  <c r="BK20" i="8"/>
  <c r="BJ20" i="8"/>
  <c r="BI20" i="8"/>
  <c r="BL19" i="8"/>
  <c r="BK19" i="8"/>
  <c r="BJ19" i="8"/>
  <c r="BI19" i="8"/>
  <c r="BL18" i="8"/>
  <c r="BK18" i="8"/>
  <c r="BJ18" i="8"/>
  <c r="BI18" i="8"/>
  <c r="BL17" i="8"/>
  <c r="BK17" i="8"/>
  <c r="BJ17" i="8"/>
  <c r="BI17" i="8"/>
  <c r="BL13" i="8"/>
  <c r="BK13" i="8"/>
  <c r="BJ13" i="8"/>
  <c r="BI13" i="8"/>
  <c r="BL221" i="22"/>
  <c r="BK221" i="22"/>
  <c r="BJ221" i="22"/>
  <c r="BI221" i="22"/>
  <c r="BL219" i="22"/>
  <c r="BK219" i="22"/>
  <c r="BJ219" i="22"/>
  <c r="BI219" i="22"/>
  <c r="BL216" i="22"/>
  <c r="BK216" i="22"/>
  <c r="BJ216" i="22"/>
  <c r="BI216" i="22"/>
  <c r="BL214" i="22"/>
  <c r="BK214" i="22"/>
  <c r="BJ214" i="22"/>
  <c r="BI214" i="22"/>
  <c r="BL212" i="22"/>
  <c r="BK212" i="22"/>
  <c r="BJ212" i="22"/>
  <c r="BI212" i="22"/>
  <c r="BL210" i="22"/>
  <c r="BK210" i="22"/>
  <c r="BJ210" i="22"/>
  <c r="BI210" i="22"/>
  <c r="BL207" i="22"/>
  <c r="BK207" i="22"/>
  <c r="BJ207" i="22"/>
  <c r="BI207" i="22"/>
  <c r="BL204" i="22"/>
  <c r="BK204" i="22"/>
  <c r="BJ204" i="22"/>
  <c r="BI204" i="22"/>
  <c r="BL200" i="22"/>
  <c r="BK200" i="22"/>
  <c r="BJ200" i="22"/>
  <c r="BI200" i="22"/>
  <c r="BL199" i="22"/>
  <c r="BK199" i="22"/>
  <c r="BJ199" i="22"/>
  <c r="BI199" i="22"/>
  <c r="BL198" i="22"/>
  <c r="BK198" i="22"/>
  <c r="BJ198" i="22"/>
  <c r="BI198" i="22"/>
  <c r="BL184" i="22"/>
  <c r="BK184" i="22"/>
  <c r="BJ184" i="22"/>
  <c r="BI184" i="22"/>
  <c r="BL182" i="22"/>
  <c r="BK182" i="22"/>
  <c r="BJ182" i="22"/>
  <c r="BI182" i="22"/>
  <c r="BL180" i="22"/>
  <c r="BK180" i="22"/>
  <c r="BJ180" i="22"/>
  <c r="BI180" i="22"/>
  <c r="BL176" i="22"/>
  <c r="BK176" i="22"/>
  <c r="BJ176" i="22"/>
  <c r="BI176" i="22"/>
  <c r="BL171" i="22"/>
  <c r="BK171" i="22"/>
  <c r="BJ171" i="22"/>
  <c r="BI171" i="22"/>
  <c r="BL168" i="22"/>
  <c r="BK168" i="22"/>
  <c r="BJ168" i="22"/>
  <c r="BI168" i="22"/>
  <c r="BL165" i="22"/>
  <c r="BK165" i="22"/>
  <c r="BJ165" i="22"/>
  <c r="BI165" i="22"/>
  <c r="BL159" i="22"/>
  <c r="BK159" i="22"/>
  <c r="BJ159" i="22"/>
  <c r="BI159" i="22"/>
  <c r="BL156" i="22"/>
  <c r="BK156" i="22"/>
  <c r="BJ156" i="22"/>
  <c r="BI156" i="22"/>
  <c r="BL155" i="22"/>
  <c r="BK155" i="22"/>
  <c r="BJ155" i="22"/>
  <c r="BI155" i="22"/>
  <c r="BL152" i="22"/>
  <c r="BK152" i="22"/>
  <c r="BJ152" i="22"/>
  <c r="BI152" i="22"/>
  <c r="BL148" i="22"/>
  <c r="BK148" i="22"/>
  <c r="BJ148" i="22"/>
  <c r="BI148" i="22"/>
  <c r="BL146" i="22"/>
  <c r="BK146" i="22"/>
  <c r="BJ146" i="22"/>
  <c r="BI146" i="22"/>
  <c r="BL144" i="22"/>
  <c r="BK144" i="22"/>
  <c r="BJ144" i="22"/>
  <c r="BI144" i="22"/>
  <c r="BL142" i="22"/>
  <c r="BK142" i="22"/>
  <c r="BJ142" i="22"/>
  <c r="BI142" i="22"/>
  <c r="BL138" i="22"/>
  <c r="BK138" i="22"/>
  <c r="BJ138" i="22"/>
  <c r="BI138" i="22"/>
  <c r="BL137" i="22"/>
  <c r="BK137" i="22"/>
  <c r="BJ137" i="22"/>
  <c r="BI137" i="22"/>
  <c r="BL126" i="22"/>
  <c r="BK126" i="22"/>
  <c r="BJ126" i="22"/>
  <c r="BI126" i="22"/>
  <c r="BL124" i="22"/>
  <c r="BK124" i="22"/>
  <c r="BJ124" i="22"/>
  <c r="BI124" i="22"/>
  <c r="BL121" i="22"/>
  <c r="BK121" i="22"/>
  <c r="BJ121" i="22"/>
  <c r="BI121" i="22"/>
  <c r="BL119" i="22"/>
  <c r="BK119" i="22"/>
  <c r="BJ119" i="22"/>
  <c r="BI119" i="22"/>
  <c r="BL115" i="22"/>
  <c r="BK115" i="22"/>
  <c r="BJ115" i="22"/>
  <c r="BI115" i="22"/>
  <c r="BL114" i="22"/>
  <c r="BK114" i="22"/>
  <c r="BJ114" i="22"/>
  <c r="BI114" i="22"/>
  <c r="BL113" i="22"/>
  <c r="BK113" i="22"/>
  <c r="BJ113" i="22"/>
  <c r="BI113" i="22"/>
  <c r="BL112" i="22"/>
  <c r="BK112" i="22"/>
  <c r="BJ112" i="22"/>
  <c r="BI112" i="22"/>
  <c r="BL111" i="22"/>
  <c r="BK111" i="22"/>
  <c r="BJ111" i="22"/>
  <c r="BI111" i="22"/>
  <c r="BL110" i="22"/>
  <c r="BK110" i="22"/>
  <c r="BJ110" i="22"/>
  <c r="BI110" i="22"/>
  <c r="BL107" i="22"/>
  <c r="BK107" i="22"/>
  <c r="BJ107" i="22"/>
  <c r="BI107" i="22"/>
  <c r="BL104" i="22"/>
  <c r="BK104" i="22"/>
  <c r="BJ104" i="22"/>
  <c r="BI104" i="22"/>
  <c r="BL101" i="22"/>
  <c r="BK101" i="22"/>
  <c r="BJ101" i="22"/>
  <c r="BI101" i="22"/>
  <c r="BL34" i="22"/>
  <c r="BK34" i="22"/>
  <c r="BL221" i="7"/>
  <c r="BL219" i="7"/>
  <c r="BL216" i="7"/>
  <c r="BL214" i="7"/>
  <c r="BL212" i="7"/>
  <c r="BL210" i="7"/>
  <c r="BL207" i="7"/>
  <c r="BL204" i="7"/>
  <c r="BL200" i="7"/>
  <c r="BL199" i="7"/>
  <c r="BL198" i="7"/>
  <c r="BL184" i="7"/>
  <c r="BL182" i="7"/>
  <c r="BL180" i="7"/>
  <c r="BL176" i="7"/>
  <c r="BL171" i="7"/>
  <c r="BL168" i="7"/>
  <c r="BL165" i="7"/>
  <c r="BL159" i="7"/>
  <c r="BL156" i="7"/>
  <c r="BL155" i="7"/>
  <c r="BL152" i="7"/>
  <c r="BL148" i="7"/>
  <c r="BL146" i="7"/>
  <c r="BL144" i="7"/>
  <c r="BL142" i="7"/>
  <c r="BL138" i="7"/>
  <c r="BL137" i="7"/>
  <c r="BL127" i="7"/>
  <c r="BL125" i="7"/>
  <c r="BL122" i="7"/>
  <c r="BL120" i="7"/>
  <c r="BL116" i="7"/>
  <c r="BL115" i="7"/>
  <c r="BL114" i="7"/>
  <c r="BL113" i="7"/>
  <c r="BL112" i="7"/>
  <c r="BL111" i="7"/>
  <c r="BL108" i="7"/>
  <c r="BL105" i="7"/>
  <c r="BL102" i="7"/>
  <c r="BL96" i="7"/>
  <c r="BL94" i="7"/>
  <c r="BL92" i="7"/>
  <c r="BL90" i="7"/>
  <c r="BL88" i="7"/>
  <c r="BL84" i="7"/>
  <c r="BL83" i="7"/>
  <c r="BL82" i="7"/>
  <c r="BL80" i="7"/>
  <c r="BL79" i="7"/>
  <c r="BL72" i="7"/>
  <c r="BL70" i="7"/>
  <c r="BL67" i="7"/>
  <c r="BL66" i="7"/>
  <c r="BL65" i="7"/>
  <c r="BL64" i="7"/>
  <c r="BL62" i="7"/>
  <c r="BL56" i="7"/>
  <c r="BL55" i="7"/>
  <c r="BL54" i="7"/>
  <c r="BL53" i="7"/>
  <c r="BL52" i="7"/>
  <c r="BL45" i="7"/>
  <c r="BL43" i="7"/>
  <c r="BL41" i="7"/>
  <c r="BL39" i="7"/>
  <c r="BL35" i="7"/>
  <c r="BL34" i="7"/>
  <c r="BL33" i="7"/>
  <c r="BL28" i="7"/>
  <c r="BL27" i="7"/>
  <c r="BL24" i="7"/>
  <c r="BL20" i="7"/>
  <c r="BL19" i="7"/>
  <c r="BL18" i="7"/>
  <c r="BL17" i="7"/>
  <c r="BL13" i="7"/>
  <c r="BK221" i="7"/>
  <c r="BK219" i="7"/>
  <c r="BK216" i="7"/>
  <c r="BK214" i="7"/>
  <c r="BK212" i="7"/>
  <c r="BK210" i="7"/>
  <c r="BK207" i="7"/>
  <c r="BK204" i="7"/>
  <c r="BK200" i="7"/>
  <c r="BK199" i="7"/>
  <c r="BK198" i="7"/>
  <c r="BK184" i="7"/>
  <c r="BK182" i="7"/>
  <c r="BK180" i="7"/>
  <c r="BK176" i="7"/>
  <c r="BK171" i="7"/>
  <c r="BK168" i="7"/>
  <c r="BK165" i="7"/>
  <c r="BK159" i="7"/>
  <c r="BK156" i="7"/>
  <c r="BK155" i="7"/>
  <c r="BK152" i="7"/>
  <c r="BK148" i="7"/>
  <c r="BK146" i="7"/>
  <c r="BK144" i="7"/>
  <c r="BK142" i="7"/>
  <c r="BK138" i="7"/>
  <c r="BK137" i="7"/>
  <c r="BK127" i="7"/>
  <c r="BK125" i="7"/>
  <c r="BK122" i="7"/>
  <c r="BK120" i="7"/>
  <c r="BK116" i="7"/>
  <c r="BK115" i="7"/>
  <c r="BK114" i="7"/>
  <c r="BK113" i="7"/>
  <c r="BK112" i="7"/>
  <c r="BK111" i="7"/>
  <c r="BK108" i="7"/>
  <c r="BK105" i="7"/>
  <c r="BK102" i="7"/>
  <c r="BK96" i="7"/>
  <c r="BK94" i="7"/>
  <c r="BK92" i="7"/>
  <c r="BK90" i="7"/>
  <c r="BK88" i="7"/>
  <c r="BK84" i="7"/>
  <c r="BK83" i="7"/>
  <c r="BK82" i="7"/>
  <c r="BK80" i="7"/>
  <c r="BK79" i="7"/>
  <c r="BK72" i="7"/>
  <c r="BK70" i="7"/>
  <c r="BK67" i="7"/>
  <c r="BK66" i="7"/>
  <c r="BK65" i="7"/>
  <c r="BK64" i="7"/>
  <c r="BK62" i="7"/>
  <c r="BK56" i="7"/>
  <c r="BK55" i="7"/>
  <c r="BK54" i="7"/>
  <c r="BK53" i="7"/>
  <c r="BK52" i="7"/>
  <c r="BK45" i="7"/>
  <c r="BK43" i="7"/>
  <c r="BK41" i="7"/>
  <c r="BK39" i="7"/>
  <c r="BK35" i="7"/>
  <c r="BK34" i="7"/>
  <c r="BK33" i="7"/>
  <c r="BK28" i="7"/>
  <c r="BK27" i="7"/>
  <c r="BK24" i="7"/>
  <c r="BK20" i="7"/>
  <c r="BK19" i="7"/>
  <c r="BK18" i="7"/>
  <c r="BK17" i="7"/>
  <c r="BK13" i="7"/>
  <c r="BI221" i="7"/>
  <c r="BI219" i="7"/>
  <c r="BI216" i="7"/>
  <c r="BI214" i="7"/>
  <c r="BI212" i="7"/>
  <c r="BI210" i="7"/>
  <c r="BI207" i="7"/>
  <c r="BI204" i="7"/>
  <c r="BI200" i="7"/>
  <c r="BI199" i="7"/>
  <c r="BI198" i="7"/>
  <c r="BI184" i="7"/>
  <c r="BI182" i="7"/>
  <c r="BI180" i="7"/>
  <c r="BI171" i="7"/>
  <c r="BI168" i="7"/>
  <c r="BI165" i="7"/>
  <c r="BI159" i="7"/>
  <c r="BI156" i="7"/>
  <c r="BI155" i="7"/>
  <c r="BI152" i="7"/>
  <c r="BI148" i="7"/>
  <c r="BI146" i="7"/>
  <c r="BI144" i="7"/>
  <c r="BI142" i="7"/>
  <c r="BI138" i="7"/>
  <c r="BI137" i="7"/>
  <c r="BI127" i="7"/>
  <c r="BI125" i="7"/>
  <c r="BI122" i="7"/>
  <c r="BI120" i="7"/>
  <c r="BI116" i="7"/>
  <c r="BI115" i="7"/>
  <c r="BI114" i="7"/>
  <c r="BI113" i="7"/>
  <c r="BI112" i="7"/>
  <c r="BI111" i="7"/>
  <c r="BI108" i="7"/>
  <c r="BI105" i="7"/>
  <c r="BI102" i="7"/>
  <c r="BI96" i="7"/>
  <c r="BI94" i="7"/>
  <c r="BI92" i="7"/>
  <c r="BI90" i="7"/>
  <c r="BI88" i="7"/>
  <c r="BI84" i="7"/>
  <c r="BI83" i="7"/>
  <c r="BI82" i="7"/>
  <c r="BI80" i="7"/>
  <c r="BI79" i="7"/>
  <c r="BI72" i="7"/>
  <c r="BI70" i="7"/>
  <c r="BI67" i="7"/>
  <c r="BI66" i="7"/>
  <c r="BI65" i="7"/>
  <c r="BI64" i="7"/>
  <c r="BI62" i="7"/>
  <c r="BI56" i="7"/>
  <c r="BI55" i="7"/>
  <c r="BI53" i="7"/>
  <c r="BI52" i="7"/>
  <c r="BI45" i="7"/>
  <c r="BI43" i="7"/>
  <c r="BI41" i="7"/>
  <c r="BI39" i="7"/>
  <c r="BI35" i="7"/>
  <c r="BI33" i="7"/>
  <c r="BI28" i="7"/>
  <c r="BI27" i="7"/>
  <c r="BI24" i="7"/>
  <c r="BI20" i="7"/>
  <c r="BI19" i="7"/>
  <c r="BI18" i="7"/>
  <c r="BI17" i="7"/>
  <c r="BI13" i="7"/>
  <c r="BE201" i="7"/>
  <c r="BE173" i="7"/>
  <c r="BE157" i="7"/>
  <c r="BE157" i="22" s="1"/>
  <c r="BE140" i="7"/>
  <c r="BE140" i="22" s="1"/>
  <c r="BE123" i="7"/>
  <c r="BE117" i="7"/>
  <c r="BE116" i="22" s="1"/>
  <c r="BE68" i="7"/>
  <c r="BE30" i="7"/>
  <c r="BE30" i="22" s="1"/>
  <c r="BE21" i="7"/>
  <c r="BE21" i="22" s="1"/>
  <c r="BJ221" i="7"/>
  <c r="BJ219" i="7"/>
  <c r="BJ216" i="7"/>
  <c r="BJ214" i="7"/>
  <c r="BJ212" i="7"/>
  <c r="BJ210" i="7"/>
  <c r="BJ207" i="7"/>
  <c r="BJ204" i="7"/>
  <c r="BJ200" i="7"/>
  <c r="BJ199" i="7"/>
  <c r="BJ198" i="7"/>
  <c r="BJ184" i="7"/>
  <c r="BJ182" i="7"/>
  <c r="BJ180" i="7"/>
  <c r="BJ176" i="7"/>
  <c r="BJ171" i="7"/>
  <c r="BJ168" i="7"/>
  <c r="BJ165" i="7"/>
  <c r="BJ159" i="7"/>
  <c r="BJ156" i="7"/>
  <c r="BJ155" i="7"/>
  <c r="BJ152" i="7"/>
  <c r="BJ148" i="7"/>
  <c r="BJ146" i="7"/>
  <c r="BJ144" i="7"/>
  <c r="BJ142" i="7"/>
  <c r="BJ138" i="7"/>
  <c r="BJ137" i="7"/>
  <c r="BJ127" i="7"/>
  <c r="BJ125" i="7"/>
  <c r="BJ122" i="7"/>
  <c r="BJ120" i="7"/>
  <c r="BJ116" i="7"/>
  <c r="BJ115" i="7"/>
  <c r="BJ114" i="7"/>
  <c r="BJ113" i="7"/>
  <c r="BJ112" i="7"/>
  <c r="BJ111" i="7"/>
  <c r="BJ108" i="7"/>
  <c r="BJ105" i="7"/>
  <c r="BJ102" i="7"/>
  <c r="BJ96" i="7"/>
  <c r="BJ94" i="7"/>
  <c r="BJ92" i="7"/>
  <c r="BJ90" i="7"/>
  <c r="BJ88" i="7"/>
  <c r="BJ84" i="7"/>
  <c r="BJ83" i="7"/>
  <c r="BJ82" i="7"/>
  <c r="BJ80" i="7"/>
  <c r="BJ79" i="7"/>
  <c r="BJ72" i="7"/>
  <c r="BJ70" i="7"/>
  <c r="BJ67" i="7"/>
  <c r="BJ66" i="7"/>
  <c r="BJ65" i="7"/>
  <c r="BJ64" i="7"/>
  <c r="BJ62" i="7"/>
  <c r="BJ56" i="7"/>
  <c r="BJ55" i="7"/>
  <c r="BJ53" i="7"/>
  <c r="BJ52" i="7"/>
  <c r="BJ45" i="7"/>
  <c r="BJ43" i="7"/>
  <c r="BJ41" i="7"/>
  <c r="BJ39" i="7"/>
  <c r="BJ35" i="7"/>
  <c r="BJ33" i="7"/>
  <c r="BJ28" i="7"/>
  <c r="BJ27" i="7"/>
  <c r="BJ24" i="7"/>
  <c r="BJ20" i="7"/>
  <c r="BJ19" i="7"/>
  <c r="BJ18" i="7"/>
  <c r="BJ17" i="7"/>
  <c r="BJ13" i="7"/>
  <c r="BE73" i="7" l="1"/>
  <c r="BE73" i="22" s="1"/>
  <c r="BE68" i="22"/>
  <c r="BE128" i="7"/>
  <c r="BE127" i="22" s="1"/>
  <c r="BE122" i="22"/>
  <c r="BE201" i="22"/>
  <c r="BE189" i="7"/>
  <c r="BE189" i="22" s="1"/>
  <c r="BE173" i="22"/>
  <c r="BE160" i="7"/>
  <c r="BE160" i="22" s="1"/>
  <c r="BH223" i="8"/>
  <c r="BH160" i="22"/>
  <c r="BH97" i="22"/>
  <c r="BH129" i="8"/>
  <c r="BH130" i="7"/>
  <c r="BH46" i="22"/>
  <c r="BH223" i="22"/>
  <c r="BH224" i="8" l="1"/>
  <c r="BH129" i="22"/>
  <c r="BH224" i="7"/>
  <c r="BH224" i="22" l="1"/>
  <c r="B17" i="22" l="1"/>
  <c r="AZ140" i="7"/>
  <c r="U30" i="7"/>
  <c r="U30" i="22" s="1"/>
  <c r="BE207" i="7" l="1"/>
  <c r="BE219" i="8"/>
  <c r="BE168" i="8"/>
  <c r="BE207" i="22" l="1"/>
  <c r="BE222" i="7"/>
  <c r="BE124" i="8"/>
  <c r="BE112" i="8"/>
  <c r="BE107" i="8"/>
  <c r="BE104" i="8"/>
  <c r="BE222" i="22" l="1"/>
  <c r="BE223" i="7"/>
  <c r="BE78" i="8"/>
  <c r="BE79" i="7"/>
  <c r="BD67" i="8"/>
  <c r="BC67" i="8"/>
  <c r="BB67" i="8"/>
  <c r="BA67" i="8"/>
  <c r="AZ67" i="8"/>
  <c r="AY67" i="8"/>
  <c r="AX67" i="8"/>
  <c r="AW67" i="8"/>
  <c r="AV67" i="8"/>
  <c r="AU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BG67" i="8"/>
  <c r="BF67" i="8"/>
  <c r="BE67" i="8"/>
  <c r="BD68" i="7"/>
  <c r="BD68" i="22" s="1"/>
  <c r="BC68" i="7"/>
  <c r="BC68" i="22" s="1"/>
  <c r="BB68" i="7"/>
  <c r="BA68" i="7"/>
  <c r="AZ68" i="7"/>
  <c r="AZ73" i="7" s="1"/>
  <c r="AY68" i="7"/>
  <c r="AX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U68" i="22" s="1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BG68" i="7"/>
  <c r="BF68" i="7"/>
  <c r="BE79" i="22" l="1"/>
  <c r="BE85" i="7"/>
  <c r="BE223" i="22"/>
  <c r="BL67" i="8"/>
  <c r="BJ67" i="8"/>
  <c r="BK67" i="8"/>
  <c r="BI67" i="8"/>
  <c r="BG68" i="22"/>
  <c r="BL68" i="7"/>
  <c r="BJ68" i="7"/>
  <c r="BF68" i="22"/>
  <c r="BI68" i="7"/>
  <c r="BK68" i="7"/>
  <c r="BE56" i="7"/>
  <c r="BE56" i="22" s="1"/>
  <c r="BE51" i="8"/>
  <c r="BE52" i="8"/>
  <c r="BE53" i="7"/>
  <c r="BE53" i="22" s="1"/>
  <c r="BE85" i="22" l="1"/>
  <c r="BE98" i="7"/>
  <c r="BE97" i="22" s="1"/>
  <c r="BE52" i="7"/>
  <c r="BE38" i="8"/>
  <c r="BE34" i="8"/>
  <c r="BE35" i="7"/>
  <c r="BE35" i="22" l="1"/>
  <c r="BE36" i="7"/>
  <c r="BE52" i="22"/>
  <c r="BE57" i="7"/>
  <c r="BE57" i="22" s="1"/>
  <c r="BE36" i="22" l="1"/>
  <c r="BE46" i="7"/>
  <c r="BB221" i="22"/>
  <c r="BB219" i="22"/>
  <c r="BB216" i="22"/>
  <c r="BB214" i="22"/>
  <c r="BB212" i="22"/>
  <c r="BB210" i="22"/>
  <c r="BB207" i="22"/>
  <c r="BB204" i="22"/>
  <c r="BB200" i="22"/>
  <c r="BB199" i="22"/>
  <c r="BB198" i="22"/>
  <c r="BB184" i="22"/>
  <c r="BB182" i="22"/>
  <c r="BB180" i="22"/>
  <c r="BB176" i="22"/>
  <c r="BB171" i="22"/>
  <c r="BB168" i="22"/>
  <c r="BB165" i="22"/>
  <c r="BB159" i="22"/>
  <c r="BB156" i="22"/>
  <c r="BB155" i="22"/>
  <c r="BB152" i="22"/>
  <c r="BB148" i="22"/>
  <c r="BB146" i="22"/>
  <c r="BB144" i="22"/>
  <c r="BB142" i="22"/>
  <c r="BB138" i="22"/>
  <c r="BB137" i="22"/>
  <c r="BB126" i="22"/>
  <c r="BB124" i="22"/>
  <c r="BB121" i="22"/>
  <c r="BB120" i="22"/>
  <c r="BB119" i="22"/>
  <c r="BB115" i="22"/>
  <c r="BB114" i="22"/>
  <c r="BB113" i="22"/>
  <c r="BB112" i="22"/>
  <c r="BB111" i="22"/>
  <c r="BB110" i="22"/>
  <c r="BB107" i="22"/>
  <c r="BB104" i="22"/>
  <c r="BB101" i="22"/>
  <c r="BB96" i="22"/>
  <c r="BB94" i="22"/>
  <c r="BB92" i="22"/>
  <c r="BB90" i="22"/>
  <c r="BB88" i="22"/>
  <c r="BB84" i="22"/>
  <c r="BB83" i="22"/>
  <c r="BB82" i="22"/>
  <c r="BB80" i="22"/>
  <c r="BB79" i="22"/>
  <c r="BB72" i="22"/>
  <c r="BB70" i="22"/>
  <c r="BB67" i="22"/>
  <c r="BB66" i="22"/>
  <c r="BB65" i="22"/>
  <c r="BB64" i="22"/>
  <c r="BB62" i="22"/>
  <c r="BB55" i="22"/>
  <c r="BB54" i="22"/>
  <c r="BB45" i="22"/>
  <c r="BB43" i="22"/>
  <c r="BB41" i="22"/>
  <c r="BB39" i="22"/>
  <c r="BB35" i="22"/>
  <c r="BB33" i="22"/>
  <c r="BB28" i="22"/>
  <c r="BB27" i="22"/>
  <c r="BB20" i="22"/>
  <c r="BB19" i="22"/>
  <c r="BB18" i="22"/>
  <c r="BB17" i="22"/>
  <c r="BB13" i="22"/>
  <c r="BA221" i="22"/>
  <c r="BA219" i="22"/>
  <c r="BA216" i="22"/>
  <c r="BA214" i="22"/>
  <c r="BA212" i="22"/>
  <c r="BA210" i="22"/>
  <c r="BA207" i="22"/>
  <c r="BA204" i="22"/>
  <c r="BA200" i="22"/>
  <c r="BA199" i="22"/>
  <c r="BA198" i="22"/>
  <c r="BA184" i="22"/>
  <c r="BA182" i="22"/>
  <c r="BA180" i="22"/>
  <c r="BA176" i="22"/>
  <c r="BA171" i="22"/>
  <c r="BA168" i="22"/>
  <c r="BA165" i="22"/>
  <c r="BA159" i="22"/>
  <c r="BA156" i="22"/>
  <c r="BA155" i="22"/>
  <c r="BA152" i="22"/>
  <c r="BA146" i="22"/>
  <c r="BA144" i="22"/>
  <c r="BA142" i="22"/>
  <c r="BA139" i="22"/>
  <c r="BA138" i="22"/>
  <c r="BA137" i="22"/>
  <c r="BA126" i="22"/>
  <c r="BA124" i="22"/>
  <c r="BA121" i="22"/>
  <c r="BA120" i="22"/>
  <c r="BA119" i="22"/>
  <c r="BA115" i="22"/>
  <c r="BA114" i="22"/>
  <c r="BA113" i="22"/>
  <c r="BA111" i="22"/>
  <c r="BA110" i="22"/>
  <c r="BA107" i="22"/>
  <c r="BA104" i="22"/>
  <c r="BA101" i="22"/>
  <c r="BA96" i="22"/>
  <c r="BA94" i="22"/>
  <c r="BA92" i="22"/>
  <c r="BA90" i="22"/>
  <c r="BA88" i="22"/>
  <c r="BA84" i="22"/>
  <c r="BA83" i="22"/>
  <c r="BA82" i="22"/>
  <c r="BA78" i="22"/>
  <c r="BA72" i="22"/>
  <c r="BA70" i="22"/>
  <c r="BA67" i="22"/>
  <c r="BA66" i="22"/>
  <c r="BA65" i="22"/>
  <c r="BA64" i="22"/>
  <c r="BA62" i="22"/>
  <c r="BA55" i="22"/>
  <c r="BA54" i="22"/>
  <c r="BA45" i="22"/>
  <c r="BA43" i="22"/>
  <c r="BA41" i="22"/>
  <c r="BA39" i="22"/>
  <c r="BA35" i="22"/>
  <c r="BA33" i="22"/>
  <c r="BA28" i="22"/>
  <c r="BA27" i="22"/>
  <c r="BA20" i="22"/>
  <c r="BA19" i="22"/>
  <c r="BA18" i="22"/>
  <c r="BA17" i="22"/>
  <c r="BA13" i="22"/>
  <c r="AZ221" i="22"/>
  <c r="AZ219" i="22"/>
  <c r="AZ216" i="22"/>
  <c r="AZ214" i="22"/>
  <c r="AZ212" i="22"/>
  <c r="AZ210" i="22"/>
  <c r="AZ207" i="22"/>
  <c r="AZ204" i="22"/>
  <c r="AZ200" i="22"/>
  <c r="AZ199" i="22"/>
  <c r="AZ198" i="22"/>
  <c r="AZ184" i="22"/>
  <c r="AZ182" i="22"/>
  <c r="AZ180" i="22"/>
  <c r="AZ176" i="22"/>
  <c r="AZ171" i="22"/>
  <c r="AZ168" i="22"/>
  <c r="AZ165" i="22"/>
  <c r="AZ159" i="22"/>
  <c r="AZ156" i="22"/>
  <c r="AZ155" i="22"/>
  <c r="AZ152" i="22"/>
  <c r="AZ146" i="22"/>
  <c r="AZ144" i="22"/>
  <c r="AZ139" i="22"/>
  <c r="AZ138" i="22"/>
  <c r="AZ137" i="22"/>
  <c r="AZ126" i="22"/>
  <c r="AZ124" i="22"/>
  <c r="AZ121" i="22"/>
  <c r="AZ120" i="22"/>
  <c r="AZ119" i="22"/>
  <c r="AZ115" i="22"/>
  <c r="AZ114" i="22"/>
  <c r="AZ113" i="22"/>
  <c r="AZ111" i="22"/>
  <c r="AZ110" i="22"/>
  <c r="AZ107" i="22"/>
  <c r="AZ104" i="22"/>
  <c r="AZ101" i="22"/>
  <c r="AZ96" i="22"/>
  <c r="AZ94" i="22"/>
  <c r="AZ92" i="22"/>
  <c r="AZ90" i="22"/>
  <c r="AZ88" i="22"/>
  <c r="AZ84" i="22"/>
  <c r="AZ83" i="22"/>
  <c r="AZ82" i="22"/>
  <c r="AZ78" i="22"/>
  <c r="AZ72" i="22"/>
  <c r="AZ70" i="22"/>
  <c r="AZ67" i="22"/>
  <c r="AZ66" i="22"/>
  <c r="AZ65" i="22"/>
  <c r="AZ64" i="22"/>
  <c r="AZ62" i="22"/>
  <c r="AZ55" i="22"/>
  <c r="AZ54" i="22"/>
  <c r="AZ45" i="22"/>
  <c r="AZ43" i="22"/>
  <c r="AZ41" i="22"/>
  <c r="AZ39" i="22"/>
  <c r="AZ35" i="22"/>
  <c r="AZ33" i="22"/>
  <c r="AZ28" i="22"/>
  <c r="AZ27" i="22"/>
  <c r="AZ20" i="22"/>
  <c r="AZ19" i="22"/>
  <c r="AZ18" i="22"/>
  <c r="AZ17" i="22"/>
  <c r="AZ13" i="22"/>
  <c r="AX221" i="22"/>
  <c r="AX219" i="22"/>
  <c r="AX216" i="22"/>
  <c r="AX214" i="22"/>
  <c r="AX212" i="22"/>
  <c r="AX210" i="22"/>
  <c r="AX207" i="22"/>
  <c r="AX204" i="22"/>
  <c r="AX200" i="22"/>
  <c r="AX199" i="22"/>
  <c r="AX198" i="22"/>
  <c r="AX184" i="22"/>
  <c r="AX182" i="22"/>
  <c r="AX180" i="22"/>
  <c r="AX176" i="22"/>
  <c r="AX171" i="22"/>
  <c r="AX168" i="22"/>
  <c r="AX165" i="22"/>
  <c r="AX159" i="22"/>
  <c r="AX156" i="22"/>
  <c r="AX155" i="22"/>
  <c r="AX150" i="22"/>
  <c r="AX146" i="22"/>
  <c r="AX144" i="22"/>
  <c r="AX139" i="22"/>
  <c r="AX138" i="22"/>
  <c r="AX137" i="22"/>
  <c r="AX126" i="22"/>
  <c r="AX124" i="22"/>
  <c r="AX121" i="22"/>
  <c r="AX120" i="22"/>
  <c r="AX119" i="22"/>
  <c r="AX115" i="22"/>
  <c r="AX114" i="22"/>
  <c r="AX113" i="22"/>
  <c r="AX111" i="22"/>
  <c r="AX110" i="22"/>
  <c r="AX107" i="22"/>
  <c r="AX104" i="22"/>
  <c r="AX101" i="22"/>
  <c r="AX96" i="22"/>
  <c r="AX94" i="22"/>
  <c r="AX92" i="22"/>
  <c r="AX90" i="22"/>
  <c r="AX88" i="22"/>
  <c r="AX84" i="22"/>
  <c r="AX83" i="22"/>
  <c r="AX82" i="22"/>
  <c r="AX78" i="22"/>
  <c r="AX72" i="22"/>
  <c r="AX70" i="22"/>
  <c r="AX67" i="22"/>
  <c r="AX66" i="22"/>
  <c r="AX65" i="22"/>
  <c r="AX64" i="22"/>
  <c r="AX62" i="22"/>
  <c r="AX56" i="22"/>
  <c r="AX55" i="22"/>
  <c r="AX54" i="22"/>
  <c r="AX53" i="22"/>
  <c r="AX52" i="22"/>
  <c r="AX45" i="22"/>
  <c r="AX43" i="22"/>
  <c r="AX41" i="22"/>
  <c r="AX39" i="22"/>
  <c r="AX35" i="22"/>
  <c r="AX33" i="22"/>
  <c r="AX29" i="22"/>
  <c r="AX28" i="22"/>
  <c r="AX27" i="22"/>
  <c r="AX24" i="22"/>
  <c r="AX20" i="22"/>
  <c r="AX19" i="22"/>
  <c r="AX18" i="22"/>
  <c r="AX17" i="22"/>
  <c r="AX13" i="22"/>
  <c r="AW221" i="22"/>
  <c r="AW219" i="22"/>
  <c r="AW216" i="22"/>
  <c r="AW214" i="22"/>
  <c r="AW212" i="22"/>
  <c r="AW210" i="22"/>
  <c r="AW207" i="22"/>
  <c r="AW204" i="22"/>
  <c r="AW200" i="22"/>
  <c r="AW199" i="22"/>
  <c r="AW198" i="22"/>
  <c r="AW184" i="22"/>
  <c r="AW182" i="22"/>
  <c r="AW180" i="22"/>
  <c r="AW176" i="22"/>
  <c r="AW171" i="22"/>
  <c r="AW168" i="22"/>
  <c r="AW165" i="22"/>
  <c r="AW159" i="22"/>
  <c r="AW156" i="22"/>
  <c r="AW155" i="22"/>
  <c r="AW150" i="22"/>
  <c r="AW148" i="22"/>
  <c r="AW146" i="22"/>
  <c r="AW144" i="22"/>
  <c r="AW139" i="22"/>
  <c r="AW138" i="22"/>
  <c r="AW137" i="22"/>
  <c r="AW126" i="22"/>
  <c r="AW124" i="22"/>
  <c r="AW121" i="22"/>
  <c r="AW120" i="22"/>
  <c r="AW119" i="22"/>
  <c r="AW115" i="22"/>
  <c r="AW113" i="22"/>
  <c r="AW111" i="22"/>
  <c r="AW110" i="22"/>
  <c r="AW107" i="22"/>
  <c r="AW104" i="22"/>
  <c r="AW101" i="22"/>
  <c r="AW96" i="22"/>
  <c r="AW94" i="22"/>
  <c r="AW92" i="22"/>
  <c r="AW90" i="22"/>
  <c r="AW88" i="22"/>
  <c r="AW84" i="22"/>
  <c r="AW83" i="22"/>
  <c r="AW82" i="22"/>
  <c r="AW78" i="22"/>
  <c r="AW72" i="22"/>
  <c r="AW70" i="22"/>
  <c r="AW67" i="22"/>
  <c r="AW66" i="22"/>
  <c r="AW62" i="22"/>
  <c r="AW56" i="22"/>
  <c r="AW55" i="22"/>
  <c r="AW54" i="22"/>
  <c r="AW53" i="22"/>
  <c r="AW52" i="22"/>
  <c r="AW45" i="22"/>
  <c r="AW43" i="22"/>
  <c r="AW41" i="22"/>
  <c r="AW39" i="22"/>
  <c r="AW35" i="22"/>
  <c r="AW33" i="22"/>
  <c r="AW29" i="22"/>
  <c r="AW28" i="22"/>
  <c r="AW27" i="22"/>
  <c r="AW20" i="22"/>
  <c r="AW17" i="22"/>
  <c r="AW13" i="22"/>
  <c r="AV221" i="22"/>
  <c r="AV219" i="22"/>
  <c r="AV216" i="22"/>
  <c r="AV214" i="22"/>
  <c r="AV212" i="22"/>
  <c r="AV210" i="22"/>
  <c r="AV207" i="22"/>
  <c r="AV204" i="22"/>
  <c r="AV200" i="22"/>
  <c r="AV199" i="22"/>
  <c r="AV198" i="22"/>
  <c r="AV184" i="22"/>
  <c r="AV182" i="22"/>
  <c r="AV180" i="22"/>
  <c r="AV176" i="22"/>
  <c r="AV171" i="22"/>
  <c r="AV168" i="22"/>
  <c r="AV165" i="22"/>
  <c r="AV159" i="22"/>
  <c r="AV156" i="22"/>
  <c r="AV155" i="22"/>
  <c r="AV150" i="22"/>
  <c r="AV148" i="22"/>
  <c r="AV146" i="22"/>
  <c r="AV144" i="22"/>
  <c r="AV139" i="22"/>
  <c r="AV138" i="22"/>
  <c r="AV137" i="22"/>
  <c r="AV126" i="22"/>
  <c r="AV124" i="22"/>
  <c r="AV121" i="22"/>
  <c r="AV119" i="22"/>
  <c r="AV115" i="22"/>
  <c r="AV113" i="22"/>
  <c r="AV111" i="22"/>
  <c r="AV110" i="22"/>
  <c r="AV107" i="22"/>
  <c r="AV104" i="22"/>
  <c r="AV101" i="22"/>
  <c r="AV96" i="22"/>
  <c r="AV94" i="22"/>
  <c r="AV92" i="22"/>
  <c r="AV90" i="22"/>
  <c r="AV88" i="22"/>
  <c r="AV84" i="22"/>
  <c r="AV83" i="22"/>
  <c r="AV82" i="22"/>
  <c r="AV78" i="22"/>
  <c r="AV72" i="22"/>
  <c r="AV70" i="22"/>
  <c r="AV67" i="22"/>
  <c r="AV66" i="22"/>
  <c r="AV65" i="22"/>
  <c r="AV64" i="22"/>
  <c r="AV62" i="22"/>
  <c r="AV56" i="22"/>
  <c r="AV55" i="22"/>
  <c r="AV54" i="22"/>
  <c r="AV53" i="22"/>
  <c r="AV52" i="22"/>
  <c r="AV45" i="22"/>
  <c r="AV43" i="22"/>
  <c r="AV41" i="22"/>
  <c r="AV39" i="22"/>
  <c r="AV35" i="22"/>
  <c r="AV33" i="22"/>
  <c r="AV29" i="22"/>
  <c r="AV28" i="22"/>
  <c r="AV27" i="22"/>
  <c r="AV24" i="22"/>
  <c r="AV20" i="22"/>
  <c r="AV17" i="22"/>
  <c r="AV13" i="22"/>
  <c r="AU221" i="22"/>
  <c r="AU219" i="22"/>
  <c r="AU216" i="22"/>
  <c r="AU214" i="22"/>
  <c r="AU212" i="22"/>
  <c r="AU210" i="22"/>
  <c r="AU207" i="22"/>
  <c r="AU204" i="22"/>
  <c r="AU200" i="22"/>
  <c r="AU199" i="22"/>
  <c r="AU198" i="22"/>
  <c r="AU184" i="22"/>
  <c r="AU182" i="22"/>
  <c r="AU180" i="22"/>
  <c r="AU176" i="22"/>
  <c r="AU172" i="22"/>
  <c r="AU171" i="22"/>
  <c r="AU168" i="22"/>
  <c r="AU165" i="22"/>
  <c r="AU159" i="22"/>
  <c r="AU156" i="22"/>
  <c r="AU155" i="22"/>
  <c r="AU150" i="22"/>
  <c r="AU148" i="22"/>
  <c r="AU146" i="22"/>
  <c r="AU144" i="22"/>
  <c r="AU139" i="22"/>
  <c r="AU138" i="22"/>
  <c r="AU137" i="22"/>
  <c r="AU126" i="22"/>
  <c r="AU124" i="22"/>
  <c r="AU121" i="22"/>
  <c r="AU119" i="22"/>
  <c r="AU115" i="22"/>
  <c r="AU114" i="22"/>
  <c r="AU113" i="22"/>
  <c r="AU111" i="22"/>
  <c r="AU110" i="22"/>
  <c r="AU107" i="22"/>
  <c r="AU104" i="22"/>
  <c r="AU101" i="22"/>
  <c r="AU96" i="22"/>
  <c r="AU94" i="22"/>
  <c r="AU92" i="22"/>
  <c r="AU90" i="22"/>
  <c r="AU88" i="22"/>
  <c r="AU84" i="22"/>
  <c r="AU83" i="22"/>
  <c r="AU82" i="22"/>
  <c r="AU78" i="22"/>
  <c r="AU72" i="22"/>
  <c r="AU70" i="22"/>
  <c r="AU67" i="22"/>
  <c r="AU66" i="22"/>
  <c r="AU65" i="22"/>
  <c r="AU64" i="22"/>
  <c r="AU63" i="22"/>
  <c r="AU62" i="22"/>
  <c r="AU56" i="22"/>
  <c r="AU55" i="22"/>
  <c r="AU54" i="22"/>
  <c r="AU53" i="22"/>
  <c r="AU52" i="22"/>
  <c r="AU51" i="22"/>
  <c r="AU45" i="22"/>
  <c r="AU43" i="22"/>
  <c r="AU41" i="22"/>
  <c r="AU39" i="22"/>
  <c r="AU35" i="22"/>
  <c r="AU33" i="22"/>
  <c r="AU29" i="22"/>
  <c r="AU28" i="22"/>
  <c r="AU27" i="22"/>
  <c r="AU24" i="22"/>
  <c r="AU20" i="22"/>
  <c r="AU19" i="22"/>
  <c r="AU18" i="22"/>
  <c r="AU17" i="22"/>
  <c r="AU13" i="22"/>
  <c r="AT221" i="22"/>
  <c r="AT219" i="22"/>
  <c r="AT216" i="22"/>
  <c r="AT214" i="22"/>
  <c r="AT212" i="22"/>
  <c r="AT210" i="22"/>
  <c r="AT207" i="22"/>
  <c r="AT204" i="22"/>
  <c r="AT200" i="22"/>
  <c r="AT199" i="22"/>
  <c r="AT198" i="22"/>
  <c r="AT184" i="22"/>
  <c r="AT182" i="22"/>
  <c r="AT180" i="22"/>
  <c r="AT176" i="22"/>
  <c r="AT172" i="22"/>
  <c r="AT171" i="22"/>
  <c r="AT168" i="22"/>
  <c r="AT165" i="22"/>
  <c r="AT159" i="22"/>
  <c r="AT156" i="22"/>
  <c r="AT155" i="22"/>
  <c r="AT150" i="22"/>
  <c r="AT148" i="22"/>
  <c r="AT146" i="22"/>
  <c r="AT144" i="22"/>
  <c r="AT139" i="22"/>
  <c r="AT138" i="22"/>
  <c r="AT137" i="22"/>
  <c r="AT126" i="22"/>
  <c r="AT124" i="22"/>
  <c r="AT121" i="22"/>
  <c r="AT119" i="22"/>
  <c r="AT115" i="22"/>
  <c r="AT114" i="22"/>
  <c r="AT113" i="22"/>
  <c r="AT111" i="22"/>
  <c r="AT110" i="22"/>
  <c r="AT107" i="22"/>
  <c r="AT104" i="22"/>
  <c r="AT101" i="22"/>
  <c r="AT96" i="22"/>
  <c r="AT94" i="22"/>
  <c r="AT92" i="22"/>
  <c r="AT90" i="22"/>
  <c r="AT88" i="22"/>
  <c r="AT84" i="22"/>
  <c r="AT83" i="22"/>
  <c r="AT82" i="22"/>
  <c r="AT78" i="22"/>
  <c r="AT72" i="22"/>
  <c r="AT70" i="22"/>
  <c r="AT67" i="22"/>
  <c r="AT66" i="22"/>
  <c r="AT65" i="22"/>
  <c r="AT64" i="22"/>
  <c r="AT63" i="22"/>
  <c r="AT62" i="22"/>
  <c r="AT56" i="22"/>
  <c r="AT55" i="22"/>
  <c r="AT54" i="22"/>
  <c r="AT53" i="22"/>
  <c r="AT52" i="22"/>
  <c r="AT45" i="22"/>
  <c r="AT43" i="22"/>
  <c r="AT41" i="22"/>
  <c r="AT39" i="22"/>
  <c r="AT35" i="22"/>
  <c r="AT33" i="22"/>
  <c r="AT29" i="22"/>
  <c r="AT28" i="22"/>
  <c r="AT27" i="22"/>
  <c r="AT24" i="22"/>
  <c r="AT20" i="22"/>
  <c r="AT19" i="22"/>
  <c r="AT18" i="22"/>
  <c r="AT17" i="22"/>
  <c r="AT13" i="22"/>
  <c r="AS221" i="22"/>
  <c r="AS219" i="22"/>
  <c r="AS216" i="22"/>
  <c r="AS214" i="22"/>
  <c r="AS212" i="22"/>
  <c r="AS210" i="22"/>
  <c r="AS207" i="22"/>
  <c r="AS204" i="22"/>
  <c r="AS200" i="22"/>
  <c r="AS199" i="22"/>
  <c r="AS198" i="22"/>
  <c r="AS184" i="22"/>
  <c r="AS182" i="22"/>
  <c r="AS180" i="22"/>
  <c r="AS176" i="22"/>
  <c r="AS172" i="22"/>
  <c r="AS171" i="22"/>
  <c r="AS168" i="22"/>
  <c r="AS165" i="22"/>
  <c r="AS159" i="22"/>
  <c r="AS156" i="22"/>
  <c r="AS155" i="22"/>
  <c r="AS150" i="22"/>
  <c r="AS148" i="22"/>
  <c r="AS146" i="22"/>
  <c r="AS144" i="22"/>
  <c r="AS139" i="22"/>
  <c r="AS138" i="22"/>
  <c r="AS137" i="22"/>
  <c r="AS126" i="22"/>
  <c r="AS124" i="22"/>
  <c r="AS121" i="22"/>
  <c r="AS119" i="22"/>
  <c r="AS115" i="22"/>
  <c r="AS114" i="22"/>
  <c r="AS113" i="22"/>
  <c r="AS111" i="22"/>
  <c r="AS110" i="22"/>
  <c r="AS107" i="22"/>
  <c r="AS104" i="22"/>
  <c r="AS101" i="22"/>
  <c r="AS96" i="22"/>
  <c r="AS94" i="22"/>
  <c r="AS92" i="22"/>
  <c r="AS90" i="22"/>
  <c r="AS88" i="22"/>
  <c r="AS84" i="22"/>
  <c r="AS83" i="22"/>
  <c r="AS82" i="22"/>
  <c r="AS78" i="22"/>
  <c r="AS72" i="22"/>
  <c r="AS70" i="22"/>
  <c r="AS67" i="22"/>
  <c r="AS66" i="22"/>
  <c r="AS65" i="22"/>
  <c r="AS64" i="22"/>
  <c r="AS63" i="22"/>
  <c r="AS62" i="22"/>
  <c r="AS56" i="22"/>
  <c r="AS55" i="22"/>
  <c r="AS54" i="22"/>
  <c r="AS53" i="22"/>
  <c r="AS52" i="22"/>
  <c r="AS45" i="22"/>
  <c r="AS43" i="22"/>
  <c r="AS41" i="22"/>
  <c r="AS39" i="22"/>
  <c r="AS35" i="22"/>
  <c r="AS33" i="22"/>
  <c r="AS29" i="22"/>
  <c r="AS28" i="22"/>
  <c r="AS27" i="22"/>
  <c r="AS24" i="22"/>
  <c r="AS20" i="22"/>
  <c r="AS19" i="22"/>
  <c r="AS18" i="22"/>
  <c r="AS17" i="22"/>
  <c r="AS13" i="22"/>
  <c r="AR221" i="22"/>
  <c r="AR219" i="22"/>
  <c r="AR216" i="22"/>
  <c r="AR214" i="22"/>
  <c r="AR212" i="22"/>
  <c r="AR210" i="22"/>
  <c r="AR207" i="22"/>
  <c r="AR204" i="22"/>
  <c r="AR200" i="22"/>
  <c r="AR199" i="22"/>
  <c r="AR198" i="22"/>
  <c r="AR184" i="22"/>
  <c r="AR182" i="22"/>
  <c r="AR180" i="22"/>
  <c r="AR176" i="22"/>
  <c r="AR172" i="22"/>
  <c r="AR171" i="22"/>
  <c r="AR168" i="22"/>
  <c r="AR165" i="22"/>
  <c r="AR159" i="22"/>
  <c r="AR156" i="22"/>
  <c r="AR155" i="22"/>
  <c r="AR150" i="22"/>
  <c r="AR148" i="22"/>
  <c r="AR146" i="22"/>
  <c r="AR144" i="22"/>
  <c r="AR139" i="22"/>
  <c r="AR138" i="22"/>
  <c r="AR137" i="22"/>
  <c r="AR126" i="22"/>
  <c r="AR124" i="22"/>
  <c r="AR121" i="22"/>
  <c r="AR119" i="22"/>
  <c r="AR115" i="22"/>
  <c r="AR114" i="22"/>
  <c r="AR113" i="22"/>
  <c r="AR111" i="22"/>
  <c r="AR110" i="22"/>
  <c r="AR107" i="22"/>
  <c r="AR104" i="22"/>
  <c r="AR101" i="22"/>
  <c r="AR96" i="22"/>
  <c r="AR94" i="22"/>
  <c r="AR92" i="22"/>
  <c r="AR90" i="22"/>
  <c r="AR88" i="22"/>
  <c r="AR84" i="22"/>
  <c r="AR83" i="22"/>
  <c r="AR82" i="22"/>
  <c r="AR78" i="22"/>
  <c r="AR72" i="22"/>
  <c r="AR70" i="22"/>
  <c r="AR67" i="22"/>
  <c r="AR66" i="22"/>
  <c r="AR65" i="22"/>
  <c r="AR64" i="22"/>
  <c r="AR63" i="22"/>
  <c r="AR62" i="22"/>
  <c r="AR56" i="22"/>
  <c r="AR54" i="22"/>
  <c r="AR53" i="22"/>
  <c r="AR52" i="22"/>
  <c r="AR45" i="22"/>
  <c r="AR43" i="22"/>
  <c r="AR41" i="22"/>
  <c r="AR39" i="22"/>
  <c r="AR35" i="22"/>
  <c r="AR33" i="22"/>
  <c r="AR29" i="22"/>
  <c r="AR28" i="22"/>
  <c r="AR27" i="22"/>
  <c r="AR24" i="22"/>
  <c r="AR20" i="22"/>
  <c r="AR19" i="22"/>
  <c r="AR18" i="22"/>
  <c r="AR17" i="22"/>
  <c r="AR13" i="22"/>
  <c r="AQ221" i="22"/>
  <c r="AQ219" i="22"/>
  <c r="AQ216" i="22"/>
  <c r="AQ214" i="22"/>
  <c r="AQ212" i="22"/>
  <c r="AQ210" i="22"/>
  <c r="AQ207" i="22"/>
  <c r="AQ204" i="22"/>
  <c r="AQ200" i="22"/>
  <c r="AQ199" i="22"/>
  <c r="AQ198" i="22"/>
  <c r="AQ184" i="22"/>
  <c r="AQ182" i="22"/>
  <c r="AQ180" i="22"/>
  <c r="AQ176" i="22"/>
  <c r="AQ172" i="22"/>
  <c r="AQ171" i="22"/>
  <c r="AQ168" i="22"/>
  <c r="AQ165" i="22"/>
  <c r="AQ159" i="22"/>
  <c r="AQ156" i="22"/>
  <c r="AQ155" i="22"/>
  <c r="AQ150" i="22"/>
  <c r="AQ148" i="22"/>
  <c r="AQ146" i="22"/>
  <c r="AQ144" i="22"/>
  <c r="AQ139" i="22"/>
  <c r="AQ138" i="22"/>
  <c r="AQ137" i="22"/>
  <c r="AQ126" i="22"/>
  <c r="AQ124" i="22"/>
  <c r="AQ121" i="22"/>
  <c r="AQ119" i="22"/>
  <c r="AQ115" i="22"/>
  <c r="AQ114" i="22"/>
  <c r="AQ113" i="22"/>
  <c r="AQ111" i="22"/>
  <c r="AQ110" i="22"/>
  <c r="AQ107" i="22"/>
  <c r="AQ104" i="22"/>
  <c r="AQ101" i="22"/>
  <c r="AQ96" i="22"/>
  <c r="AQ94" i="22"/>
  <c r="AQ92" i="22"/>
  <c r="AQ90" i="22"/>
  <c r="AQ88" i="22"/>
  <c r="AQ84" i="22"/>
  <c r="AQ83" i="22"/>
  <c r="AQ82" i="22"/>
  <c r="AQ78" i="22"/>
  <c r="AQ72" i="22"/>
  <c r="AQ70" i="22"/>
  <c r="AQ67" i="22"/>
  <c r="AQ66" i="22"/>
  <c r="AQ65" i="22"/>
  <c r="AQ64" i="22"/>
  <c r="AQ63" i="22"/>
  <c r="AQ62" i="22"/>
  <c r="AQ54" i="22"/>
  <c r="AQ53" i="22"/>
  <c r="AQ52" i="22"/>
  <c r="AQ45" i="22"/>
  <c r="AQ43" i="22"/>
  <c r="AQ41" i="22"/>
  <c r="AQ35" i="22"/>
  <c r="AQ33" i="22"/>
  <c r="AQ29" i="22"/>
  <c r="AQ28" i="22"/>
  <c r="AQ27" i="22"/>
  <c r="AQ24" i="22"/>
  <c r="AQ20" i="22"/>
  <c r="AQ19" i="22"/>
  <c r="AQ18" i="22"/>
  <c r="AQ17" i="22"/>
  <c r="AQ13" i="22"/>
  <c r="AP221" i="22"/>
  <c r="AP219" i="22"/>
  <c r="AP216" i="22"/>
  <c r="AP214" i="22"/>
  <c r="AP212" i="22"/>
  <c r="AP210" i="22"/>
  <c r="AP207" i="22"/>
  <c r="AP204" i="22"/>
  <c r="AP200" i="22"/>
  <c r="AP199" i="22"/>
  <c r="AP198" i="22"/>
  <c r="AP184" i="22"/>
  <c r="AP182" i="22"/>
  <c r="AP180" i="22"/>
  <c r="AP176" i="22"/>
  <c r="AP172" i="22"/>
  <c r="AP171" i="22"/>
  <c r="AP168" i="22"/>
  <c r="AP165" i="22"/>
  <c r="AP159" i="22"/>
  <c r="AP156" i="22"/>
  <c r="AP155" i="22"/>
  <c r="AP150" i="22"/>
  <c r="AP148" i="22"/>
  <c r="AP146" i="22"/>
  <c r="AP144" i="22"/>
  <c r="AP139" i="22"/>
  <c r="AP138" i="22"/>
  <c r="AP137" i="22"/>
  <c r="AP126" i="22"/>
  <c r="AP124" i="22"/>
  <c r="AP121" i="22"/>
  <c r="AP119" i="22"/>
  <c r="AP115" i="22"/>
  <c r="AP114" i="22"/>
  <c r="AP113" i="22"/>
  <c r="AP111" i="22"/>
  <c r="AP110" i="22"/>
  <c r="AP107" i="22"/>
  <c r="AP104" i="22"/>
  <c r="AP101" i="22"/>
  <c r="AP96" i="22"/>
  <c r="AP94" i="22"/>
  <c r="AP92" i="22"/>
  <c r="AP90" i="22"/>
  <c r="AP88" i="22"/>
  <c r="AP84" i="22"/>
  <c r="AP83" i="22"/>
  <c r="AP82" i="22"/>
  <c r="AP78" i="22"/>
  <c r="AP72" i="22"/>
  <c r="AP70" i="22"/>
  <c r="AP67" i="22"/>
  <c r="AP66" i="22"/>
  <c r="AP65" i="22"/>
  <c r="AP64" i="22"/>
  <c r="AP63" i="22"/>
  <c r="AP62" i="22"/>
  <c r="AP54" i="22"/>
  <c r="AP53" i="22"/>
  <c r="AP52" i="22"/>
  <c r="AP45" i="22"/>
  <c r="AP43" i="22"/>
  <c r="AP41" i="22"/>
  <c r="AP35" i="22"/>
  <c r="AP33" i="22"/>
  <c r="AP29" i="22"/>
  <c r="AP28" i="22"/>
  <c r="AP27" i="22"/>
  <c r="AP24" i="22"/>
  <c r="AP20" i="22"/>
  <c r="AP19" i="22"/>
  <c r="AP18" i="22"/>
  <c r="AP17" i="22"/>
  <c r="AP13" i="22"/>
  <c r="AO221" i="22"/>
  <c r="AO219" i="22"/>
  <c r="AO216" i="22"/>
  <c r="AO214" i="22"/>
  <c r="AO212" i="22"/>
  <c r="AO210" i="22"/>
  <c r="AO207" i="22"/>
  <c r="AO204" i="22"/>
  <c r="AO200" i="22"/>
  <c r="AO199" i="22"/>
  <c r="AO198" i="22"/>
  <c r="AO184" i="22"/>
  <c r="AO182" i="22"/>
  <c r="AO180" i="22"/>
  <c r="AO176" i="22"/>
  <c r="AO172" i="22"/>
  <c r="AO171" i="22"/>
  <c r="AO168" i="22"/>
  <c r="AO165" i="22"/>
  <c r="AO159" i="22"/>
  <c r="AO156" i="22"/>
  <c r="AO155" i="22"/>
  <c r="AO150" i="22"/>
  <c r="AO148" i="22"/>
  <c r="AO146" i="22"/>
  <c r="AO144" i="22"/>
  <c r="AO139" i="22"/>
  <c r="AO138" i="22"/>
  <c r="AO137" i="22"/>
  <c r="AO126" i="22"/>
  <c r="AO124" i="22"/>
  <c r="AO121" i="22"/>
  <c r="AO119" i="22"/>
  <c r="AO115" i="22"/>
  <c r="AO114" i="22"/>
  <c r="AO113" i="22"/>
  <c r="AO111" i="22"/>
  <c r="AO110" i="22"/>
  <c r="AO107" i="22"/>
  <c r="AO104" i="22"/>
  <c r="AO101" i="22"/>
  <c r="AO96" i="22"/>
  <c r="AO94" i="22"/>
  <c r="AO92" i="22"/>
  <c r="AO90" i="22"/>
  <c r="AO88" i="22"/>
  <c r="AO84" i="22"/>
  <c r="AO83" i="22"/>
  <c r="AO82" i="22"/>
  <c r="AO78" i="22"/>
  <c r="AO72" i="22"/>
  <c r="AO70" i="22"/>
  <c r="AO67" i="22"/>
  <c r="AO66" i="22"/>
  <c r="AO65" i="22"/>
  <c r="AO63" i="22"/>
  <c r="AO62" i="22"/>
  <c r="AO54" i="22"/>
  <c r="AO53" i="22"/>
  <c r="AO52" i="22"/>
  <c r="AO45" i="22"/>
  <c r="AO43" i="22"/>
  <c r="AO41" i="22"/>
  <c r="AO35" i="22"/>
  <c r="AO33" i="22"/>
  <c r="AO29" i="22"/>
  <c r="AO28" i="22"/>
  <c r="AO27" i="22"/>
  <c r="AO24" i="22"/>
  <c r="AO20" i="22"/>
  <c r="AO19" i="22"/>
  <c r="AO18" i="22"/>
  <c r="AO17" i="22"/>
  <c r="AO13" i="22"/>
  <c r="AN221" i="22"/>
  <c r="AN219" i="22"/>
  <c r="AN216" i="22"/>
  <c r="AN214" i="22"/>
  <c r="AN212" i="22"/>
  <c r="AN210" i="22"/>
  <c r="AN207" i="22"/>
  <c r="AN204" i="22"/>
  <c r="AN200" i="22"/>
  <c r="AN199" i="22"/>
  <c r="AN198" i="22"/>
  <c r="AN184" i="22"/>
  <c r="AN182" i="22"/>
  <c r="AN180" i="22"/>
  <c r="AN176" i="22"/>
  <c r="AN172" i="22"/>
  <c r="AN171" i="22"/>
  <c r="AN168" i="22"/>
  <c r="AN165" i="22"/>
  <c r="AN159" i="22"/>
  <c r="AN156" i="22"/>
  <c r="AN155" i="22"/>
  <c r="AN150" i="22"/>
  <c r="AN148" i="22"/>
  <c r="AN146" i="22"/>
  <c r="AN144" i="22"/>
  <c r="AN139" i="22"/>
  <c r="AN138" i="22"/>
  <c r="AN137" i="22"/>
  <c r="AN126" i="22"/>
  <c r="AN124" i="22"/>
  <c r="AN121" i="22"/>
  <c r="AN119" i="22"/>
  <c r="AN115" i="22"/>
  <c r="AN114" i="22"/>
  <c r="AN113" i="22"/>
  <c r="AN111" i="22"/>
  <c r="AN110" i="22"/>
  <c r="AN107" i="22"/>
  <c r="AN101" i="22"/>
  <c r="AN96" i="22"/>
  <c r="AN94" i="22"/>
  <c r="AN92" i="22"/>
  <c r="AN90" i="22"/>
  <c r="AN88" i="22"/>
  <c r="AN84" i="22"/>
  <c r="AN83" i="22"/>
  <c r="AN82" i="22"/>
  <c r="AN78" i="22"/>
  <c r="AN72" i="22"/>
  <c r="AN70" i="22"/>
  <c r="AN67" i="22"/>
  <c r="AN66" i="22"/>
  <c r="AN65" i="22"/>
  <c r="AN63" i="22"/>
  <c r="AN62" i="22"/>
  <c r="AN54" i="22"/>
  <c r="AN53" i="22"/>
  <c r="AN52" i="22"/>
  <c r="AN45" i="22"/>
  <c r="AN43" i="22"/>
  <c r="AN41" i="22"/>
  <c r="AN35" i="22"/>
  <c r="AN33" i="22"/>
  <c r="AN29" i="22"/>
  <c r="AN27" i="22"/>
  <c r="AN24" i="22"/>
  <c r="AN20" i="22"/>
  <c r="AN19" i="22"/>
  <c r="AN18" i="22"/>
  <c r="AN17" i="22"/>
  <c r="AN13" i="22"/>
  <c r="AM221" i="22"/>
  <c r="AM219" i="22"/>
  <c r="AM216" i="22"/>
  <c r="AM214" i="22"/>
  <c r="AM212" i="22"/>
  <c r="AM210" i="22"/>
  <c r="AM207" i="22"/>
  <c r="AM204" i="22"/>
  <c r="AM200" i="22"/>
  <c r="AM199" i="22"/>
  <c r="AM198" i="22"/>
  <c r="AM184" i="22"/>
  <c r="AM182" i="22"/>
  <c r="AM180" i="22"/>
  <c r="AM176" i="22"/>
  <c r="AM172" i="22"/>
  <c r="AM171" i="22"/>
  <c r="AM168" i="22"/>
  <c r="AM165" i="22"/>
  <c r="AM159" i="22"/>
  <c r="AM156" i="22"/>
  <c r="AM155" i="22"/>
  <c r="AM150" i="22"/>
  <c r="AM148" i="22"/>
  <c r="AM146" i="22"/>
  <c r="AM144" i="22"/>
  <c r="AM139" i="22"/>
  <c r="AM138" i="22"/>
  <c r="AM137" i="22"/>
  <c r="AM126" i="22"/>
  <c r="AM124" i="22"/>
  <c r="AM121" i="22"/>
  <c r="AM119" i="22"/>
  <c r="AM115" i="22"/>
  <c r="AM114" i="22"/>
  <c r="AM113" i="22"/>
  <c r="AM111" i="22"/>
  <c r="AM110" i="22"/>
  <c r="AM107" i="22"/>
  <c r="AM101" i="22"/>
  <c r="AM96" i="22"/>
  <c r="AM94" i="22"/>
  <c r="AM92" i="22"/>
  <c r="AM90" i="22"/>
  <c r="AM88" i="22"/>
  <c r="AM84" i="22"/>
  <c r="AM83" i="22"/>
  <c r="AM82" i="22"/>
  <c r="AM78" i="22"/>
  <c r="AM72" i="22"/>
  <c r="AM70" i="22"/>
  <c r="AM67" i="22"/>
  <c r="AM66" i="22"/>
  <c r="AM65" i="22"/>
  <c r="AM63" i="22"/>
  <c r="AM62" i="22"/>
  <c r="AM54" i="22"/>
  <c r="AM53" i="22"/>
  <c r="AM52" i="22"/>
  <c r="AM45" i="22"/>
  <c r="AM41" i="22"/>
  <c r="AM35" i="22"/>
  <c r="AM33" i="22"/>
  <c r="AM29" i="22"/>
  <c r="AM27" i="22"/>
  <c r="AM24" i="22"/>
  <c r="AM20" i="22"/>
  <c r="AM19" i="22"/>
  <c r="AM18" i="22"/>
  <c r="AM17" i="22"/>
  <c r="AM13" i="22"/>
  <c r="AL221" i="22"/>
  <c r="AL219" i="22"/>
  <c r="AL216" i="22"/>
  <c r="AL214" i="22"/>
  <c r="AL212" i="22"/>
  <c r="AL210" i="22"/>
  <c r="AL207" i="22"/>
  <c r="AL204" i="22"/>
  <c r="AL200" i="22"/>
  <c r="AL199" i="22"/>
  <c r="AL198" i="22"/>
  <c r="AL186" i="22"/>
  <c r="AL184" i="22"/>
  <c r="AL182" i="22"/>
  <c r="AL180" i="22"/>
  <c r="AL176" i="22"/>
  <c r="AL172" i="22"/>
  <c r="AL171" i="22"/>
  <c r="AL168" i="22"/>
  <c r="AL165" i="22"/>
  <c r="AL159" i="22"/>
  <c r="AL156" i="22"/>
  <c r="AL155" i="22"/>
  <c r="AL150" i="22"/>
  <c r="AL148" i="22"/>
  <c r="AL146" i="22"/>
  <c r="AL144" i="22"/>
  <c r="AL139" i="22"/>
  <c r="AL138" i="22"/>
  <c r="AL137" i="22"/>
  <c r="AL126" i="22"/>
  <c r="AL124" i="22"/>
  <c r="AL121" i="22"/>
  <c r="AL119" i="22"/>
  <c r="AL115" i="22"/>
  <c r="AL114" i="22"/>
  <c r="AL113" i="22"/>
  <c r="AL111" i="22"/>
  <c r="AL110" i="22"/>
  <c r="AL107" i="22"/>
  <c r="AL101" i="22"/>
  <c r="AL96" i="22"/>
  <c r="AL94" i="22"/>
  <c r="AL92" i="22"/>
  <c r="AL90" i="22"/>
  <c r="AL88" i="22"/>
  <c r="AL84" i="22"/>
  <c r="AL83" i="22"/>
  <c r="AL82" i="22"/>
  <c r="AL81" i="22"/>
  <c r="AL78" i="22"/>
  <c r="AL72" i="22"/>
  <c r="AL70" i="22"/>
  <c r="AL67" i="22"/>
  <c r="AL66" i="22"/>
  <c r="AL65" i="22"/>
  <c r="AL63" i="22"/>
  <c r="AL62" i="22"/>
  <c r="AL54" i="22"/>
  <c r="AL53" i="22"/>
  <c r="AL52" i="22"/>
  <c r="AL45" i="22"/>
  <c r="AL41" i="22"/>
  <c r="AL35" i="22"/>
  <c r="AL33" i="22"/>
  <c r="AL29" i="22"/>
  <c r="AL27" i="22"/>
  <c r="AL24" i="22"/>
  <c r="AL20" i="22"/>
  <c r="AL19" i="22"/>
  <c r="AL18" i="22"/>
  <c r="AL17" i="22"/>
  <c r="AL13" i="22"/>
  <c r="AK221" i="22"/>
  <c r="AK219" i="22"/>
  <c r="AK216" i="22"/>
  <c r="AK214" i="22"/>
  <c r="AK212" i="22"/>
  <c r="AK210" i="22"/>
  <c r="AK207" i="22"/>
  <c r="AK204" i="22"/>
  <c r="AK200" i="22"/>
  <c r="AK199" i="22"/>
  <c r="AK198" i="22"/>
  <c r="AK186" i="22"/>
  <c r="AK184" i="22"/>
  <c r="AK182" i="22"/>
  <c r="AK180" i="22"/>
  <c r="AK176" i="22"/>
  <c r="AK172" i="22"/>
  <c r="AK171" i="22"/>
  <c r="AK168" i="22"/>
  <c r="AK165" i="22"/>
  <c r="AK159" i="22"/>
  <c r="AK156" i="22"/>
  <c r="AK155" i="22"/>
  <c r="AK150" i="22"/>
  <c r="AK148" i="22"/>
  <c r="AK146" i="22"/>
  <c r="AK144" i="22"/>
  <c r="AK139" i="22"/>
  <c r="AK138" i="22"/>
  <c r="AK137" i="22"/>
  <c r="AK126" i="22"/>
  <c r="AK124" i="22"/>
  <c r="AK121" i="22"/>
  <c r="AK119" i="22"/>
  <c r="AK115" i="22"/>
  <c r="AK114" i="22"/>
  <c r="AK113" i="22"/>
  <c r="AK111" i="22"/>
  <c r="AK110" i="22"/>
  <c r="AK107" i="22"/>
  <c r="AK101" i="22"/>
  <c r="AK96" i="22"/>
  <c r="AK94" i="22"/>
  <c r="AK92" i="22"/>
  <c r="AK90" i="22"/>
  <c r="AK84" i="22"/>
  <c r="AK83" i="22"/>
  <c r="AK82" i="22"/>
  <c r="AK81" i="22"/>
  <c r="AK78" i="22"/>
  <c r="AK72" i="22"/>
  <c r="AK67" i="22"/>
  <c r="AK66" i="22"/>
  <c r="AK65" i="22"/>
  <c r="AK63" i="22"/>
  <c r="AK62" i="22"/>
  <c r="AK54" i="22"/>
  <c r="AK53" i="22"/>
  <c r="AK52" i="22"/>
  <c r="AK45" i="22"/>
  <c r="AK41" i="22"/>
  <c r="AK35" i="22"/>
  <c r="AK33" i="22"/>
  <c r="AK29" i="22"/>
  <c r="AK27" i="22"/>
  <c r="AK24" i="22"/>
  <c r="AK19" i="22"/>
  <c r="AK18" i="22"/>
  <c r="AK17" i="22"/>
  <c r="AK13" i="22"/>
  <c r="AJ221" i="22"/>
  <c r="AJ219" i="22"/>
  <c r="AJ216" i="22"/>
  <c r="AJ214" i="22"/>
  <c r="AJ212" i="22"/>
  <c r="AJ210" i="22"/>
  <c r="AJ207" i="22"/>
  <c r="AJ204" i="22"/>
  <c r="AJ200" i="22"/>
  <c r="AJ199" i="22"/>
  <c r="AJ198" i="22"/>
  <c r="AJ186" i="22"/>
  <c r="AJ184" i="22"/>
  <c r="AJ182" i="22"/>
  <c r="AJ180" i="22"/>
  <c r="AJ176" i="22"/>
  <c r="AJ172" i="22"/>
  <c r="AJ171" i="22"/>
  <c r="AJ168" i="22"/>
  <c r="AJ165" i="22"/>
  <c r="AJ159" i="22"/>
  <c r="AJ156" i="22"/>
  <c r="AJ155" i="22"/>
  <c r="AJ150" i="22"/>
  <c r="AJ148" i="22"/>
  <c r="AJ146" i="22"/>
  <c r="AJ144" i="22"/>
  <c r="AJ139" i="22"/>
  <c r="AJ138" i="22"/>
  <c r="AJ137" i="22"/>
  <c r="AJ126" i="22"/>
  <c r="AJ124" i="22"/>
  <c r="AJ121" i="22"/>
  <c r="AJ119" i="22"/>
  <c r="AJ114" i="22"/>
  <c r="AJ113" i="22"/>
  <c r="AJ111" i="22"/>
  <c r="AJ110" i="22"/>
  <c r="AJ107" i="22"/>
  <c r="AJ101" i="22"/>
  <c r="AJ96" i="22"/>
  <c r="AJ94" i="22"/>
  <c r="AJ92" i="22"/>
  <c r="AJ90" i="22"/>
  <c r="AJ84" i="22"/>
  <c r="AJ83" i="22"/>
  <c r="AJ82" i="22"/>
  <c r="AJ81" i="22"/>
  <c r="AJ78" i="22"/>
  <c r="AJ72" i="22"/>
  <c r="AJ67" i="22"/>
  <c r="AJ66" i="22"/>
  <c r="AJ65" i="22"/>
  <c r="AJ63" i="22"/>
  <c r="AJ62" i="22"/>
  <c r="AJ54" i="22"/>
  <c r="AJ53" i="22"/>
  <c r="AJ52" i="22"/>
  <c r="AJ45" i="22"/>
  <c r="AJ41" i="22"/>
  <c r="AJ35" i="22"/>
  <c r="AJ33" i="22"/>
  <c r="AJ29" i="22"/>
  <c r="AJ27" i="22"/>
  <c r="AJ24" i="22"/>
  <c r="AJ19" i="22"/>
  <c r="AJ18" i="22"/>
  <c r="AJ17" i="22"/>
  <c r="AJ13" i="22"/>
  <c r="AI221" i="22"/>
  <c r="AI219" i="22"/>
  <c r="AI216" i="22"/>
  <c r="AI214" i="22"/>
  <c r="AI212" i="22"/>
  <c r="AI210" i="22"/>
  <c r="AI207" i="22"/>
  <c r="AI204" i="22"/>
  <c r="AI200" i="22"/>
  <c r="AI199" i="22"/>
  <c r="AI198" i="22"/>
  <c r="AI186" i="22"/>
  <c r="AI184" i="22"/>
  <c r="AI182" i="22"/>
  <c r="AI180" i="22"/>
  <c r="AI176" i="22"/>
  <c r="AI172" i="22"/>
  <c r="AI171" i="22"/>
  <c r="AI168" i="22"/>
  <c r="AI165" i="22"/>
  <c r="AI159" i="22"/>
  <c r="AI156" i="22"/>
  <c r="AI155" i="22"/>
  <c r="AI150" i="22"/>
  <c r="AI148" i="22"/>
  <c r="AI146" i="22"/>
  <c r="AI144" i="22"/>
  <c r="AI139" i="22"/>
  <c r="AI138" i="22"/>
  <c r="AI137" i="22"/>
  <c r="AI126" i="22"/>
  <c r="AI124" i="22"/>
  <c r="AI121" i="22"/>
  <c r="AI119" i="22"/>
  <c r="AI114" i="22"/>
  <c r="AI113" i="22"/>
  <c r="AI111" i="22"/>
  <c r="AI110" i="22"/>
  <c r="AI107" i="22"/>
  <c r="AI101" i="22"/>
  <c r="AI96" i="22"/>
  <c r="AI94" i="22"/>
  <c r="AI92" i="22"/>
  <c r="AI90" i="22"/>
  <c r="AI84" i="22"/>
  <c r="AI83" i="22"/>
  <c r="AI82" i="22"/>
  <c r="AI81" i="22"/>
  <c r="AI78" i="22"/>
  <c r="AI72" i="22"/>
  <c r="AI67" i="22"/>
  <c r="AI66" i="22"/>
  <c r="AI65" i="22"/>
  <c r="AI63" i="22"/>
  <c r="AI62" i="22"/>
  <c r="AI54" i="22"/>
  <c r="AI53" i="22"/>
  <c r="AI52" i="22"/>
  <c r="AI45" i="22"/>
  <c r="AI41" i="22"/>
  <c r="AI35" i="22"/>
  <c r="AI33" i="22"/>
  <c r="AI27" i="22"/>
  <c r="AI24" i="22"/>
  <c r="AI19" i="22"/>
  <c r="AI18" i="22"/>
  <c r="AI17" i="22"/>
  <c r="AI13" i="22"/>
  <c r="AH221" i="22"/>
  <c r="AH219" i="22"/>
  <c r="AH216" i="22"/>
  <c r="AH214" i="22"/>
  <c r="AH212" i="22"/>
  <c r="AH210" i="22"/>
  <c r="AH207" i="22"/>
  <c r="AH204" i="22"/>
  <c r="AH200" i="22"/>
  <c r="AH199" i="22"/>
  <c r="AH198" i="22"/>
  <c r="AH186" i="22"/>
  <c r="AH184" i="22"/>
  <c r="AH182" i="22"/>
  <c r="AH180" i="22"/>
  <c r="AH176" i="22"/>
  <c r="AH172" i="22"/>
  <c r="AH171" i="22"/>
  <c r="AH168" i="22"/>
  <c r="AH165" i="22"/>
  <c r="AH159" i="22"/>
  <c r="AH156" i="22"/>
  <c r="AH155" i="22"/>
  <c r="AH150" i="22"/>
  <c r="AH148" i="22"/>
  <c r="AH146" i="22"/>
  <c r="AH144" i="22"/>
  <c r="AH139" i="22"/>
  <c r="AH138" i="22"/>
  <c r="AH137" i="22"/>
  <c r="AH126" i="22"/>
  <c r="AH124" i="22"/>
  <c r="AH121" i="22"/>
  <c r="AH119" i="22"/>
  <c r="AH114" i="22"/>
  <c r="AH111" i="22"/>
  <c r="AH110" i="22"/>
  <c r="AH107" i="22"/>
  <c r="AH101" i="22"/>
  <c r="AH96" i="22"/>
  <c r="AH94" i="22"/>
  <c r="AH92" i="22"/>
  <c r="AH90" i="22"/>
  <c r="AH84" i="22"/>
  <c r="AH83" i="22"/>
  <c r="AH82" i="22"/>
  <c r="AH81" i="22"/>
  <c r="AH78" i="22"/>
  <c r="AH72" i="22"/>
  <c r="AH67" i="22"/>
  <c r="AH66" i="22"/>
  <c r="AH65" i="22"/>
  <c r="AH63" i="22"/>
  <c r="AH62" i="22"/>
  <c r="AH54" i="22"/>
  <c r="AH53" i="22"/>
  <c r="AH52" i="22"/>
  <c r="AH45" i="22"/>
  <c r="AH41" i="22"/>
  <c r="AH35" i="22"/>
  <c r="AH33" i="22"/>
  <c r="AH27" i="22"/>
  <c r="AH24" i="22"/>
  <c r="AH19" i="22"/>
  <c r="AH18" i="22"/>
  <c r="AH17" i="22"/>
  <c r="AH13" i="22"/>
  <c r="AG221" i="22"/>
  <c r="AG219" i="22"/>
  <c r="AG216" i="22"/>
  <c r="AG214" i="22"/>
  <c r="AG212" i="22"/>
  <c r="AG210" i="22"/>
  <c r="AG207" i="22"/>
  <c r="AG204" i="22"/>
  <c r="AG200" i="22"/>
  <c r="AG199" i="22"/>
  <c r="AG198" i="22"/>
  <c r="AG186" i="22"/>
  <c r="AG184" i="22"/>
  <c r="AG182" i="22"/>
  <c r="AG180" i="22"/>
  <c r="AG176" i="22"/>
  <c r="AG172" i="22"/>
  <c r="AG171" i="22"/>
  <c r="AG168" i="22"/>
  <c r="AG165" i="22"/>
  <c r="AG159" i="22"/>
  <c r="AG156" i="22"/>
  <c r="AG155" i="22"/>
  <c r="AG150" i="22"/>
  <c r="AG148" i="22"/>
  <c r="AG146" i="22"/>
  <c r="AG144" i="22"/>
  <c r="AG139" i="22"/>
  <c r="AG138" i="22"/>
  <c r="AG137" i="22"/>
  <c r="AG126" i="22"/>
  <c r="AG124" i="22"/>
  <c r="AG121" i="22"/>
  <c r="AG119" i="22"/>
  <c r="AG114" i="22"/>
  <c r="AG111" i="22"/>
  <c r="AG110" i="22"/>
  <c r="AG107" i="22"/>
  <c r="AG101" i="22"/>
  <c r="AG96" i="22"/>
  <c r="AG94" i="22"/>
  <c r="AG92" i="22"/>
  <c r="AG90" i="22"/>
  <c r="AG84" i="22"/>
  <c r="AG83" i="22"/>
  <c r="AG82" i="22"/>
  <c r="AG81" i="22"/>
  <c r="AG78" i="22"/>
  <c r="AG72" i="22"/>
  <c r="AG67" i="22"/>
  <c r="AG66" i="22"/>
  <c r="AG65" i="22"/>
  <c r="AG63" i="22"/>
  <c r="AG62" i="22"/>
  <c r="AG54" i="22"/>
  <c r="AG53" i="22"/>
  <c r="AG52" i="22"/>
  <c r="AG45" i="22"/>
  <c r="AG41" i="22"/>
  <c r="AG35" i="22"/>
  <c r="AG33" i="22"/>
  <c r="AG27" i="22"/>
  <c r="AG24" i="22"/>
  <c r="AG19" i="22"/>
  <c r="AG18" i="22"/>
  <c r="AG17" i="22"/>
  <c r="AG13" i="22"/>
  <c r="AF221" i="22"/>
  <c r="AF219" i="22"/>
  <c r="AF216" i="22"/>
  <c r="AF214" i="22"/>
  <c r="AF212" i="22"/>
  <c r="AF210" i="22"/>
  <c r="AF207" i="22"/>
  <c r="AF204" i="22"/>
  <c r="AF200" i="22"/>
  <c r="AF199" i="22"/>
  <c r="AF198" i="22"/>
  <c r="AF186" i="22"/>
  <c r="AF184" i="22"/>
  <c r="AF182" i="22"/>
  <c r="AF180" i="22"/>
  <c r="AF172" i="22"/>
  <c r="AF171" i="22"/>
  <c r="AF168" i="22"/>
  <c r="AF165" i="22"/>
  <c r="AF159" i="22"/>
  <c r="AF156" i="22"/>
  <c r="AF155" i="22"/>
  <c r="AF150" i="22"/>
  <c r="AF148" i="22"/>
  <c r="AF146" i="22"/>
  <c r="AF144" i="22"/>
  <c r="AF139" i="22"/>
  <c r="AF137" i="22"/>
  <c r="AF126" i="22"/>
  <c r="AF124" i="22"/>
  <c r="AF121" i="22"/>
  <c r="AF119" i="22"/>
  <c r="AF114" i="22"/>
  <c r="AF111" i="22"/>
  <c r="AF110" i="22"/>
  <c r="AF107" i="22"/>
  <c r="AF101" i="22"/>
  <c r="AF96" i="22"/>
  <c r="AF94" i="22"/>
  <c r="AF92" i="22"/>
  <c r="AF90" i="22"/>
  <c r="AF84" i="22"/>
  <c r="AF83" i="22"/>
  <c r="AF81" i="22"/>
  <c r="AF78" i="22"/>
  <c r="AF72" i="22"/>
  <c r="AF67" i="22"/>
  <c r="AF66" i="22"/>
  <c r="AF65" i="22"/>
  <c r="AF63" i="22"/>
  <c r="AF62" i="22"/>
  <c r="AF54" i="22"/>
  <c r="AF53" i="22"/>
  <c r="AF52" i="22"/>
  <c r="AF45" i="22"/>
  <c r="AF41" i="22"/>
  <c r="AF35" i="22"/>
  <c r="AF33" i="22"/>
  <c r="AF27" i="22"/>
  <c r="AF24" i="22"/>
  <c r="AF19" i="22"/>
  <c r="AF18" i="22"/>
  <c r="AF17" i="22"/>
  <c r="AF13" i="22"/>
  <c r="AE221" i="22"/>
  <c r="AE219" i="22"/>
  <c r="AE216" i="22"/>
  <c r="AE214" i="22"/>
  <c r="AE212" i="22"/>
  <c r="AE210" i="22"/>
  <c r="AE207" i="22"/>
  <c r="AE204" i="22"/>
  <c r="AE200" i="22"/>
  <c r="AE199" i="22"/>
  <c r="AE198" i="22"/>
  <c r="AE186" i="22"/>
  <c r="AE184" i="22"/>
  <c r="AE182" i="22"/>
  <c r="AE180" i="22"/>
  <c r="AE172" i="22"/>
  <c r="AE171" i="22"/>
  <c r="AE168" i="22"/>
  <c r="AE165" i="22"/>
  <c r="AE159" i="22"/>
  <c r="AE156" i="22"/>
  <c r="AE155" i="22"/>
  <c r="AE146" i="22"/>
  <c r="AE144" i="22"/>
  <c r="AE139" i="22"/>
  <c r="AE137" i="22"/>
  <c r="AE126" i="22"/>
  <c r="AE124" i="22"/>
  <c r="AE121" i="22"/>
  <c r="AE119" i="22"/>
  <c r="AE114" i="22"/>
  <c r="AE111" i="22"/>
  <c r="AE110" i="22"/>
  <c r="AE107" i="22"/>
  <c r="AE101" i="22"/>
  <c r="AE96" i="22"/>
  <c r="AE94" i="22"/>
  <c r="AE92" i="22"/>
  <c r="AE90" i="22"/>
  <c r="AE84" i="22"/>
  <c r="AE83" i="22"/>
  <c r="AE81" i="22"/>
  <c r="AE78" i="22"/>
  <c r="AE72" i="22"/>
  <c r="AE67" i="22"/>
  <c r="AE66" i="22"/>
  <c r="AE65" i="22"/>
  <c r="AE63" i="22"/>
  <c r="AE62" i="22"/>
  <c r="AE54" i="22"/>
  <c r="AE53" i="22"/>
  <c r="AE52" i="22"/>
  <c r="AE45" i="22"/>
  <c r="AE35" i="22"/>
  <c r="AE33" i="22"/>
  <c r="AE27" i="22"/>
  <c r="AE24" i="22"/>
  <c r="AE19" i="22"/>
  <c r="AE18" i="22"/>
  <c r="AE17" i="22"/>
  <c r="AE13" i="22"/>
  <c r="AD221" i="22"/>
  <c r="AD219" i="22"/>
  <c r="AD216" i="22"/>
  <c r="AD214" i="22"/>
  <c r="AD212" i="22"/>
  <c r="AD210" i="22"/>
  <c r="AD207" i="22"/>
  <c r="AD204" i="22"/>
  <c r="AD200" i="22"/>
  <c r="AD199" i="22"/>
  <c r="AD198" i="22"/>
  <c r="AD186" i="22"/>
  <c r="AD184" i="22"/>
  <c r="AD182" i="22"/>
  <c r="AD180" i="22"/>
  <c r="AD172" i="22"/>
  <c r="AD171" i="22"/>
  <c r="AD168" i="22"/>
  <c r="AD165" i="22"/>
  <c r="AD159" i="22"/>
  <c r="AD156" i="22"/>
  <c r="AD155" i="22"/>
  <c r="AD146" i="22"/>
  <c r="AD144" i="22"/>
  <c r="AD139" i="22"/>
  <c r="AD137" i="22"/>
  <c r="AD126" i="22"/>
  <c r="AD124" i="22"/>
  <c r="AD121" i="22"/>
  <c r="AD119" i="22"/>
  <c r="AD114" i="22"/>
  <c r="AD111" i="22"/>
  <c r="AD110" i="22"/>
  <c r="AD107" i="22"/>
  <c r="AD101" i="22"/>
  <c r="AD96" i="22"/>
  <c r="AD94" i="22"/>
  <c r="AD92" i="22"/>
  <c r="AD90" i="22"/>
  <c r="AD84" i="22"/>
  <c r="AD83" i="22"/>
  <c r="AD81" i="22"/>
  <c r="AD78" i="22"/>
  <c r="AD72" i="22"/>
  <c r="AD67" i="22"/>
  <c r="AD66" i="22"/>
  <c r="AD65" i="22"/>
  <c r="AD63" i="22"/>
  <c r="AD62" i="22"/>
  <c r="AD54" i="22"/>
  <c r="AD53" i="22"/>
  <c r="AD52" i="22"/>
  <c r="AD45" i="22"/>
  <c r="AD35" i="22"/>
  <c r="AD33" i="22"/>
  <c r="AD27" i="22"/>
  <c r="AD24" i="22"/>
  <c r="AD19" i="22"/>
  <c r="AD18" i="22"/>
  <c r="AD17" i="22"/>
  <c r="AD13" i="22"/>
  <c r="AC221" i="22"/>
  <c r="AC219" i="22"/>
  <c r="AC216" i="22"/>
  <c r="AC214" i="22"/>
  <c r="AC212" i="22"/>
  <c r="AC210" i="22"/>
  <c r="AC207" i="22"/>
  <c r="AC204" i="22"/>
  <c r="AC200" i="22"/>
  <c r="AC198" i="22"/>
  <c r="AC186" i="22"/>
  <c r="AC184" i="22"/>
  <c r="AC182" i="22"/>
  <c r="AC180" i="22"/>
  <c r="AC172" i="22"/>
  <c r="AC171" i="22"/>
  <c r="AC168" i="22"/>
  <c r="AC165" i="22"/>
  <c r="AC159" i="22"/>
  <c r="AC156" i="22"/>
  <c r="AC155" i="22"/>
  <c r="AC146" i="22"/>
  <c r="AC144" i="22"/>
  <c r="AC139" i="22"/>
  <c r="AC137" i="22"/>
  <c r="AC126" i="22"/>
  <c r="AC124" i="22"/>
  <c r="AC121" i="22"/>
  <c r="AC119" i="22"/>
  <c r="AC114" i="22"/>
  <c r="AC111" i="22"/>
  <c r="AC110" i="22"/>
  <c r="AC107" i="22"/>
  <c r="AC101" i="22"/>
  <c r="AC96" i="22"/>
  <c r="AC94" i="22"/>
  <c r="AC92" i="22"/>
  <c r="AC90" i="22"/>
  <c r="AC84" i="22"/>
  <c r="AC83" i="22"/>
  <c r="AC81" i="22"/>
  <c r="AC78" i="22"/>
  <c r="AC72" i="22"/>
  <c r="AC66" i="22"/>
  <c r="AC65" i="22"/>
  <c r="AC63" i="22"/>
  <c r="AC62" i="22"/>
  <c r="AC54" i="22"/>
  <c r="AC53" i="22"/>
  <c r="AC52" i="22"/>
  <c r="AC45" i="22"/>
  <c r="AC35" i="22"/>
  <c r="AC33" i="22"/>
  <c r="AC27" i="22"/>
  <c r="AC24" i="22"/>
  <c r="AC19" i="22"/>
  <c r="AC18" i="22"/>
  <c r="AC17" i="22"/>
  <c r="AC13" i="22"/>
  <c r="AA221" i="22"/>
  <c r="AA219" i="22"/>
  <c r="AA216" i="22"/>
  <c r="AA214" i="22"/>
  <c r="AA212" i="22"/>
  <c r="AA210" i="22"/>
  <c r="AA207" i="22"/>
  <c r="AA204" i="22"/>
  <c r="AA200" i="22"/>
  <c r="AA198" i="22"/>
  <c r="AA186" i="22"/>
  <c r="AA184" i="22"/>
  <c r="AA182" i="22"/>
  <c r="AA180" i="22"/>
  <c r="AA178" i="22"/>
  <c r="AA172" i="22"/>
  <c r="AA171" i="22"/>
  <c r="AA168" i="22"/>
  <c r="AA165" i="22"/>
  <c r="AA159" i="22"/>
  <c r="AA156" i="22"/>
  <c r="AA155" i="22"/>
  <c r="AA146" i="22"/>
  <c r="AA144" i="22"/>
  <c r="AA139" i="22"/>
  <c r="AA137" i="22"/>
  <c r="AA126" i="22"/>
  <c r="AA124" i="22"/>
  <c r="AA121" i="22"/>
  <c r="AA119" i="22"/>
  <c r="AA114" i="22"/>
  <c r="AA110" i="22"/>
  <c r="AA107" i="22"/>
  <c r="AA101" i="22"/>
  <c r="AA96" i="22"/>
  <c r="AA94" i="22"/>
  <c r="AA92" i="22"/>
  <c r="AA90" i="22"/>
  <c r="AA84" i="22"/>
  <c r="AA83" i="22"/>
  <c r="AA81" i="22"/>
  <c r="AA78" i="22"/>
  <c r="AA72" i="22"/>
  <c r="AA66" i="22"/>
  <c r="AA65" i="22"/>
  <c r="AA63" i="22"/>
  <c r="AA62" i="22"/>
  <c r="AA54" i="22"/>
  <c r="AA53" i="22"/>
  <c r="AA52" i="22"/>
  <c r="AA45" i="22"/>
  <c r="AA35" i="22"/>
  <c r="AA33" i="22"/>
  <c r="AA27" i="22"/>
  <c r="AA24" i="22"/>
  <c r="AA19" i="22"/>
  <c r="AA18" i="22"/>
  <c r="AA17" i="22"/>
  <c r="AA13" i="22"/>
  <c r="AB221" i="22"/>
  <c r="AB219" i="22"/>
  <c r="AB216" i="22"/>
  <c r="AB214" i="22"/>
  <c r="AB212" i="22"/>
  <c r="AB210" i="22"/>
  <c r="AB207" i="22"/>
  <c r="AB204" i="22"/>
  <c r="AB200" i="22"/>
  <c r="AB198" i="22"/>
  <c r="AB186" i="22"/>
  <c r="AB184" i="22"/>
  <c r="AB182" i="22"/>
  <c r="AB180" i="22"/>
  <c r="AB172" i="22"/>
  <c r="AB171" i="22"/>
  <c r="AB168" i="22"/>
  <c r="AB165" i="22"/>
  <c r="AB159" i="22"/>
  <c r="AB156" i="22"/>
  <c r="AB155" i="22"/>
  <c r="AB146" i="22"/>
  <c r="AB144" i="22"/>
  <c r="AB139" i="22"/>
  <c r="AB137" i="22"/>
  <c r="AB126" i="22"/>
  <c r="AB124" i="22"/>
  <c r="AB121" i="22"/>
  <c r="AB119" i="22"/>
  <c r="AB114" i="22"/>
  <c r="AB111" i="22"/>
  <c r="AB110" i="22"/>
  <c r="AB107" i="22"/>
  <c r="AB101" i="22"/>
  <c r="AB96" i="22"/>
  <c r="AB94" i="22"/>
  <c r="AB92" i="22"/>
  <c r="AB90" i="22"/>
  <c r="AB84" i="22"/>
  <c r="AB83" i="22"/>
  <c r="AB81" i="22"/>
  <c r="AB78" i="22"/>
  <c r="AB72" i="22"/>
  <c r="AB66" i="22"/>
  <c r="AB65" i="22"/>
  <c r="AB63" i="22"/>
  <c r="AB62" i="22"/>
  <c r="AB54" i="22"/>
  <c r="AB53" i="22"/>
  <c r="AB52" i="22"/>
  <c r="AB45" i="22"/>
  <c r="AB35" i="22"/>
  <c r="AB33" i="22"/>
  <c r="AB27" i="22"/>
  <c r="AB24" i="22"/>
  <c r="AB19" i="22"/>
  <c r="AB18" i="22"/>
  <c r="AB17" i="22"/>
  <c r="AB13" i="22"/>
  <c r="Z221" i="22"/>
  <c r="Z219" i="22"/>
  <c r="Z216" i="22"/>
  <c r="Z214" i="22"/>
  <c r="Z212" i="22"/>
  <c r="Z210" i="22"/>
  <c r="Z207" i="22"/>
  <c r="Z204" i="22"/>
  <c r="Z200" i="22"/>
  <c r="Z198" i="22"/>
  <c r="Z186" i="22"/>
  <c r="Z184" i="22"/>
  <c r="Z182" i="22"/>
  <c r="Z180" i="22"/>
  <c r="Z178" i="22"/>
  <c r="Z172" i="22"/>
  <c r="Z171" i="22"/>
  <c r="Z168" i="22"/>
  <c r="Z165" i="22"/>
  <c r="Z159" i="22"/>
  <c r="Z156" i="22"/>
  <c r="Z155" i="22"/>
  <c r="Z146" i="22"/>
  <c r="Z144" i="22"/>
  <c r="Z139" i="22"/>
  <c r="Z137" i="22"/>
  <c r="Z126" i="22"/>
  <c r="Z124" i="22"/>
  <c r="Z121" i="22"/>
  <c r="Z120" i="22"/>
  <c r="Z119" i="22"/>
  <c r="Z114" i="22"/>
  <c r="Z111" i="22"/>
  <c r="Z110" i="22"/>
  <c r="Z107" i="22"/>
  <c r="Z101" i="22"/>
  <c r="Z96" i="22"/>
  <c r="Z94" i="22"/>
  <c r="Z92" i="22"/>
  <c r="Z90" i="22"/>
  <c r="Z84" i="22"/>
  <c r="Z83" i="22"/>
  <c r="Z81" i="22"/>
  <c r="Z78" i="22"/>
  <c r="Z72" i="22"/>
  <c r="Z66" i="22"/>
  <c r="Z65" i="22"/>
  <c r="Z63" i="22"/>
  <c r="Z62" i="22"/>
  <c r="Z54" i="22"/>
  <c r="Z53" i="22"/>
  <c r="Z52" i="22"/>
  <c r="Z45" i="22"/>
  <c r="Z35" i="22"/>
  <c r="Z33" i="22"/>
  <c r="Z27" i="22"/>
  <c r="Z24" i="22"/>
  <c r="Z19" i="22"/>
  <c r="Z18" i="22"/>
  <c r="Z17" i="22"/>
  <c r="Z13" i="22"/>
  <c r="Y221" i="22"/>
  <c r="Y219" i="22"/>
  <c r="Y216" i="22"/>
  <c r="Y214" i="22"/>
  <c r="Y212" i="22"/>
  <c r="Y210" i="22"/>
  <c r="Y207" i="22"/>
  <c r="Y204" i="22"/>
  <c r="Y200" i="22"/>
  <c r="Y198" i="22"/>
  <c r="Y186" i="22"/>
  <c r="Y184" i="22"/>
  <c r="Y182" i="22"/>
  <c r="Y180" i="22"/>
  <c r="Y178" i="22"/>
  <c r="Y172" i="22"/>
  <c r="Y171" i="22"/>
  <c r="Y168" i="22"/>
  <c r="Y165" i="22"/>
  <c r="Y159" i="22"/>
  <c r="Y156" i="22"/>
  <c r="Y155" i="22"/>
  <c r="Y146" i="22"/>
  <c r="Y144" i="22"/>
  <c r="Y139" i="22"/>
  <c r="Y137" i="22"/>
  <c r="Y126" i="22"/>
  <c r="Y124" i="22"/>
  <c r="Y121" i="22"/>
  <c r="Y120" i="22"/>
  <c r="Y119" i="22"/>
  <c r="Y114" i="22"/>
  <c r="Y111" i="22"/>
  <c r="Y110" i="22"/>
  <c r="Y107" i="22"/>
  <c r="Y101" i="22"/>
  <c r="Y96" i="22"/>
  <c r="Y94" i="22"/>
  <c r="Y92" i="22"/>
  <c r="Y90" i="22"/>
  <c r="Y84" i="22"/>
  <c r="Y83" i="22"/>
  <c r="Y81" i="22"/>
  <c r="Y78" i="22"/>
  <c r="Y72" i="22"/>
  <c r="Y66" i="22"/>
  <c r="Y65" i="22"/>
  <c r="Y63" i="22"/>
  <c r="Y62" i="22"/>
  <c r="Y54" i="22"/>
  <c r="Y53" i="22"/>
  <c r="Y52" i="22"/>
  <c r="Y45" i="22"/>
  <c r="Y35" i="22"/>
  <c r="Y33" i="22"/>
  <c r="Y27" i="22"/>
  <c r="Y24" i="22"/>
  <c r="Y19" i="22"/>
  <c r="Y18" i="22"/>
  <c r="Y17" i="22"/>
  <c r="Y13" i="22"/>
  <c r="X221" i="22"/>
  <c r="X219" i="22"/>
  <c r="X216" i="22"/>
  <c r="X214" i="22"/>
  <c r="X212" i="22"/>
  <c r="X210" i="22"/>
  <c r="X207" i="22"/>
  <c r="X204" i="22"/>
  <c r="X200" i="22"/>
  <c r="X198" i="22"/>
  <c r="X186" i="22"/>
  <c r="X184" i="22"/>
  <c r="X182" i="22"/>
  <c r="X180" i="22"/>
  <c r="X178" i="22"/>
  <c r="X172" i="22"/>
  <c r="X171" i="22"/>
  <c r="X168" i="22"/>
  <c r="X165" i="22"/>
  <c r="X159" i="22"/>
  <c r="X156" i="22"/>
  <c r="X155" i="22"/>
  <c r="X146" i="22"/>
  <c r="X144" i="22"/>
  <c r="X139" i="22"/>
  <c r="X137" i="22"/>
  <c r="X126" i="22"/>
  <c r="X124" i="22"/>
  <c r="X121" i="22"/>
  <c r="X120" i="22"/>
  <c r="X119" i="22"/>
  <c r="X114" i="22"/>
  <c r="X110" i="22"/>
  <c r="X107" i="22"/>
  <c r="X101" i="22"/>
  <c r="X96" i="22"/>
  <c r="X94" i="22"/>
  <c r="X92" i="22"/>
  <c r="X90" i="22"/>
  <c r="X84" i="22"/>
  <c r="X83" i="22"/>
  <c r="X81" i="22"/>
  <c r="X78" i="22"/>
  <c r="X72" i="22"/>
  <c r="X66" i="22"/>
  <c r="X65" i="22"/>
  <c r="X63" i="22"/>
  <c r="X62" i="22"/>
  <c r="X54" i="22"/>
  <c r="X53" i="22"/>
  <c r="X52" i="22"/>
  <c r="X45" i="22"/>
  <c r="X35" i="22"/>
  <c r="X33" i="22"/>
  <c r="X27" i="22"/>
  <c r="X24" i="22"/>
  <c r="X19" i="22"/>
  <c r="X18" i="22"/>
  <c r="X17" i="22"/>
  <c r="X13" i="22"/>
  <c r="W221" i="22"/>
  <c r="W219" i="22"/>
  <c r="W216" i="22"/>
  <c r="W214" i="22"/>
  <c r="W212" i="22"/>
  <c r="W210" i="22"/>
  <c r="W207" i="22"/>
  <c r="W204" i="22"/>
  <c r="W200" i="22"/>
  <c r="W198" i="22"/>
  <c r="W195" i="22"/>
  <c r="W186" i="22"/>
  <c r="W184" i="22"/>
  <c r="W182" i="22"/>
  <c r="W180" i="22"/>
  <c r="W178" i="22"/>
  <c r="W172" i="22"/>
  <c r="W171" i="22"/>
  <c r="W168" i="22"/>
  <c r="W165" i="22"/>
  <c r="W159" i="22"/>
  <c r="W156" i="22"/>
  <c r="W155" i="22"/>
  <c r="W146" i="22"/>
  <c r="W144" i="22"/>
  <c r="W139" i="22"/>
  <c r="W137" i="22"/>
  <c r="W126" i="22"/>
  <c r="W124" i="22"/>
  <c r="W121" i="22"/>
  <c r="W120" i="22"/>
  <c r="W119" i="22"/>
  <c r="W114" i="22"/>
  <c r="W110" i="22"/>
  <c r="W107" i="22"/>
  <c r="W101" i="22"/>
  <c r="W96" i="22"/>
  <c r="W94" i="22"/>
  <c r="W92" i="22"/>
  <c r="W84" i="22"/>
  <c r="W83" i="22"/>
  <c r="W81" i="22"/>
  <c r="W78" i="22"/>
  <c r="W72" i="22"/>
  <c r="W66" i="22"/>
  <c r="W65" i="22"/>
  <c r="W63" i="22"/>
  <c r="W62" i="22"/>
  <c r="W54" i="22"/>
  <c r="W53" i="22"/>
  <c r="W52" i="22"/>
  <c r="W45" i="22"/>
  <c r="W35" i="22"/>
  <c r="W33" i="22"/>
  <c r="W27" i="22"/>
  <c r="W24" i="22"/>
  <c r="W19" i="22"/>
  <c r="W18" i="22"/>
  <c r="W17" i="22"/>
  <c r="W13" i="22"/>
  <c r="V221" i="22"/>
  <c r="V219" i="22"/>
  <c r="V216" i="22"/>
  <c r="V214" i="22"/>
  <c r="V212" i="22"/>
  <c r="V210" i="22"/>
  <c r="V207" i="22"/>
  <c r="V204" i="22"/>
  <c r="V200" i="22"/>
  <c r="V198" i="22"/>
  <c r="V195" i="22"/>
  <c r="V193" i="22"/>
  <c r="V186" i="22"/>
  <c r="V184" i="22"/>
  <c r="V182" i="22"/>
  <c r="V180" i="22"/>
  <c r="V178" i="22"/>
  <c r="V172" i="22"/>
  <c r="V171" i="22"/>
  <c r="V168" i="22"/>
  <c r="V165" i="22"/>
  <c r="V159" i="22"/>
  <c r="V156" i="22"/>
  <c r="V155" i="22"/>
  <c r="V146" i="22"/>
  <c r="V144" i="22"/>
  <c r="V139" i="22"/>
  <c r="V137" i="22"/>
  <c r="V126" i="22"/>
  <c r="V124" i="22"/>
  <c r="V121" i="22"/>
  <c r="V120" i="22"/>
  <c r="V114" i="22"/>
  <c r="V110" i="22"/>
  <c r="V107" i="22"/>
  <c r="V101" i="22"/>
  <c r="V96" i="22"/>
  <c r="V94" i="22"/>
  <c r="V92" i="22"/>
  <c r="V84" i="22"/>
  <c r="V83" i="22"/>
  <c r="V81" i="22"/>
  <c r="V78" i="22"/>
  <c r="V72" i="22"/>
  <c r="V66" i="22"/>
  <c r="V65" i="22"/>
  <c r="V63" i="22"/>
  <c r="V62" i="22"/>
  <c r="V54" i="22"/>
  <c r="V53" i="22"/>
  <c r="V52" i="22"/>
  <c r="V45" i="22"/>
  <c r="V35" i="22"/>
  <c r="V33" i="22"/>
  <c r="V27" i="22"/>
  <c r="V24" i="22"/>
  <c r="V19" i="22"/>
  <c r="V18" i="22"/>
  <c r="V17" i="22"/>
  <c r="V13" i="22"/>
  <c r="T221" i="22"/>
  <c r="T219" i="22"/>
  <c r="T216" i="22"/>
  <c r="T214" i="22"/>
  <c r="T212" i="22"/>
  <c r="T210" i="22"/>
  <c r="T204" i="22"/>
  <c r="T200" i="22"/>
  <c r="T198" i="22"/>
  <c r="T195" i="22"/>
  <c r="T193" i="22"/>
  <c r="T188" i="22"/>
  <c r="T186" i="22"/>
  <c r="T184" i="22"/>
  <c r="T182" i="22"/>
  <c r="T180" i="22"/>
  <c r="T178" i="22"/>
  <c r="T172" i="22"/>
  <c r="T171" i="22"/>
  <c r="T168" i="22"/>
  <c r="T165" i="22"/>
  <c r="T159" i="22"/>
  <c r="T156" i="22"/>
  <c r="T155" i="22"/>
  <c r="T146" i="22"/>
  <c r="T144" i="22"/>
  <c r="T139" i="22"/>
  <c r="T137" i="22"/>
  <c r="T126" i="22"/>
  <c r="T124" i="22"/>
  <c r="T121" i="22"/>
  <c r="T114" i="22"/>
  <c r="T110" i="22"/>
  <c r="T107" i="22"/>
  <c r="T101" i="22"/>
  <c r="T96" i="22"/>
  <c r="T94" i="22"/>
  <c r="T92" i="22"/>
  <c r="T84" i="22"/>
  <c r="T83" i="22"/>
  <c r="T81" i="22"/>
  <c r="T78" i="22"/>
  <c r="T72" i="22"/>
  <c r="T66" i="22"/>
  <c r="T65" i="22"/>
  <c r="T63" i="22"/>
  <c r="T62" i="22"/>
  <c r="T45" i="22"/>
  <c r="T35" i="22"/>
  <c r="T33" i="22"/>
  <c r="T24" i="22"/>
  <c r="T19" i="22"/>
  <c r="T18" i="22"/>
  <c r="T17" i="22"/>
  <c r="T13" i="22"/>
  <c r="S221" i="22"/>
  <c r="S219" i="22"/>
  <c r="S216" i="22"/>
  <c r="S214" i="22"/>
  <c r="S212" i="22"/>
  <c r="S204" i="22"/>
  <c r="S200" i="22"/>
  <c r="S198" i="22"/>
  <c r="S195" i="22"/>
  <c r="S193" i="22"/>
  <c r="S188" i="22"/>
  <c r="S186" i="22"/>
  <c r="S184" i="22"/>
  <c r="S182" i="22"/>
  <c r="S180" i="22"/>
  <c r="S178" i="22"/>
  <c r="S172" i="22"/>
  <c r="S171" i="22"/>
  <c r="S165" i="22"/>
  <c r="S159" i="22"/>
  <c r="S156" i="22"/>
  <c r="S155" i="22"/>
  <c r="S146" i="22"/>
  <c r="S144" i="22"/>
  <c r="S139" i="22"/>
  <c r="S137" i="22"/>
  <c r="S126" i="22"/>
  <c r="S124" i="22"/>
  <c r="S110" i="22"/>
  <c r="S107" i="22"/>
  <c r="S101" i="22"/>
  <c r="S96" i="22"/>
  <c r="S94" i="22"/>
  <c r="S92" i="22"/>
  <c r="S84" i="22"/>
  <c r="S83" i="22"/>
  <c r="S81" i="22"/>
  <c r="S78" i="22"/>
  <c r="S72" i="22"/>
  <c r="S66" i="22"/>
  <c r="S65" i="22"/>
  <c r="S63" i="22"/>
  <c r="S62" i="22"/>
  <c r="S54" i="22"/>
  <c r="S53" i="22"/>
  <c r="S52" i="22"/>
  <c r="S35" i="22"/>
  <c r="S33" i="22"/>
  <c r="S24" i="22"/>
  <c r="S19" i="22"/>
  <c r="S18" i="22"/>
  <c r="S17" i="22"/>
  <c r="S13" i="22"/>
  <c r="R221" i="22"/>
  <c r="R219" i="22"/>
  <c r="R216" i="22"/>
  <c r="R214" i="22"/>
  <c r="R212" i="22"/>
  <c r="R204" i="22"/>
  <c r="R200" i="22"/>
  <c r="R198" i="22"/>
  <c r="R195" i="22"/>
  <c r="R193" i="22"/>
  <c r="R188" i="22"/>
  <c r="R186" i="22"/>
  <c r="R184" i="22"/>
  <c r="R182" i="22"/>
  <c r="R180" i="22"/>
  <c r="R178" i="22"/>
  <c r="R172" i="22"/>
  <c r="R171" i="22"/>
  <c r="R165" i="22"/>
  <c r="R159" i="22"/>
  <c r="R156" i="22"/>
  <c r="R146" i="22"/>
  <c r="R144" i="22"/>
  <c r="R139" i="22"/>
  <c r="R137" i="22"/>
  <c r="R126" i="22"/>
  <c r="R124" i="22"/>
  <c r="R110" i="22"/>
  <c r="R107" i="22"/>
  <c r="R101" i="22"/>
  <c r="R96" i="22"/>
  <c r="R94" i="22"/>
  <c r="R92" i="22"/>
  <c r="R84" i="22"/>
  <c r="R83" i="22"/>
  <c r="R81" i="22"/>
  <c r="R78" i="22"/>
  <c r="R72" i="22"/>
  <c r="R66" i="22"/>
  <c r="R65" i="22"/>
  <c r="R63" i="22"/>
  <c r="R62" i="22"/>
  <c r="R54" i="22"/>
  <c r="R53" i="22"/>
  <c r="R52" i="22"/>
  <c r="R35" i="22"/>
  <c r="R33" i="22"/>
  <c r="R24" i="22"/>
  <c r="R19" i="22"/>
  <c r="R17" i="22"/>
  <c r="R13" i="22"/>
  <c r="P221" i="22"/>
  <c r="P219" i="22"/>
  <c r="P216" i="22"/>
  <c r="P214" i="22"/>
  <c r="P204" i="22"/>
  <c r="P200" i="22"/>
  <c r="P198" i="22"/>
  <c r="P193" i="22"/>
  <c r="P188" i="22"/>
  <c r="P186" i="22"/>
  <c r="P184" i="22"/>
  <c r="P182" i="22"/>
  <c r="P180" i="22"/>
  <c r="P178" i="22"/>
  <c r="P172" i="22"/>
  <c r="P171" i="22"/>
  <c r="P165" i="22"/>
  <c r="P159" i="22"/>
  <c r="P156" i="22"/>
  <c r="P146" i="22"/>
  <c r="P144" i="22"/>
  <c r="P139" i="22"/>
  <c r="P137" i="22"/>
  <c r="P126" i="22"/>
  <c r="P124" i="22"/>
  <c r="P110" i="22"/>
  <c r="P107" i="22"/>
  <c r="P101" i="22"/>
  <c r="P96" i="22"/>
  <c r="P94" i="22"/>
  <c r="P92" i="22"/>
  <c r="P84" i="22"/>
  <c r="P83" i="22"/>
  <c r="P81" i="22"/>
  <c r="P78" i="22"/>
  <c r="P72" i="22"/>
  <c r="P66" i="22"/>
  <c r="P65" i="22"/>
  <c r="P63" i="22"/>
  <c r="P62" i="22"/>
  <c r="P54" i="22"/>
  <c r="P53" i="22"/>
  <c r="P52" i="22"/>
  <c r="P35" i="22"/>
  <c r="P33" i="22"/>
  <c r="P27" i="22"/>
  <c r="P24" i="22"/>
  <c r="P19" i="22"/>
  <c r="P17" i="22"/>
  <c r="P13" i="22"/>
  <c r="Q221" i="22"/>
  <c r="Q219" i="22"/>
  <c r="Q216" i="22"/>
  <c r="Q214" i="22"/>
  <c r="Q204" i="22"/>
  <c r="Q200" i="22"/>
  <c r="Q198" i="22"/>
  <c r="Q195" i="22"/>
  <c r="Q193" i="22"/>
  <c r="Q188" i="22"/>
  <c r="Q186" i="22"/>
  <c r="Q184" i="22"/>
  <c r="Q182" i="22"/>
  <c r="Q180" i="22"/>
  <c r="Q178" i="22"/>
  <c r="Q172" i="22"/>
  <c r="Q171" i="22"/>
  <c r="Q165" i="22"/>
  <c r="Q159" i="22"/>
  <c r="Q156" i="22"/>
  <c r="Q146" i="22"/>
  <c r="Q144" i="22"/>
  <c r="Q139" i="22"/>
  <c r="Q137" i="22"/>
  <c r="Q126" i="22"/>
  <c r="Q124" i="22"/>
  <c r="Q110" i="22"/>
  <c r="Q107" i="22"/>
  <c r="Q101" i="22"/>
  <c r="Q96" i="22"/>
  <c r="Q94" i="22"/>
  <c r="Q92" i="22"/>
  <c r="Q84" i="22"/>
  <c r="Q83" i="22"/>
  <c r="Q81" i="22"/>
  <c r="Q78" i="22"/>
  <c r="Q72" i="22"/>
  <c r="Q66" i="22"/>
  <c r="Q65" i="22"/>
  <c r="Q63" i="22"/>
  <c r="Q62" i="22"/>
  <c r="Q54" i="22"/>
  <c r="Q53" i="22"/>
  <c r="Q52" i="22"/>
  <c r="Q35" i="22"/>
  <c r="Q33" i="22"/>
  <c r="Q27" i="22"/>
  <c r="Q24" i="22"/>
  <c r="Q19" i="22"/>
  <c r="Q17" i="22"/>
  <c r="Q13" i="22"/>
  <c r="O221" i="22"/>
  <c r="O219" i="22"/>
  <c r="O216" i="22"/>
  <c r="O214" i="22"/>
  <c r="O204" i="22"/>
  <c r="O200" i="22"/>
  <c r="O198" i="22"/>
  <c r="O193" i="22"/>
  <c r="O188" i="22"/>
  <c r="O186" i="22"/>
  <c r="O184" i="22"/>
  <c r="O182" i="22"/>
  <c r="O180" i="22"/>
  <c r="O178" i="22"/>
  <c r="O171" i="22"/>
  <c r="O165" i="22"/>
  <c r="O159" i="22"/>
  <c r="O156" i="22"/>
  <c r="O146" i="22"/>
  <c r="O144" i="22"/>
  <c r="O139" i="22"/>
  <c r="O137" i="22"/>
  <c r="O126" i="22"/>
  <c r="O124" i="22"/>
  <c r="O110" i="22"/>
  <c r="O107" i="22"/>
  <c r="O101" i="22"/>
  <c r="O96" i="22"/>
  <c r="O94" i="22"/>
  <c r="O92" i="22"/>
  <c r="O84" i="22"/>
  <c r="O83" i="22"/>
  <c r="O81" i="22"/>
  <c r="O78" i="22"/>
  <c r="O72" i="22"/>
  <c r="O66" i="22"/>
  <c r="O65" i="22"/>
  <c r="O63" i="22"/>
  <c r="O62" i="22"/>
  <c r="O54" i="22"/>
  <c r="O53" i="22"/>
  <c r="O52" i="22"/>
  <c r="O35" i="22"/>
  <c r="O33" i="22"/>
  <c r="O27" i="22"/>
  <c r="O24" i="22"/>
  <c r="O19" i="22"/>
  <c r="O17" i="22"/>
  <c r="O13" i="22"/>
  <c r="N221" i="22"/>
  <c r="N219" i="22"/>
  <c r="N216" i="22"/>
  <c r="N214" i="22"/>
  <c r="N204" i="22"/>
  <c r="N200" i="22"/>
  <c r="N198" i="22"/>
  <c r="N193" i="22"/>
  <c r="N188" i="22"/>
  <c r="N186" i="22"/>
  <c r="N184" i="22"/>
  <c r="N182" i="22"/>
  <c r="N180" i="22"/>
  <c r="N178" i="22"/>
  <c r="N171" i="22"/>
  <c r="N165" i="22"/>
  <c r="N159" i="22"/>
  <c r="N156" i="22"/>
  <c r="N146" i="22"/>
  <c r="N144" i="22"/>
  <c r="N139" i="22"/>
  <c r="N137" i="22"/>
  <c r="N126" i="22"/>
  <c r="N124" i="22"/>
  <c r="N110" i="22"/>
  <c r="N107" i="22"/>
  <c r="N101" i="22"/>
  <c r="N96" i="22"/>
  <c r="N94" i="22"/>
  <c r="N92" i="22"/>
  <c r="N83" i="22"/>
  <c r="N81" i="22"/>
  <c r="N78" i="22"/>
  <c r="N72" i="22"/>
  <c r="N66" i="22"/>
  <c r="N65" i="22"/>
  <c r="N63" i="22"/>
  <c r="N62" i="22"/>
  <c r="N54" i="22"/>
  <c r="N53" i="22"/>
  <c r="N52" i="22"/>
  <c r="N35" i="22"/>
  <c r="N33" i="22"/>
  <c r="N24" i="22"/>
  <c r="N19" i="22"/>
  <c r="N17" i="22"/>
  <c r="M221" i="22"/>
  <c r="M219" i="22"/>
  <c r="M216" i="22"/>
  <c r="M214" i="22"/>
  <c r="M204" i="22"/>
  <c r="M200" i="22"/>
  <c r="M198" i="22"/>
  <c r="M188" i="22"/>
  <c r="M186" i="22"/>
  <c r="M184" i="22"/>
  <c r="M182" i="22"/>
  <c r="M180" i="22"/>
  <c r="M178" i="22"/>
  <c r="M171" i="22"/>
  <c r="M165" i="22"/>
  <c r="M159" i="22"/>
  <c r="M156" i="22"/>
  <c r="M146" i="22"/>
  <c r="M144" i="22"/>
  <c r="M139" i="22"/>
  <c r="M137" i="22"/>
  <c r="M126" i="22"/>
  <c r="M124" i="22"/>
  <c r="M110" i="22"/>
  <c r="M107" i="22"/>
  <c r="M101" i="22"/>
  <c r="M94" i="22"/>
  <c r="M92" i="22"/>
  <c r="M83" i="22"/>
  <c r="M81" i="22"/>
  <c r="M78" i="22"/>
  <c r="M72" i="22"/>
  <c r="M66" i="22"/>
  <c r="M65" i="22"/>
  <c r="M63" i="22"/>
  <c r="M62" i="22"/>
  <c r="M54" i="22"/>
  <c r="M53" i="22"/>
  <c r="M52" i="22"/>
  <c r="M35" i="22"/>
  <c r="M33" i="22"/>
  <c r="M24" i="22"/>
  <c r="M19" i="22"/>
  <c r="M17" i="22"/>
  <c r="L221" i="22"/>
  <c r="L219" i="22"/>
  <c r="L216" i="22"/>
  <c r="L214" i="22"/>
  <c r="L204" i="22"/>
  <c r="L200" i="22"/>
  <c r="L198" i="22"/>
  <c r="L188" i="22"/>
  <c r="L186" i="22"/>
  <c r="L184" i="22"/>
  <c r="L182" i="22"/>
  <c r="L180" i="22"/>
  <c r="L178" i="22"/>
  <c r="L171" i="22"/>
  <c r="L165" i="22"/>
  <c r="L159" i="22"/>
  <c r="L156" i="22"/>
  <c r="L146" i="22"/>
  <c r="L144" i="22"/>
  <c r="L139" i="22"/>
  <c r="L137" i="22"/>
  <c r="L126" i="22"/>
  <c r="L124" i="22"/>
  <c r="L110" i="22"/>
  <c r="L107" i="22"/>
  <c r="L94" i="22"/>
  <c r="L92" i="22"/>
  <c r="L83" i="22"/>
  <c r="L81" i="22"/>
  <c r="L78" i="22"/>
  <c r="L72" i="22"/>
  <c r="L66" i="22"/>
  <c r="L65" i="22"/>
  <c r="L63" i="22"/>
  <c r="L62" i="22"/>
  <c r="L54" i="22"/>
  <c r="L53" i="22"/>
  <c r="L52" i="22"/>
  <c r="L35" i="22"/>
  <c r="L33" i="22"/>
  <c r="L24" i="22"/>
  <c r="L19" i="22"/>
  <c r="L17" i="22"/>
  <c r="K221" i="22"/>
  <c r="K219" i="22"/>
  <c r="K216" i="22"/>
  <c r="K214" i="22"/>
  <c r="K204" i="22"/>
  <c r="K200" i="22"/>
  <c r="K198" i="22"/>
  <c r="K188" i="22"/>
  <c r="K186" i="22"/>
  <c r="K184" i="22"/>
  <c r="K182" i="22"/>
  <c r="K180" i="22"/>
  <c r="K178" i="22"/>
  <c r="K171" i="22"/>
  <c r="K165" i="22"/>
  <c r="K159" i="22"/>
  <c r="K156" i="22"/>
  <c r="K146" i="22"/>
  <c r="K144" i="22"/>
  <c r="K139" i="22"/>
  <c r="K137" i="22"/>
  <c r="K126" i="22"/>
  <c r="K124" i="22"/>
  <c r="K110" i="22"/>
  <c r="K107" i="22"/>
  <c r="K94" i="22"/>
  <c r="K92" i="22"/>
  <c r="K83" i="22"/>
  <c r="K81" i="22"/>
  <c r="K78" i="22"/>
  <c r="K66" i="22"/>
  <c r="K65" i="22"/>
  <c r="K63" i="22"/>
  <c r="K62" i="22"/>
  <c r="K54" i="22"/>
  <c r="K53" i="22"/>
  <c r="K52" i="22"/>
  <c r="K35" i="22"/>
  <c r="K33" i="22"/>
  <c r="K24" i="22"/>
  <c r="K19" i="22"/>
  <c r="K17" i="22"/>
  <c r="J221" i="22"/>
  <c r="J219" i="22"/>
  <c r="J216" i="22"/>
  <c r="J214" i="22"/>
  <c r="J204" i="22"/>
  <c r="J200" i="22"/>
  <c r="J198" i="22"/>
  <c r="J188" i="22"/>
  <c r="J186" i="22"/>
  <c r="J184" i="22"/>
  <c r="J182" i="22"/>
  <c r="J180" i="22"/>
  <c r="J178" i="22"/>
  <c r="J171" i="22"/>
  <c r="J165" i="22"/>
  <c r="J159" i="22"/>
  <c r="J156" i="22"/>
  <c r="J146" i="22"/>
  <c r="J144" i="22"/>
  <c r="J139" i="22"/>
  <c r="J137" i="22"/>
  <c r="J126" i="22"/>
  <c r="J124" i="22"/>
  <c r="J110" i="22"/>
  <c r="J107" i="22"/>
  <c r="J94" i="22"/>
  <c r="J92" i="22"/>
  <c r="J83" i="22"/>
  <c r="J81" i="22"/>
  <c r="J78" i="22"/>
  <c r="J66" i="22"/>
  <c r="J65" i="22"/>
  <c r="J63" i="22"/>
  <c r="J62" i="22"/>
  <c r="J54" i="22"/>
  <c r="J53" i="22"/>
  <c r="J52" i="22"/>
  <c r="J35" i="22"/>
  <c r="J33" i="22"/>
  <c r="J24" i="22"/>
  <c r="J19" i="22"/>
  <c r="J17" i="22"/>
  <c r="I221" i="22"/>
  <c r="I219" i="22"/>
  <c r="I216" i="22"/>
  <c r="I214" i="22"/>
  <c r="I204" i="22"/>
  <c r="I200" i="22"/>
  <c r="I198" i="22"/>
  <c r="I188" i="22"/>
  <c r="I186" i="22"/>
  <c r="I184" i="22"/>
  <c r="I182" i="22"/>
  <c r="I180" i="22"/>
  <c r="I178" i="22"/>
  <c r="I171" i="22"/>
  <c r="I165" i="22"/>
  <c r="I159" i="22"/>
  <c r="I156" i="22"/>
  <c r="I146" i="22"/>
  <c r="I144" i="22"/>
  <c r="I139" i="22"/>
  <c r="I137" i="22"/>
  <c r="I126" i="22"/>
  <c r="I124" i="22"/>
  <c r="I110" i="22"/>
  <c r="I107" i="22"/>
  <c r="I94" i="22"/>
  <c r="I92" i="22"/>
  <c r="I83" i="22"/>
  <c r="I81" i="22"/>
  <c r="I78" i="22"/>
  <c r="I66" i="22"/>
  <c r="I65" i="22"/>
  <c r="I63" i="22"/>
  <c r="I62" i="22"/>
  <c r="I54" i="22"/>
  <c r="I53" i="22"/>
  <c r="I52" i="22"/>
  <c r="I35" i="22"/>
  <c r="I24" i="22"/>
  <c r="I19" i="22"/>
  <c r="I17" i="22"/>
  <c r="H221" i="22"/>
  <c r="H219" i="22"/>
  <c r="H216" i="22"/>
  <c r="H214" i="22"/>
  <c r="H204" i="22"/>
  <c r="H200" i="22"/>
  <c r="H198" i="22"/>
  <c r="H188" i="22"/>
  <c r="H186" i="22"/>
  <c r="H184" i="22"/>
  <c r="H182" i="22"/>
  <c r="H180" i="22"/>
  <c r="H178" i="22"/>
  <c r="H171" i="22"/>
  <c r="H165" i="22"/>
  <c r="H159" i="22"/>
  <c r="H156" i="22"/>
  <c r="H146" i="22"/>
  <c r="H144" i="22"/>
  <c r="H139" i="22"/>
  <c r="H137" i="22"/>
  <c r="H126" i="22"/>
  <c r="H124" i="22"/>
  <c r="H110" i="22"/>
  <c r="H107" i="22"/>
  <c r="H94" i="22"/>
  <c r="H92" i="22"/>
  <c r="H83" i="22"/>
  <c r="H81" i="22"/>
  <c r="H78" i="22"/>
  <c r="H65" i="22"/>
  <c r="H63" i="22"/>
  <c r="H62" i="22"/>
  <c r="H54" i="22"/>
  <c r="H53" i="22"/>
  <c r="H52" i="22"/>
  <c r="H35" i="22"/>
  <c r="H24" i="22"/>
  <c r="H19" i="22"/>
  <c r="H17" i="22"/>
  <c r="G221" i="22"/>
  <c r="G219" i="22"/>
  <c r="G216" i="22"/>
  <c r="G214" i="22"/>
  <c r="G204" i="22"/>
  <c r="G200" i="22"/>
  <c r="G198" i="22"/>
  <c r="G188" i="22"/>
  <c r="G186" i="22"/>
  <c r="G184" i="22"/>
  <c r="G182" i="22"/>
  <c r="G180" i="22"/>
  <c r="G178" i="22"/>
  <c r="G171" i="22"/>
  <c r="G165" i="22"/>
  <c r="G159" i="22"/>
  <c r="G156" i="22"/>
  <c r="G146" i="22"/>
  <c r="G144" i="22"/>
  <c r="G139" i="22"/>
  <c r="G137" i="22"/>
  <c r="G126" i="22"/>
  <c r="G124" i="22"/>
  <c r="G110" i="22"/>
  <c r="G107" i="22"/>
  <c r="G94" i="22"/>
  <c r="G83" i="22"/>
  <c r="G81" i="22"/>
  <c r="G78" i="22"/>
  <c r="G62" i="22"/>
  <c r="G54" i="22"/>
  <c r="G53" i="22"/>
  <c r="G52" i="22"/>
  <c r="G35" i="22"/>
  <c r="G24" i="22"/>
  <c r="G17" i="22"/>
  <c r="BE46" i="22" l="1"/>
  <c r="BE130" i="7"/>
  <c r="BI28" i="22"/>
  <c r="BJ28" i="22"/>
  <c r="BL28" i="22"/>
  <c r="BK28" i="22"/>
  <c r="BK53" i="22"/>
  <c r="BJ53" i="22"/>
  <c r="BI53" i="22"/>
  <c r="BL53" i="22"/>
  <c r="BK67" i="22"/>
  <c r="BL67" i="22"/>
  <c r="BJ67" i="22"/>
  <c r="BI67" i="22"/>
  <c r="BK88" i="22"/>
  <c r="BJ88" i="22"/>
  <c r="BI88" i="22"/>
  <c r="BL88" i="22"/>
  <c r="BI20" i="22"/>
  <c r="BJ20" i="22"/>
  <c r="BL20" i="22"/>
  <c r="BK20" i="22"/>
  <c r="BK43" i="22"/>
  <c r="BJ43" i="22"/>
  <c r="BL43" i="22"/>
  <c r="BI43" i="22"/>
  <c r="BK64" i="22"/>
  <c r="BL64" i="22"/>
  <c r="BJ64" i="22"/>
  <c r="BI64" i="22"/>
  <c r="BK82" i="22"/>
  <c r="BJ82" i="22"/>
  <c r="BI82" i="22"/>
  <c r="BL82" i="22"/>
  <c r="BI17" i="22"/>
  <c r="BJ17" i="22"/>
  <c r="BL17" i="22"/>
  <c r="BK17" i="22"/>
  <c r="BI24" i="22"/>
  <c r="BL24" i="22"/>
  <c r="BK24" i="22"/>
  <c r="BJ24" i="22"/>
  <c r="BK35" i="22"/>
  <c r="BJ35" i="22"/>
  <c r="BI35" i="22"/>
  <c r="BL35" i="22"/>
  <c r="BK45" i="22"/>
  <c r="BL45" i="22"/>
  <c r="BJ45" i="22"/>
  <c r="BI45" i="22"/>
  <c r="BK55" i="22"/>
  <c r="BL55" i="22"/>
  <c r="BJ55" i="22"/>
  <c r="BI55" i="22"/>
  <c r="BK65" i="22"/>
  <c r="BI65" i="22"/>
  <c r="BL65" i="22"/>
  <c r="BJ65" i="22"/>
  <c r="BK72" i="22"/>
  <c r="BJ72" i="22"/>
  <c r="BI72" i="22"/>
  <c r="BL72" i="22"/>
  <c r="BK83" i="22"/>
  <c r="BL83" i="22"/>
  <c r="BJ83" i="22"/>
  <c r="BI83" i="22"/>
  <c r="BK92" i="22"/>
  <c r="BL92" i="22"/>
  <c r="BJ92" i="22"/>
  <c r="BI92" i="22"/>
  <c r="BI19" i="22"/>
  <c r="BJ19" i="22"/>
  <c r="BL19" i="22"/>
  <c r="BK19" i="22"/>
  <c r="BK41" i="22"/>
  <c r="BI41" i="22"/>
  <c r="BL41" i="22"/>
  <c r="BJ41" i="22"/>
  <c r="BK62" i="22"/>
  <c r="BL62" i="22"/>
  <c r="BJ62" i="22"/>
  <c r="BI62" i="22"/>
  <c r="BK80" i="22"/>
  <c r="BI80" i="22"/>
  <c r="BL80" i="22"/>
  <c r="BJ80" i="22"/>
  <c r="BK96" i="22"/>
  <c r="BJ96" i="22"/>
  <c r="BI96" i="22"/>
  <c r="BL96" i="22"/>
  <c r="BI13" i="22"/>
  <c r="BL13" i="22"/>
  <c r="BK13" i="22"/>
  <c r="BJ13" i="22"/>
  <c r="BI33" i="22"/>
  <c r="BL33" i="22"/>
  <c r="BK33" i="22"/>
  <c r="BJ33" i="22"/>
  <c r="BK54" i="22"/>
  <c r="BL54" i="22"/>
  <c r="BJ54" i="22"/>
  <c r="BI54" i="22"/>
  <c r="BK70" i="22"/>
  <c r="BI70" i="22"/>
  <c r="BL70" i="22"/>
  <c r="BJ70" i="22"/>
  <c r="BK90" i="22"/>
  <c r="BL90" i="22"/>
  <c r="BJ90" i="22"/>
  <c r="BI90" i="22"/>
  <c r="BI18" i="22"/>
  <c r="BL18" i="22"/>
  <c r="BK18" i="22"/>
  <c r="BJ18" i="22"/>
  <c r="BI27" i="22"/>
  <c r="BL27" i="22"/>
  <c r="BK27" i="22"/>
  <c r="BJ27" i="22"/>
  <c r="BK39" i="22"/>
  <c r="BI39" i="22"/>
  <c r="BL39" i="22"/>
  <c r="BJ39" i="22"/>
  <c r="BK52" i="22"/>
  <c r="BI52" i="22"/>
  <c r="BJ52" i="22"/>
  <c r="BL52" i="22"/>
  <c r="BK56" i="22"/>
  <c r="BI56" i="22"/>
  <c r="BJ56" i="22"/>
  <c r="BL56" i="22"/>
  <c r="BK66" i="22"/>
  <c r="BJ66" i="22"/>
  <c r="BI66" i="22"/>
  <c r="BL66" i="22"/>
  <c r="BL79" i="22"/>
  <c r="BJ79" i="22"/>
  <c r="BK84" i="22"/>
  <c r="BL84" i="22"/>
  <c r="BJ84" i="22"/>
  <c r="BI84" i="22"/>
  <c r="BK94" i="22"/>
  <c r="BI94" i="22"/>
  <c r="BL94" i="22"/>
  <c r="BJ94" i="22"/>
  <c r="F221" i="22"/>
  <c r="F219" i="22"/>
  <c r="F216" i="22"/>
  <c r="F214" i="22"/>
  <c r="F204" i="22"/>
  <c r="F200" i="22"/>
  <c r="F198" i="22"/>
  <c r="F188" i="22"/>
  <c r="F186" i="22"/>
  <c r="F184" i="22"/>
  <c r="F182" i="22"/>
  <c r="F180" i="22"/>
  <c r="F178" i="22"/>
  <c r="F171" i="22"/>
  <c r="F165" i="22"/>
  <c r="F159" i="22"/>
  <c r="F156" i="22"/>
  <c r="F146" i="22"/>
  <c r="F144" i="22"/>
  <c r="F139" i="22"/>
  <c r="F137" i="22"/>
  <c r="F126" i="22"/>
  <c r="F124" i="22"/>
  <c r="F110" i="22"/>
  <c r="F107" i="22"/>
  <c r="F94" i="22"/>
  <c r="F83" i="22"/>
  <c r="F81" i="22"/>
  <c r="F78" i="22"/>
  <c r="F62" i="22"/>
  <c r="F54" i="22"/>
  <c r="F53" i="22"/>
  <c r="F52" i="22"/>
  <c r="F35" i="22"/>
  <c r="F24" i="22"/>
  <c r="F17" i="22"/>
  <c r="E221" i="22"/>
  <c r="E219" i="22"/>
  <c r="E216" i="22"/>
  <c r="E214" i="22"/>
  <c r="E204" i="22"/>
  <c r="E200" i="22"/>
  <c r="E198" i="22"/>
  <c r="E188" i="22"/>
  <c r="E186" i="22"/>
  <c r="E184" i="22"/>
  <c r="E182" i="22"/>
  <c r="E180" i="22"/>
  <c r="E178" i="22"/>
  <c r="E171" i="22"/>
  <c r="E165" i="22"/>
  <c r="E159" i="22"/>
  <c r="E156" i="22"/>
  <c r="E146" i="22"/>
  <c r="E144" i="22"/>
  <c r="E139" i="22"/>
  <c r="E137" i="22"/>
  <c r="E126" i="22"/>
  <c r="E124" i="22"/>
  <c r="E110" i="22"/>
  <c r="E107" i="22"/>
  <c r="E94" i="22"/>
  <c r="E83" i="22"/>
  <c r="E81" i="22"/>
  <c r="E78" i="22"/>
  <c r="E62" i="22"/>
  <c r="E54" i="22"/>
  <c r="E53" i="22"/>
  <c r="E52" i="22"/>
  <c r="E35" i="22"/>
  <c r="E24" i="22"/>
  <c r="E17" i="22"/>
  <c r="D221" i="22"/>
  <c r="D219" i="22"/>
  <c r="D216" i="22"/>
  <c r="D214" i="22"/>
  <c r="D204" i="22"/>
  <c r="D200" i="22"/>
  <c r="D198" i="22"/>
  <c r="D188" i="22"/>
  <c r="D186" i="22"/>
  <c r="D184" i="22"/>
  <c r="D182" i="22"/>
  <c r="D180" i="22"/>
  <c r="D178" i="22"/>
  <c r="D171" i="22"/>
  <c r="D165" i="22"/>
  <c r="D159" i="22"/>
  <c r="D156" i="22"/>
  <c r="D146" i="22"/>
  <c r="D144" i="22"/>
  <c r="D139" i="22"/>
  <c r="D137" i="22"/>
  <c r="D126" i="22"/>
  <c r="D124" i="22"/>
  <c r="D110" i="22"/>
  <c r="D107" i="22"/>
  <c r="D94" i="22"/>
  <c r="D83" i="22"/>
  <c r="D78" i="22"/>
  <c r="D62" i="22"/>
  <c r="D54" i="22"/>
  <c r="D53" i="22"/>
  <c r="D52" i="22"/>
  <c r="D35" i="22"/>
  <c r="D24" i="22"/>
  <c r="D17" i="22"/>
  <c r="C221" i="22"/>
  <c r="C219" i="22"/>
  <c r="C216" i="22"/>
  <c r="C214" i="22"/>
  <c r="C204" i="22"/>
  <c r="C200" i="22"/>
  <c r="C198" i="22"/>
  <c r="C188" i="22"/>
  <c r="C186" i="22"/>
  <c r="C182" i="22"/>
  <c r="C180" i="22"/>
  <c r="C178" i="22"/>
  <c r="C171" i="22"/>
  <c r="C165" i="22"/>
  <c r="C159" i="22"/>
  <c r="C156" i="22"/>
  <c r="C146" i="22"/>
  <c r="C144" i="22"/>
  <c r="C139" i="22"/>
  <c r="C137" i="22"/>
  <c r="C126" i="22"/>
  <c r="C124" i="22"/>
  <c r="C110" i="22"/>
  <c r="C107" i="22"/>
  <c r="C94" i="22"/>
  <c r="C83" i="22"/>
  <c r="C78" i="22"/>
  <c r="C62" i="22"/>
  <c r="C54" i="22"/>
  <c r="C53" i="22"/>
  <c r="C52" i="22"/>
  <c r="C35" i="22"/>
  <c r="C24" i="22"/>
  <c r="C17" i="22"/>
  <c r="B221" i="22"/>
  <c r="B219" i="22"/>
  <c r="B216" i="22"/>
  <c r="B214" i="22"/>
  <c r="B204" i="22"/>
  <c r="B200" i="22"/>
  <c r="B198" i="22"/>
  <c r="B188" i="22"/>
  <c r="B186" i="22"/>
  <c r="B182" i="22"/>
  <c r="B180" i="22"/>
  <c r="B178" i="22"/>
  <c r="B171" i="22"/>
  <c r="B165" i="22"/>
  <c r="B159" i="22"/>
  <c r="B156" i="22"/>
  <c r="B146" i="22"/>
  <c r="B144" i="22"/>
  <c r="B139" i="22"/>
  <c r="B137" i="22"/>
  <c r="B126" i="22"/>
  <c r="B124" i="22"/>
  <c r="B110" i="22"/>
  <c r="B107" i="22"/>
  <c r="B94" i="22"/>
  <c r="B83" i="22"/>
  <c r="B78" i="22"/>
  <c r="B62" i="22"/>
  <c r="B54" i="22"/>
  <c r="B53" i="22"/>
  <c r="B52" i="22"/>
  <c r="B35" i="22"/>
  <c r="B24" i="22"/>
  <c r="BE129" i="22" l="1"/>
  <c r="BE224" i="7"/>
  <c r="BG173" i="8"/>
  <c r="BG157" i="8"/>
  <c r="BG140" i="8"/>
  <c r="BG122" i="8"/>
  <c r="BG116" i="8"/>
  <c r="BG84" i="8"/>
  <c r="BG56" i="8"/>
  <c r="BG35" i="8"/>
  <c r="BG21" i="8"/>
  <c r="BG201" i="8"/>
  <c r="BG201" i="7"/>
  <c r="BG173" i="7"/>
  <c r="BG157" i="7"/>
  <c r="BG140" i="7"/>
  <c r="BG123" i="7"/>
  <c r="BG117" i="7"/>
  <c r="BG85" i="7"/>
  <c r="BG57" i="7"/>
  <c r="BG36" i="7"/>
  <c r="BG30" i="7"/>
  <c r="BG21" i="7"/>
  <c r="BF21" i="7"/>
  <c r="BE224" i="22" l="1"/>
  <c r="BG201" i="22"/>
  <c r="BL201" i="7"/>
  <c r="BJ201" i="7"/>
  <c r="BL201" i="8"/>
  <c r="BJ201" i="8"/>
  <c r="BG173" i="22"/>
  <c r="BJ173" i="7"/>
  <c r="BL173" i="7"/>
  <c r="BG189" i="8"/>
  <c r="BL173" i="8"/>
  <c r="BJ173" i="8"/>
  <c r="BJ157" i="8"/>
  <c r="BL157" i="8"/>
  <c r="BG157" i="22"/>
  <c r="BL157" i="7"/>
  <c r="BJ157" i="7"/>
  <c r="BL140" i="8"/>
  <c r="BJ140" i="8"/>
  <c r="BG140" i="22"/>
  <c r="BJ140" i="7"/>
  <c r="BL140" i="7"/>
  <c r="BJ122" i="8"/>
  <c r="BL122" i="8"/>
  <c r="BG122" i="22"/>
  <c r="BJ123" i="7"/>
  <c r="BL123" i="7"/>
  <c r="BL116" i="8"/>
  <c r="BJ116" i="8"/>
  <c r="BG116" i="22"/>
  <c r="BL117" i="7"/>
  <c r="BJ117" i="7"/>
  <c r="BL84" i="8"/>
  <c r="BJ84" i="8"/>
  <c r="BG85" i="22"/>
  <c r="BJ85" i="7"/>
  <c r="BL85" i="7"/>
  <c r="BJ56" i="8"/>
  <c r="BL56" i="8"/>
  <c r="BG57" i="22"/>
  <c r="BL57" i="7"/>
  <c r="BJ57" i="7"/>
  <c r="BL35" i="8"/>
  <c r="BJ35" i="8"/>
  <c r="BG36" i="22"/>
  <c r="BL36" i="7"/>
  <c r="BJ36" i="7"/>
  <c r="BG30" i="22"/>
  <c r="BL30" i="7"/>
  <c r="BJ30" i="7"/>
  <c r="BL21" i="8"/>
  <c r="BJ21" i="8"/>
  <c r="BG21" i="22"/>
  <c r="BJ21" i="7"/>
  <c r="BL21" i="7"/>
  <c r="BF21" i="22"/>
  <c r="BK21" i="7"/>
  <c r="BI21" i="7"/>
  <c r="BG189" i="7"/>
  <c r="BG222" i="8"/>
  <c r="BG98" i="7"/>
  <c r="BG160" i="7"/>
  <c r="BG222" i="7"/>
  <c r="BG128" i="7"/>
  <c r="BG97" i="8"/>
  <c r="BG160" i="8"/>
  <c r="BG45" i="8"/>
  <c r="BG127" i="8"/>
  <c r="BG46" i="7"/>
  <c r="BG222" i="22" l="1"/>
  <c r="BL222" i="7"/>
  <c r="BJ222" i="7"/>
  <c r="BL201" i="22"/>
  <c r="BJ201" i="22"/>
  <c r="BL222" i="8"/>
  <c r="BJ222" i="8"/>
  <c r="BL173" i="22"/>
  <c r="BJ173" i="22"/>
  <c r="BL189" i="8"/>
  <c r="BJ189" i="8"/>
  <c r="BG189" i="22"/>
  <c r="BL189" i="7"/>
  <c r="BJ189" i="7"/>
  <c r="BJ157" i="22"/>
  <c r="BL157" i="22"/>
  <c r="BJ160" i="8"/>
  <c r="BL160" i="8"/>
  <c r="BG160" i="22"/>
  <c r="BJ160" i="7"/>
  <c r="BL160" i="7"/>
  <c r="BJ140" i="22"/>
  <c r="BL140" i="22"/>
  <c r="BJ122" i="22"/>
  <c r="BL122" i="22"/>
  <c r="BJ116" i="22"/>
  <c r="BL116" i="22"/>
  <c r="BJ127" i="8"/>
  <c r="BL127" i="8"/>
  <c r="BG127" i="22"/>
  <c r="BL128" i="7"/>
  <c r="BJ128" i="7"/>
  <c r="BJ97" i="8"/>
  <c r="BL97" i="8"/>
  <c r="BG97" i="22"/>
  <c r="BJ98" i="7"/>
  <c r="BL98" i="7"/>
  <c r="BL45" i="8"/>
  <c r="BJ45" i="8"/>
  <c r="BG46" i="22"/>
  <c r="BL46" i="7"/>
  <c r="BJ46" i="7"/>
  <c r="BL30" i="22"/>
  <c r="BJ30" i="22"/>
  <c r="BL85" i="22"/>
  <c r="BJ85" i="22"/>
  <c r="BI21" i="22"/>
  <c r="BK21" i="22"/>
  <c r="BL21" i="22"/>
  <c r="BJ21" i="22"/>
  <c r="BL36" i="22"/>
  <c r="BJ36" i="22"/>
  <c r="BJ57" i="22"/>
  <c r="BL57" i="22"/>
  <c r="BG223" i="7"/>
  <c r="BG223" i="8"/>
  <c r="BJ222" i="22" l="1"/>
  <c r="BL222" i="22"/>
  <c r="BJ189" i="22"/>
  <c r="BL189" i="22"/>
  <c r="BG223" i="22"/>
  <c r="BL223" i="7"/>
  <c r="BJ223" i="7"/>
  <c r="BJ160" i="22"/>
  <c r="BL160" i="22"/>
  <c r="BL127" i="22"/>
  <c r="BJ127" i="22"/>
  <c r="BL97" i="22"/>
  <c r="BJ97" i="22"/>
  <c r="BJ223" i="8"/>
  <c r="BL223" i="8"/>
  <c r="BL46" i="22"/>
  <c r="BJ46" i="22"/>
  <c r="BL223" i="22" l="1"/>
  <c r="BJ223" i="22"/>
  <c r="AY70" i="22" l="1"/>
  <c r="AY67" i="22"/>
  <c r="AY66" i="22"/>
  <c r="AY65" i="22"/>
  <c r="AY64" i="22"/>
  <c r="AY62" i="22"/>
  <c r="BD219" i="8" l="1"/>
  <c r="BD204" i="8"/>
  <c r="BD148" i="7" l="1"/>
  <c r="BD148" i="22" s="1"/>
  <c r="BD112" i="8" l="1"/>
  <c r="BD107" i="8" l="1"/>
  <c r="BD104" i="8"/>
  <c r="BD79" i="7"/>
  <c r="BD79" i="22" s="1"/>
  <c r="BD78" i="8"/>
  <c r="AZ56" i="7" l="1"/>
  <c r="AZ56" i="22" s="1"/>
  <c r="BA56" i="7"/>
  <c r="BA56" i="22" s="1"/>
  <c r="BB56" i="7"/>
  <c r="BB56" i="22" s="1"/>
  <c r="BC56" i="7"/>
  <c r="BC56" i="22" s="1"/>
  <c r="BD56" i="7"/>
  <c r="BD56" i="22" s="1"/>
  <c r="BK79" i="22" l="1"/>
  <c r="BI79" i="22"/>
  <c r="AZ53" i="7"/>
  <c r="AZ53" i="22" s="1"/>
  <c r="BA53" i="7"/>
  <c r="BA53" i="22" s="1"/>
  <c r="BB53" i="7"/>
  <c r="BB53" i="22" s="1"/>
  <c r="BC53" i="7"/>
  <c r="BC53" i="22" s="1"/>
  <c r="BD52" i="8" l="1"/>
  <c r="BD53" i="7"/>
  <c r="BD53" i="22" s="1"/>
  <c r="AZ52" i="7"/>
  <c r="AZ52" i="22" s="1"/>
  <c r="BA52" i="7"/>
  <c r="BA52" i="22" s="1"/>
  <c r="BC52" i="7"/>
  <c r="BC52" i="22" s="1"/>
  <c r="BB52" i="7"/>
  <c r="BB52" i="22" s="1"/>
  <c r="BD51" i="8"/>
  <c r="BD52" i="7"/>
  <c r="BD52" i="22" s="1"/>
  <c r="BD34" i="8" l="1"/>
  <c r="BD38" i="8" l="1"/>
  <c r="AZ24" i="7" l="1"/>
  <c r="AZ24" i="22" s="1"/>
  <c r="BA24" i="7"/>
  <c r="BA24" i="22" s="1"/>
  <c r="BB24" i="7"/>
  <c r="BB24" i="22" s="1"/>
  <c r="BC24" i="7"/>
  <c r="BC24" i="22" s="1"/>
  <c r="BF201" i="8" l="1"/>
  <c r="BF173" i="8"/>
  <c r="BF157" i="8"/>
  <c r="BF140" i="8"/>
  <c r="BF122" i="8"/>
  <c r="BF116" i="8"/>
  <c r="BF84" i="8"/>
  <c r="BF56" i="8"/>
  <c r="BF35" i="8"/>
  <c r="BF21" i="8"/>
  <c r="BF201" i="7"/>
  <c r="BF173" i="7"/>
  <c r="BF157" i="7"/>
  <c r="BF140" i="7"/>
  <c r="BF123" i="7"/>
  <c r="BF117" i="7"/>
  <c r="BF85" i="7"/>
  <c r="BF57" i="7"/>
  <c r="BF36" i="7"/>
  <c r="BF30" i="7"/>
  <c r="BF201" i="22" l="1"/>
  <c r="BK201" i="7"/>
  <c r="BI201" i="7"/>
  <c r="BK201" i="8"/>
  <c r="BI201" i="8"/>
  <c r="BF173" i="22"/>
  <c r="BK173" i="7"/>
  <c r="BI173" i="7"/>
  <c r="BK173" i="8"/>
  <c r="BI173" i="8"/>
  <c r="BK157" i="8"/>
  <c r="BI157" i="8"/>
  <c r="BF157" i="22"/>
  <c r="BI157" i="7"/>
  <c r="BK157" i="7"/>
  <c r="BK140" i="8"/>
  <c r="BI140" i="8"/>
  <c r="BF140" i="22"/>
  <c r="BK140" i="7"/>
  <c r="BI140" i="7"/>
  <c r="BI122" i="8"/>
  <c r="BK122" i="8"/>
  <c r="BF122" i="22"/>
  <c r="BI123" i="7"/>
  <c r="BK123" i="7"/>
  <c r="BI116" i="8"/>
  <c r="BK116" i="8"/>
  <c r="BF116" i="22"/>
  <c r="BI117" i="7"/>
  <c r="BK117" i="7"/>
  <c r="BI84" i="8"/>
  <c r="BK84" i="8"/>
  <c r="BF85" i="22"/>
  <c r="BI85" i="7"/>
  <c r="BK85" i="7"/>
  <c r="BI56" i="8"/>
  <c r="BK56" i="8"/>
  <c r="BF57" i="22"/>
  <c r="BK57" i="7"/>
  <c r="BI57" i="7"/>
  <c r="BK35" i="8"/>
  <c r="BI35" i="8"/>
  <c r="BF36" i="22"/>
  <c r="BI36" i="7"/>
  <c r="BK36" i="7"/>
  <c r="BF30" i="22"/>
  <c r="BI30" i="7"/>
  <c r="BK30" i="7"/>
  <c r="BK21" i="8"/>
  <c r="BI21" i="8"/>
  <c r="BF222" i="8"/>
  <c r="BF97" i="8"/>
  <c r="BF127" i="8"/>
  <c r="BF222" i="7"/>
  <c r="BF189" i="7"/>
  <c r="BF160" i="7"/>
  <c r="BF128" i="7"/>
  <c r="BF98" i="7"/>
  <c r="BF46" i="7"/>
  <c r="BF45" i="8"/>
  <c r="BF160" i="8"/>
  <c r="BF189" i="8"/>
  <c r="BF222" i="22" l="1"/>
  <c r="BK222" i="7"/>
  <c r="BI222" i="7"/>
  <c r="BI201" i="22"/>
  <c r="BK201" i="22"/>
  <c r="BK222" i="8"/>
  <c r="BI222" i="8"/>
  <c r="BK173" i="22"/>
  <c r="BI173" i="22"/>
  <c r="BF189" i="22"/>
  <c r="BK189" i="7"/>
  <c r="BI189" i="7"/>
  <c r="BK189" i="8"/>
  <c r="BI189" i="8"/>
  <c r="BK157" i="22"/>
  <c r="BI157" i="22"/>
  <c r="BI160" i="8"/>
  <c r="BK160" i="8"/>
  <c r="BF160" i="22"/>
  <c r="BI160" i="7"/>
  <c r="BK160" i="7"/>
  <c r="BI140" i="22"/>
  <c r="BK140" i="22"/>
  <c r="BI122" i="22"/>
  <c r="BK122" i="22"/>
  <c r="BK116" i="22"/>
  <c r="BI116" i="22"/>
  <c r="BF127" i="22"/>
  <c r="BI128" i="7"/>
  <c r="BK128" i="7"/>
  <c r="BK127" i="8"/>
  <c r="BI127" i="8"/>
  <c r="BK97" i="8"/>
  <c r="BI97" i="8"/>
  <c r="BF97" i="22"/>
  <c r="BK98" i="7"/>
  <c r="BI98" i="7"/>
  <c r="BI45" i="8"/>
  <c r="BK45" i="8"/>
  <c r="BF46" i="22"/>
  <c r="BI46" i="7"/>
  <c r="BK46" i="7"/>
  <c r="BK57" i="22"/>
  <c r="BI57" i="22"/>
  <c r="BK36" i="22"/>
  <c r="BI36" i="22"/>
  <c r="BI30" i="22"/>
  <c r="BK30" i="22"/>
  <c r="BK85" i="22"/>
  <c r="BI85" i="22"/>
  <c r="BF223" i="7"/>
  <c r="BF223" i="8"/>
  <c r="BC219" i="8"/>
  <c r="AW219" i="8"/>
  <c r="AV219" i="8"/>
  <c r="AR219" i="8"/>
  <c r="AP219" i="8"/>
  <c r="AW214" i="8"/>
  <c r="AR214" i="8"/>
  <c r="BB204" i="8"/>
  <c r="AW204" i="8"/>
  <c r="AV204" i="8"/>
  <c r="AR204" i="8"/>
  <c r="BE201" i="8"/>
  <c r="BD201" i="8"/>
  <c r="BD222" i="8" s="1"/>
  <c r="BC201" i="8"/>
  <c r="BB201" i="8"/>
  <c r="BA201" i="8"/>
  <c r="BA222" i="8" s="1"/>
  <c r="AZ201" i="8"/>
  <c r="AZ222" i="8" s="1"/>
  <c r="AY201" i="8"/>
  <c r="AY222" i="8" s="1"/>
  <c r="AX201" i="8"/>
  <c r="AX222" i="8" s="1"/>
  <c r="AW201" i="8"/>
  <c r="AV201" i="8"/>
  <c r="AU201" i="8"/>
  <c r="AU222" i="8" s="1"/>
  <c r="AT201" i="8"/>
  <c r="AT222" i="8" s="1"/>
  <c r="AS201" i="8"/>
  <c r="AS222" i="8" s="1"/>
  <c r="AR201" i="8"/>
  <c r="AQ201" i="8"/>
  <c r="AQ222" i="8" s="1"/>
  <c r="AP201" i="8"/>
  <c r="AO201" i="8"/>
  <c r="AO222" i="8" s="1"/>
  <c r="AN201" i="8"/>
  <c r="AN222" i="8" s="1"/>
  <c r="AM201" i="8"/>
  <c r="AM222" i="8" s="1"/>
  <c r="AL201" i="8"/>
  <c r="AL222" i="8" s="1"/>
  <c r="AK201" i="8"/>
  <c r="AK222" i="8" s="1"/>
  <c r="AJ201" i="8"/>
  <c r="AJ222" i="8" s="1"/>
  <c r="AI201" i="8"/>
  <c r="AI222" i="8" s="1"/>
  <c r="AH201" i="8"/>
  <c r="AH222" i="8" s="1"/>
  <c r="AG201" i="8"/>
  <c r="AG222" i="8" s="1"/>
  <c r="AF201" i="8"/>
  <c r="AF222" i="8" s="1"/>
  <c r="AE201" i="8"/>
  <c r="AE222" i="8" s="1"/>
  <c r="AD201" i="8"/>
  <c r="AD222" i="8" s="1"/>
  <c r="AC201" i="8"/>
  <c r="AC222" i="8" s="1"/>
  <c r="AB201" i="8"/>
  <c r="AB222" i="8" s="1"/>
  <c r="AA201" i="8"/>
  <c r="AA222" i="8" s="1"/>
  <c r="Z201" i="8"/>
  <c r="Z222" i="8" s="1"/>
  <c r="Y201" i="8"/>
  <c r="Y222" i="8" s="1"/>
  <c r="X201" i="8"/>
  <c r="X222" i="8" s="1"/>
  <c r="W201" i="8"/>
  <c r="W222" i="8" s="1"/>
  <c r="V201" i="8"/>
  <c r="V222" i="8" s="1"/>
  <c r="U201" i="8"/>
  <c r="U222" i="8" s="1"/>
  <c r="T201" i="8"/>
  <c r="T222" i="8" s="1"/>
  <c r="S201" i="8"/>
  <c r="S222" i="8" s="1"/>
  <c r="R201" i="8"/>
  <c r="R222" i="8" s="1"/>
  <c r="Q201" i="8"/>
  <c r="Q222" i="8" s="1"/>
  <c r="P201" i="8"/>
  <c r="P222" i="8" s="1"/>
  <c r="O201" i="8"/>
  <c r="O222" i="8" s="1"/>
  <c r="N201" i="8"/>
  <c r="N222" i="8" s="1"/>
  <c r="M201" i="8"/>
  <c r="M222" i="8" s="1"/>
  <c r="L201" i="8"/>
  <c r="K201" i="8"/>
  <c r="K222" i="8" s="1"/>
  <c r="J201" i="8"/>
  <c r="J222" i="8" s="1"/>
  <c r="I201" i="8"/>
  <c r="I222" i="8" s="1"/>
  <c r="H201" i="8"/>
  <c r="H222" i="8" s="1"/>
  <c r="G201" i="8"/>
  <c r="G222" i="8" s="1"/>
  <c r="F201" i="8"/>
  <c r="F222" i="8" s="1"/>
  <c r="E201" i="8"/>
  <c r="E222" i="8" s="1"/>
  <c r="D201" i="8"/>
  <c r="D222" i="8" s="1"/>
  <c r="C201" i="8"/>
  <c r="C222" i="8" s="1"/>
  <c r="B201" i="8"/>
  <c r="AW182" i="8"/>
  <c r="AV182" i="8"/>
  <c r="AR182" i="8"/>
  <c r="AQ182" i="8"/>
  <c r="AP182" i="8"/>
  <c r="BC180" i="8"/>
  <c r="BC176" i="8"/>
  <c r="AN176" i="8"/>
  <c r="AM176" i="8"/>
  <c r="BE173" i="8"/>
  <c r="BD173" i="8"/>
  <c r="BC173" i="8"/>
  <c r="BB173" i="8"/>
  <c r="BB189" i="8" s="1"/>
  <c r="BA173" i="8"/>
  <c r="BA189" i="8" s="1"/>
  <c r="AZ173" i="8"/>
  <c r="AY173" i="8"/>
  <c r="AY189" i="8" s="1"/>
  <c r="AX173" i="8"/>
  <c r="AX189" i="8" s="1"/>
  <c r="AW173" i="8"/>
  <c r="AV173" i="8"/>
  <c r="AU173" i="8"/>
  <c r="AU189" i="8" s="1"/>
  <c r="AT173" i="8"/>
  <c r="AT189" i="8" s="1"/>
  <c r="AS173" i="8"/>
  <c r="AS189" i="8" s="1"/>
  <c r="AR173" i="8"/>
  <c r="AQ173" i="8"/>
  <c r="AP173" i="8"/>
  <c r="AO173" i="8"/>
  <c r="AO189" i="8" s="1"/>
  <c r="AN173" i="8"/>
  <c r="AM173" i="8"/>
  <c r="AL173" i="8"/>
  <c r="AK173" i="8"/>
  <c r="AJ173" i="8"/>
  <c r="AJ189" i="8" s="1"/>
  <c r="AI173" i="8"/>
  <c r="AI189" i="8" s="1"/>
  <c r="AH173" i="8"/>
  <c r="AH189" i="8" s="1"/>
  <c r="AG173" i="8"/>
  <c r="AG189" i="8" s="1"/>
  <c r="AF173" i="8"/>
  <c r="AE173" i="8"/>
  <c r="AE189" i="8" s="1"/>
  <c r="AD173" i="8"/>
  <c r="AD189" i="8" s="1"/>
  <c r="AC173" i="8"/>
  <c r="AC189" i="8" s="1"/>
  <c r="AB173" i="8"/>
  <c r="AB189" i="8" s="1"/>
  <c r="AA173" i="8"/>
  <c r="AA189" i="8" s="1"/>
  <c r="Z173" i="8"/>
  <c r="Z189" i="8" s="1"/>
  <c r="Y173" i="8"/>
  <c r="Y189" i="8" s="1"/>
  <c r="X173" i="8"/>
  <c r="X189" i="8" s="1"/>
  <c r="V173" i="8"/>
  <c r="U173" i="8"/>
  <c r="U189" i="8" s="1"/>
  <c r="T173" i="8"/>
  <c r="T189" i="8" s="1"/>
  <c r="S173" i="8"/>
  <c r="S189" i="8" s="1"/>
  <c r="R173" i="8"/>
  <c r="R189" i="8" s="1"/>
  <c r="Q173" i="8"/>
  <c r="Q189" i="8" s="1"/>
  <c r="P173" i="8"/>
  <c r="P189" i="8" s="1"/>
  <c r="O173" i="8"/>
  <c r="O189" i="8" s="1"/>
  <c r="N173" i="8"/>
  <c r="N189" i="8" s="1"/>
  <c r="M173" i="8"/>
  <c r="M189" i="8" s="1"/>
  <c r="L173" i="8"/>
  <c r="K173" i="8"/>
  <c r="K189" i="8" s="1"/>
  <c r="J173" i="8"/>
  <c r="J189" i="8" s="1"/>
  <c r="I173" i="8"/>
  <c r="I189" i="8" s="1"/>
  <c r="H173" i="8"/>
  <c r="H189" i="8" s="1"/>
  <c r="G173" i="8"/>
  <c r="G189" i="8" s="1"/>
  <c r="F173" i="8"/>
  <c r="F189" i="8" s="1"/>
  <c r="E173" i="8"/>
  <c r="E189" i="8" s="1"/>
  <c r="D173" i="8"/>
  <c r="D189" i="8" s="1"/>
  <c r="C173" i="8"/>
  <c r="C189" i="8" s="1"/>
  <c r="B173" i="8"/>
  <c r="W172" i="8"/>
  <c r="W173" i="8" s="1"/>
  <c r="W189" i="8" s="1"/>
  <c r="AW168" i="8"/>
  <c r="AV168" i="8"/>
  <c r="AL168" i="8"/>
  <c r="AK168" i="8"/>
  <c r="BE157" i="8"/>
  <c r="BD157" i="8"/>
  <c r="BC157" i="8"/>
  <c r="BB157" i="8"/>
  <c r="BA157" i="8"/>
  <c r="AZ157" i="8"/>
  <c r="AY157" i="8"/>
  <c r="AX157" i="8"/>
  <c r="AW157" i="8"/>
  <c r="AV157" i="8"/>
  <c r="AU157" i="8"/>
  <c r="AT157" i="8"/>
  <c r="AS157" i="8"/>
  <c r="AR157" i="8"/>
  <c r="AQ157" i="8"/>
  <c r="AP157" i="8"/>
  <c r="AO157" i="8"/>
  <c r="AN157" i="8"/>
  <c r="AM157" i="8"/>
  <c r="AL157" i="8"/>
  <c r="AK157" i="8"/>
  <c r="AJ157" i="8"/>
  <c r="AI157" i="8"/>
  <c r="AH157" i="8"/>
  <c r="AG157" i="8"/>
  <c r="AF157" i="8"/>
  <c r="AE157" i="8"/>
  <c r="AD157" i="8"/>
  <c r="AC157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BE140" i="8"/>
  <c r="BD140" i="8"/>
  <c r="BC140" i="8"/>
  <c r="BB140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BC124" i="8"/>
  <c r="AW124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E122" i="8"/>
  <c r="AD122" i="8"/>
  <c r="AC122" i="8"/>
  <c r="AB122" i="8"/>
  <c r="AA122" i="8"/>
  <c r="Z122" i="8"/>
  <c r="Y122" i="8"/>
  <c r="X122" i="8"/>
  <c r="W122" i="8"/>
  <c r="V122" i="8"/>
  <c r="U122" i="8"/>
  <c r="AI119" i="8"/>
  <c r="AI122" i="8" s="1"/>
  <c r="AH119" i="8"/>
  <c r="AH122" i="8" s="1"/>
  <c r="AG119" i="8"/>
  <c r="AG122" i="8" s="1"/>
  <c r="AF119" i="8"/>
  <c r="BA116" i="8"/>
  <c r="AY116" i="8"/>
  <c r="AU116" i="8"/>
  <c r="AT116" i="8"/>
  <c r="AS116" i="8"/>
  <c r="AE116" i="8"/>
  <c r="X116" i="8"/>
  <c r="W116" i="8"/>
  <c r="V116" i="8"/>
  <c r="U116" i="8"/>
  <c r="T116" i="8"/>
  <c r="T127" i="8" s="1"/>
  <c r="S116" i="8"/>
  <c r="S127" i="8" s="1"/>
  <c r="R116" i="8"/>
  <c r="R127" i="8" s="1"/>
  <c r="Q116" i="8"/>
  <c r="Q127" i="8" s="1"/>
  <c r="P116" i="8"/>
  <c r="P127" i="8" s="1"/>
  <c r="O116" i="8"/>
  <c r="O127" i="8" s="1"/>
  <c r="N116" i="8"/>
  <c r="N127" i="8" s="1"/>
  <c r="M116" i="8"/>
  <c r="M127" i="8" s="1"/>
  <c r="L116" i="8"/>
  <c r="K116" i="8"/>
  <c r="K127" i="8" s="1"/>
  <c r="J116" i="8"/>
  <c r="J127" i="8" s="1"/>
  <c r="I116" i="8"/>
  <c r="I127" i="8" s="1"/>
  <c r="H116" i="8"/>
  <c r="H127" i="8" s="1"/>
  <c r="G116" i="8"/>
  <c r="G127" i="8" s="1"/>
  <c r="F116" i="8"/>
  <c r="F127" i="8" s="1"/>
  <c r="E116" i="8"/>
  <c r="E127" i="8" s="1"/>
  <c r="D116" i="8"/>
  <c r="D127" i="8" s="1"/>
  <c r="C116" i="8"/>
  <c r="C127" i="8" s="1"/>
  <c r="B116" i="8"/>
  <c r="AX114" i="8"/>
  <c r="AX116" i="8" s="1"/>
  <c r="AW114" i="8"/>
  <c r="AV114" i="8"/>
  <c r="BC112" i="8"/>
  <c r="BC116" i="8" s="1"/>
  <c r="BB112" i="8"/>
  <c r="BB111" i="8"/>
  <c r="AZ111" i="8"/>
  <c r="AZ116" i="8" s="1"/>
  <c r="AW111" i="8"/>
  <c r="AV111" i="8"/>
  <c r="AR111" i="8"/>
  <c r="AR116" i="8" s="1"/>
  <c r="AQ111" i="8"/>
  <c r="AQ116" i="8" s="1"/>
  <c r="AP111" i="8"/>
  <c r="AO111" i="8"/>
  <c r="AO116" i="8" s="1"/>
  <c r="AN111" i="8"/>
  <c r="AN116" i="8" s="1"/>
  <c r="AM111" i="8"/>
  <c r="AM116" i="8" s="1"/>
  <c r="AL111" i="8"/>
  <c r="AL116" i="8" s="1"/>
  <c r="AK111" i="8"/>
  <c r="AK116" i="8" s="1"/>
  <c r="AJ111" i="8"/>
  <c r="AJ116" i="8" s="1"/>
  <c r="AI111" i="8"/>
  <c r="AI116" i="8" s="1"/>
  <c r="AH111" i="8"/>
  <c r="AH116" i="8" s="1"/>
  <c r="AG111" i="8"/>
  <c r="AG116" i="8" s="1"/>
  <c r="AF111" i="8"/>
  <c r="AD111" i="8"/>
  <c r="AD116" i="8" s="1"/>
  <c r="AC111" i="8"/>
  <c r="AC116" i="8" s="1"/>
  <c r="AB111" i="8"/>
  <c r="AB116" i="8" s="1"/>
  <c r="AA111" i="8"/>
  <c r="AA116" i="8" s="1"/>
  <c r="Z111" i="8"/>
  <c r="Z116" i="8" s="1"/>
  <c r="Y111" i="8"/>
  <c r="Y116" i="8" s="1"/>
  <c r="BC107" i="8"/>
  <c r="BB107" i="8"/>
  <c r="BC104" i="8"/>
  <c r="BB104" i="8"/>
  <c r="AW104" i="8"/>
  <c r="AV104" i="8"/>
  <c r="AR104" i="8"/>
  <c r="BB84" i="8"/>
  <c r="BB97" i="8" s="1"/>
  <c r="BA84" i="8"/>
  <c r="BA97" i="8" s="1"/>
  <c r="AZ84" i="8"/>
  <c r="AY84" i="8"/>
  <c r="AY97" i="8" s="1"/>
  <c r="AX84" i="8"/>
  <c r="AX97" i="8" s="1"/>
  <c r="AV84" i="8"/>
  <c r="AV97" i="8" s="1"/>
  <c r="AU84" i="8"/>
  <c r="AU97" i="8" s="1"/>
  <c r="AT84" i="8"/>
  <c r="AT97" i="8" s="1"/>
  <c r="AS84" i="8"/>
  <c r="AS97" i="8" s="1"/>
  <c r="AR84" i="8"/>
  <c r="AR97" i="8" s="1"/>
  <c r="AO84" i="8"/>
  <c r="AO97" i="8" s="1"/>
  <c r="AN84" i="8"/>
  <c r="AN97" i="8" s="1"/>
  <c r="AM84" i="8"/>
  <c r="AM97" i="8" s="1"/>
  <c r="AL84" i="8"/>
  <c r="AL97" i="8" s="1"/>
  <c r="AK84" i="8"/>
  <c r="AK97" i="8" s="1"/>
  <c r="AJ84" i="8"/>
  <c r="AJ97" i="8" s="1"/>
  <c r="AI84" i="8"/>
  <c r="AI97" i="8" s="1"/>
  <c r="AH84" i="8"/>
  <c r="AH97" i="8" s="1"/>
  <c r="AG84" i="8"/>
  <c r="AG97" i="8" s="1"/>
  <c r="AF84" i="8"/>
  <c r="AE84" i="8"/>
  <c r="AE97" i="8" s="1"/>
  <c r="AD84" i="8"/>
  <c r="AD97" i="8" s="1"/>
  <c r="AC84" i="8"/>
  <c r="AC97" i="8" s="1"/>
  <c r="AB84" i="8"/>
  <c r="AB97" i="8" s="1"/>
  <c r="AA84" i="8"/>
  <c r="AA97" i="8" s="1"/>
  <c r="Z84" i="8"/>
  <c r="Z97" i="8" s="1"/>
  <c r="Y84" i="8"/>
  <c r="Y97" i="8" s="1"/>
  <c r="X84" i="8"/>
  <c r="X97" i="8" s="1"/>
  <c r="W84" i="8"/>
  <c r="W97" i="8" s="1"/>
  <c r="V84" i="8"/>
  <c r="U84" i="8"/>
  <c r="U97" i="8" s="1"/>
  <c r="T84" i="8"/>
  <c r="T97" i="8" s="1"/>
  <c r="S84" i="8"/>
  <c r="S97" i="8" s="1"/>
  <c r="R84" i="8"/>
  <c r="R97" i="8" s="1"/>
  <c r="Q84" i="8"/>
  <c r="Q97" i="8" s="1"/>
  <c r="P84" i="8"/>
  <c r="P97" i="8" s="1"/>
  <c r="O84" i="8"/>
  <c r="O97" i="8" s="1"/>
  <c r="N84" i="8"/>
  <c r="N97" i="8" s="1"/>
  <c r="M84" i="8"/>
  <c r="M97" i="8" s="1"/>
  <c r="L84" i="8"/>
  <c r="K84" i="8"/>
  <c r="K97" i="8" s="1"/>
  <c r="J84" i="8"/>
  <c r="J97" i="8" s="1"/>
  <c r="I84" i="8"/>
  <c r="I97" i="8" s="1"/>
  <c r="H84" i="8"/>
  <c r="H97" i="8" s="1"/>
  <c r="G84" i="8"/>
  <c r="G97" i="8" s="1"/>
  <c r="F84" i="8"/>
  <c r="F97" i="8" s="1"/>
  <c r="E84" i="8"/>
  <c r="E97" i="8" s="1"/>
  <c r="D84" i="8"/>
  <c r="D97" i="8" s="1"/>
  <c r="C84" i="8"/>
  <c r="C97" i="8" s="1"/>
  <c r="B84" i="8"/>
  <c r="BC83" i="8"/>
  <c r="AW83" i="8"/>
  <c r="AW84" i="8" s="1"/>
  <c r="AW97" i="8" s="1"/>
  <c r="AQ83" i="8"/>
  <c r="AQ84" i="8" s="1"/>
  <c r="AQ97" i="8" s="1"/>
  <c r="AP83" i="8"/>
  <c r="BC69" i="8"/>
  <c r="AQ69" i="8"/>
  <c r="AP69" i="8"/>
  <c r="AT65" i="8"/>
  <c r="AT67" i="8" s="1"/>
  <c r="BA56" i="8"/>
  <c r="AZ56" i="8"/>
  <c r="AY56" i="8"/>
  <c r="AX56" i="8"/>
  <c r="AV56" i="8"/>
  <c r="AU56" i="8"/>
  <c r="AT56" i="8"/>
  <c r="AS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O56" i="8"/>
  <c r="N56" i="8"/>
  <c r="K56" i="8"/>
  <c r="J56" i="8"/>
  <c r="I56" i="8"/>
  <c r="H56" i="8"/>
  <c r="G56" i="8"/>
  <c r="F56" i="8"/>
  <c r="E56" i="8"/>
  <c r="D56" i="8"/>
  <c r="C56" i="8"/>
  <c r="B56" i="8"/>
  <c r="AR55" i="8"/>
  <c r="BC52" i="8"/>
  <c r="BB52" i="8"/>
  <c r="AW52" i="8"/>
  <c r="AR52" i="8"/>
  <c r="BC51" i="8"/>
  <c r="BB51" i="8"/>
  <c r="AW51" i="8"/>
  <c r="AR51" i="8"/>
  <c r="AQ51" i="8"/>
  <c r="AQ56" i="8" s="1"/>
  <c r="AP51" i="8"/>
  <c r="AO51" i="8"/>
  <c r="AO56" i="8" s="1"/>
  <c r="AN51" i="8"/>
  <c r="AN56" i="8" s="1"/>
  <c r="AM51" i="8"/>
  <c r="AM56" i="8" s="1"/>
  <c r="AL51" i="8"/>
  <c r="AL56" i="8" s="1"/>
  <c r="AK51" i="8"/>
  <c r="AK56" i="8" s="1"/>
  <c r="AJ51" i="8"/>
  <c r="AJ56" i="8" s="1"/>
  <c r="AI51" i="8"/>
  <c r="AI56" i="8" s="1"/>
  <c r="AH51" i="8"/>
  <c r="AH56" i="8" s="1"/>
  <c r="P51" i="8"/>
  <c r="P56" i="8" s="1"/>
  <c r="M51" i="8"/>
  <c r="M56" i="8" s="1"/>
  <c r="L51" i="8"/>
  <c r="BC38" i="8"/>
  <c r="BB38" i="8"/>
  <c r="AS38" i="8"/>
  <c r="AR38" i="8"/>
  <c r="BE35" i="8"/>
  <c r="BD35" i="8"/>
  <c r="BC35" i="8"/>
  <c r="BB35" i="8"/>
  <c r="BA35" i="8"/>
  <c r="AZ35" i="8"/>
  <c r="AY35" i="8"/>
  <c r="AX35" i="8"/>
  <c r="AV35" i="8"/>
  <c r="AU35" i="8"/>
  <c r="AT35" i="8"/>
  <c r="AS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W34" i="8"/>
  <c r="AW35" i="8" s="1"/>
  <c r="AR34" i="8"/>
  <c r="AR35" i="8" s="1"/>
  <c r="AQ34" i="8"/>
  <c r="AQ35" i="8" s="1"/>
  <c r="AP34" i="8"/>
  <c r="AW24" i="8"/>
  <c r="AV24" i="8"/>
  <c r="BE21" i="8"/>
  <c r="BD21" i="8"/>
  <c r="BC21" i="8"/>
  <c r="BB21" i="8"/>
  <c r="BA21" i="8"/>
  <c r="AZ21" i="8"/>
  <c r="AY21" i="8"/>
  <c r="AX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W19" i="8"/>
  <c r="AV19" i="8"/>
  <c r="AW18" i="8"/>
  <c r="AW21" i="8" s="1"/>
  <c r="AV18" i="8"/>
  <c r="AY221" i="22"/>
  <c r="AY219" i="22"/>
  <c r="AY216" i="22"/>
  <c r="AY214" i="22"/>
  <c r="AY212" i="22"/>
  <c r="AY210" i="22"/>
  <c r="AY207" i="22"/>
  <c r="AY204" i="22"/>
  <c r="AY200" i="22"/>
  <c r="AY199" i="22"/>
  <c r="AY198" i="22"/>
  <c r="AY184" i="22"/>
  <c r="AY182" i="22"/>
  <c r="AY180" i="22"/>
  <c r="AY176" i="22"/>
  <c r="AY171" i="22"/>
  <c r="AY168" i="22"/>
  <c r="AY165" i="22"/>
  <c r="AY159" i="22"/>
  <c r="AY156" i="22"/>
  <c r="AY155" i="22"/>
  <c r="AY152" i="22"/>
  <c r="AY150" i="22"/>
  <c r="AY146" i="22"/>
  <c r="AY144" i="22"/>
  <c r="AY139" i="22"/>
  <c r="AY138" i="22"/>
  <c r="AY137" i="22"/>
  <c r="AY126" i="22"/>
  <c r="AY124" i="22"/>
  <c r="AY121" i="22"/>
  <c r="AY120" i="22"/>
  <c r="AY119" i="22"/>
  <c r="AY115" i="22"/>
  <c r="AY114" i="22"/>
  <c r="AY113" i="22"/>
  <c r="AY111" i="22"/>
  <c r="AY110" i="22"/>
  <c r="AY107" i="22"/>
  <c r="AY104" i="22"/>
  <c r="AY101" i="22"/>
  <c r="AY96" i="22"/>
  <c r="AY94" i="22"/>
  <c r="AY92" i="22"/>
  <c r="AY90" i="22"/>
  <c r="AY88" i="22"/>
  <c r="AY84" i="22"/>
  <c r="AY83" i="22"/>
  <c r="AY82" i="22"/>
  <c r="AY78" i="22"/>
  <c r="AY72" i="22"/>
  <c r="AY56" i="22"/>
  <c r="AY55" i="22"/>
  <c r="AY54" i="22"/>
  <c r="AY53" i="22"/>
  <c r="AY52" i="22"/>
  <c r="AY45" i="22"/>
  <c r="AY43" i="22"/>
  <c r="AY41" i="22"/>
  <c r="AY39" i="22"/>
  <c r="AY35" i="22"/>
  <c r="AY34" i="22"/>
  <c r="AY33" i="22"/>
  <c r="AY28" i="22"/>
  <c r="AY27" i="22"/>
  <c r="AY24" i="22"/>
  <c r="AY20" i="22"/>
  <c r="AY19" i="22"/>
  <c r="AY18" i="22"/>
  <c r="AY17" i="22"/>
  <c r="AY13" i="22"/>
  <c r="BD201" i="7"/>
  <c r="BD201" i="22" s="1"/>
  <c r="BC201" i="7"/>
  <c r="BC201" i="22" s="1"/>
  <c r="BB201" i="7"/>
  <c r="BA201" i="7"/>
  <c r="BA201" i="22" s="1"/>
  <c r="AZ201" i="7"/>
  <c r="AY201" i="7"/>
  <c r="AX201" i="7"/>
  <c r="AX201" i="22" s="1"/>
  <c r="AW201" i="7"/>
  <c r="AW201" i="22" s="1"/>
  <c r="AV201" i="7"/>
  <c r="AV201" i="22" s="1"/>
  <c r="AU201" i="7"/>
  <c r="AU201" i="22" s="1"/>
  <c r="AT201" i="7"/>
  <c r="AT201" i="22" s="1"/>
  <c r="AS201" i="7"/>
  <c r="AS201" i="22" s="1"/>
  <c r="AR201" i="7"/>
  <c r="AR201" i="22" s="1"/>
  <c r="AQ201" i="7"/>
  <c r="AQ201" i="22" s="1"/>
  <c r="AP201" i="7"/>
  <c r="AP201" i="22" s="1"/>
  <c r="AO201" i="7"/>
  <c r="AO201" i="22" s="1"/>
  <c r="AN201" i="7"/>
  <c r="AN201" i="22" s="1"/>
  <c r="AM201" i="7"/>
  <c r="AM201" i="22" s="1"/>
  <c r="AL201" i="7"/>
  <c r="AL201" i="22" s="1"/>
  <c r="AK201" i="7"/>
  <c r="AK201" i="22" s="1"/>
  <c r="AJ201" i="7"/>
  <c r="AJ201" i="22" s="1"/>
  <c r="AI201" i="7"/>
  <c r="AI201" i="22" s="1"/>
  <c r="AH201" i="7"/>
  <c r="AH201" i="22" s="1"/>
  <c r="AG201" i="7"/>
  <c r="AG201" i="22" s="1"/>
  <c r="AF201" i="7"/>
  <c r="AE201" i="7"/>
  <c r="AE201" i="22" s="1"/>
  <c r="AD201" i="7"/>
  <c r="AD201" i="22" s="1"/>
  <c r="AC201" i="7"/>
  <c r="AC201" i="22" s="1"/>
  <c r="AB201" i="7"/>
  <c r="AB201" i="22" s="1"/>
  <c r="AA201" i="7"/>
  <c r="AA201" i="22" s="1"/>
  <c r="Z201" i="7"/>
  <c r="Z201" i="22" s="1"/>
  <c r="Y201" i="7"/>
  <c r="Y201" i="22" s="1"/>
  <c r="X201" i="7"/>
  <c r="X201" i="22" s="1"/>
  <c r="W201" i="7"/>
  <c r="W201" i="22" s="1"/>
  <c r="V201" i="7"/>
  <c r="U201" i="7"/>
  <c r="U201" i="22" s="1"/>
  <c r="T201" i="7"/>
  <c r="S201" i="7"/>
  <c r="S201" i="22" s="1"/>
  <c r="R201" i="7"/>
  <c r="Q201" i="7"/>
  <c r="Q201" i="22" s="1"/>
  <c r="P201" i="7"/>
  <c r="O201" i="7"/>
  <c r="O201" i="22" s="1"/>
  <c r="N201" i="7"/>
  <c r="N201" i="22" s="1"/>
  <c r="M201" i="7"/>
  <c r="M201" i="22" s="1"/>
  <c r="L201" i="7"/>
  <c r="K201" i="7"/>
  <c r="K201" i="22" s="1"/>
  <c r="J201" i="7"/>
  <c r="J201" i="22" s="1"/>
  <c r="I201" i="7"/>
  <c r="I201" i="22" s="1"/>
  <c r="H201" i="7"/>
  <c r="H201" i="22" s="1"/>
  <c r="G201" i="7"/>
  <c r="F201" i="7"/>
  <c r="F201" i="22" s="1"/>
  <c r="E201" i="7"/>
  <c r="E201" i="22" s="1"/>
  <c r="D201" i="7"/>
  <c r="D201" i="22" s="1"/>
  <c r="C201" i="7"/>
  <c r="C201" i="22" s="1"/>
  <c r="B201" i="7"/>
  <c r="B222" i="7" s="1"/>
  <c r="BC180" i="7"/>
  <c r="BC180" i="22" s="1"/>
  <c r="BC176" i="7"/>
  <c r="BC176" i="22" s="1"/>
  <c r="BD173" i="7"/>
  <c r="BD173" i="22" s="1"/>
  <c r="BC173" i="7"/>
  <c r="BC173" i="22" s="1"/>
  <c r="BB173" i="7"/>
  <c r="BB173" i="22" s="1"/>
  <c r="BA173" i="7"/>
  <c r="BA173" i="22" s="1"/>
  <c r="AZ173" i="7"/>
  <c r="AZ173" i="22" s="1"/>
  <c r="AY173" i="7"/>
  <c r="AY173" i="22" s="1"/>
  <c r="AX173" i="7"/>
  <c r="AX173" i="22" s="1"/>
  <c r="AW173" i="7"/>
  <c r="AW173" i="22" s="1"/>
  <c r="AV173" i="7"/>
  <c r="AV173" i="22" s="1"/>
  <c r="AU173" i="7"/>
  <c r="AU173" i="22" s="1"/>
  <c r="AT173" i="7"/>
  <c r="AT173" i="22" s="1"/>
  <c r="AS173" i="7"/>
  <c r="AS173" i="22" s="1"/>
  <c r="AR173" i="7"/>
  <c r="AR173" i="22" s="1"/>
  <c r="AQ173" i="7"/>
  <c r="AQ173" i="22" s="1"/>
  <c r="AP173" i="7"/>
  <c r="AP173" i="22" s="1"/>
  <c r="AO173" i="7"/>
  <c r="AN173" i="7"/>
  <c r="AN173" i="22" s="1"/>
  <c r="AM173" i="7"/>
  <c r="AM173" i="22" s="1"/>
  <c r="AL173" i="7"/>
  <c r="AL173" i="22" s="1"/>
  <c r="AK173" i="7"/>
  <c r="AK173" i="22" s="1"/>
  <c r="AJ173" i="7"/>
  <c r="AJ173" i="22" s="1"/>
  <c r="AI173" i="7"/>
  <c r="AI173" i="22" s="1"/>
  <c r="AH173" i="7"/>
  <c r="AH173" i="22" s="1"/>
  <c r="AG173" i="7"/>
  <c r="AG173" i="22" s="1"/>
  <c r="AF173" i="7"/>
  <c r="AF173" i="22" s="1"/>
  <c r="AE173" i="7"/>
  <c r="AE173" i="22" s="1"/>
  <c r="AD173" i="7"/>
  <c r="AD173" i="22" s="1"/>
  <c r="AC173" i="7"/>
  <c r="AC173" i="22" s="1"/>
  <c r="AB173" i="7"/>
  <c r="AB173" i="22" s="1"/>
  <c r="AA173" i="7"/>
  <c r="AA173" i="22" s="1"/>
  <c r="Z173" i="7"/>
  <c r="Z173" i="22" s="1"/>
  <c r="Y173" i="7"/>
  <c r="Y173" i="22" s="1"/>
  <c r="X173" i="7"/>
  <c r="X173" i="22" s="1"/>
  <c r="W173" i="7"/>
  <c r="W173" i="22" s="1"/>
  <c r="V173" i="7"/>
  <c r="U173" i="7"/>
  <c r="U173" i="22" s="1"/>
  <c r="T173" i="7"/>
  <c r="T173" i="22" s="1"/>
  <c r="S173" i="7"/>
  <c r="S173" i="22" s="1"/>
  <c r="R173" i="7"/>
  <c r="R173" i="22" s="1"/>
  <c r="Q173" i="7"/>
  <c r="Q173" i="22" s="1"/>
  <c r="P173" i="7"/>
  <c r="P173" i="22" s="1"/>
  <c r="O173" i="7"/>
  <c r="O173" i="22" s="1"/>
  <c r="N173" i="7"/>
  <c r="N173" i="22" s="1"/>
  <c r="M173" i="7"/>
  <c r="M173" i="22" s="1"/>
  <c r="L173" i="7"/>
  <c r="L173" i="22" s="1"/>
  <c r="K173" i="7"/>
  <c r="K173" i="22" s="1"/>
  <c r="J173" i="7"/>
  <c r="J173" i="22" s="1"/>
  <c r="I173" i="7"/>
  <c r="H173" i="7"/>
  <c r="H173" i="22" s="1"/>
  <c r="G173" i="7"/>
  <c r="G173" i="22" s="1"/>
  <c r="F173" i="7"/>
  <c r="F173" i="22" s="1"/>
  <c r="E173" i="7"/>
  <c r="E173" i="22" s="1"/>
  <c r="D173" i="7"/>
  <c r="D173" i="22" s="1"/>
  <c r="C173" i="7"/>
  <c r="C173" i="22" s="1"/>
  <c r="B173" i="7"/>
  <c r="BD157" i="7"/>
  <c r="BD157" i="22" s="1"/>
  <c r="BC157" i="7"/>
  <c r="BC157" i="22" s="1"/>
  <c r="BB157" i="7"/>
  <c r="BB157" i="22" s="1"/>
  <c r="BA157" i="7"/>
  <c r="BA157" i="22" s="1"/>
  <c r="AZ157" i="7"/>
  <c r="AY157" i="7"/>
  <c r="AY157" i="22" s="1"/>
  <c r="AX157" i="7"/>
  <c r="AX157" i="22" s="1"/>
  <c r="AW157" i="7"/>
  <c r="AW157" i="22" s="1"/>
  <c r="AV157" i="7"/>
  <c r="AV157" i="22" s="1"/>
  <c r="AU157" i="7"/>
  <c r="AU157" i="22" s="1"/>
  <c r="AT157" i="7"/>
  <c r="AT157" i="22" s="1"/>
  <c r="AS157" i="7"/>
  <c r="AS157" i="22" s="1"/>
  <c r="AR157" i="7"/>
  <c r="AR157" i="22" s="1"/>
  <c r="AQ157" i="7"/>
  <c r="AQ157" i="22" s="1"/>
  <c r="AP157" i="7"/>
  <c r="AP157" i="22" s="1"/>
  <c r="AO157" i="7"/>
  <c r="AO157" i="22" s="1"/>
  <c r="AN157" i="7"/>
  <c r="AN157" i="22" s="1"/>
  <c r="AM157" i="7"/>
  <c r="AM157" i="22" s="1"/>
  <c r="AL157" i="7"/>
  <c r="AL157" i="22" s="1"/>
  <c r="AK157" i="7"/>
  <c r="AK157" i="22" s="1"/>
  <c r="AJ157" i="7"/>
  <c r="AJ157" i="22" s="1"/>
  <c r="AI157" i="7"/>
  <c r="AI157" i="22" s="1"/>
  <c r="AH157" i="7"/>
  <c r="AH157" i="22" s="1"/>
  <c r="AG157" i="7"/>
  <c r="AG157" i="22" s="1"/>
  <c r="AF157" i="7"/>
  <c r="AF157" i="22" s="1"/>
  <c r="AE157" i="7"/>
  <c r="AE157" i="22" s="1"/>
  <c r="AD157" i="7"/>
  <c r="AD157" i="22" s="1"/>
  <c r="AC157" i="7"/>
  <c r="AC157" i="22" s="1"/>
  <c r="AB157" i="7"/>
  <c r="AB157" i="22" s="1"/>
  <c r="AA157" i="7"/>
  <c r="AA157" i="22" s="1"/>
  <c r="Z157" i="7"/>
  <c r="Z157" i="22" s="1"/>
  <c r="Y157" i="7"/>
  <c r="Y157" i="22" s="1"/>
  <c r="X157" i="7"/>
  <c r="X157" i="22" s="1"/>
  <c r="W157" i="7"/>
  <c r="W157" i="22" s="1"/>
  <c r="V157" i="7"/>
  <c r="V157" i="22" s="1"/>
  <c r="U157" i="7"/>
  <c r="U157" i="22" s="1"/>
  <c r="T157" i="7"/>
  <c r="T157" i="22" s="1"/>
  <c r="S157" i="7"/>
  <c r="S157" i="22" s="1"/>
  <c r="R157" i="7"/>
  <c r="R157" i="22" s="1"/>
  <c r="Q157" i="7"/>
  <c r="Q157" i="22" s="1"/>
  <c r="P157" i="7"/>
  <c r="P157" i="22" s="1"/>
  <c r="O157" i="7"/>
  <c r="O157" i="22" s="1"/>
  <c r="N157" i="7"/>
  <c r="N157" i="22" s="1"/>
  <c r="M157" i="7"/>
  <c r="M157" i="22" s="1"/>
  <c r="L157" i="7"/>
  <c r="K157" i="7"/>
  <c r="K157" i="22" s="1"/>
  <c r="J157" i="7"/>
  <c r="J157" i="22" s="1"/>
  <c r="I157" i="7"/>
  <c r="I157" i="22" s="1"/>
  <c r="H157" i="7"/>
  <c r="H157" i="22" s="1"/>
  <c r="G157" i="7"/>
  <c r="G157" i="22" s="1"/>
  <c r="F157" i="7"/>
  <c r="F157" i="22" s="1"/>
  <c r="E157" i="7"/>
  <c r="E157" i="22" s="1"/>
  <c r="D157" i="7"/>
  <c r="D157" i="22" s="1"/>
  <c r="C157" i="7"/>
  <c r="C157" i="22" s="1"/>
  <c r="B157" i="7"/>
  <c r="BC148" i="7"/>
  <c r="BC148" i="22" s="1"/>
  <c r="BA148" i="7"/>
  <c r="BA148" i="22" s="1"/>
  <c r="AZ148" i="7"/>
  <c r="AY148" i="7"/>
  <c r="AY148" i="22" s="1"/>
  <c r="AX148" i="7"/>
  <c r="AX148" i="22" s="1"/>
  <c r="BD140" i="7"/>
  <c r="BD140" i="22" s="1"/>
  <c r="BC140" i="7"/>
  <c r="BC140" i="22" s="1"/>
  <c r="BB140" i="7"/>
  <c r="BB140" i="22" s="1"/>
  <c r="BA140" i="7"/>
  <c r="BA140" i="22" s="1"/>
  <c r="AY140" i="7"/>
  <c r="AY140" i="22" s="1"/>
  <c r="AX140" i="7"/>
  <c r="AX140" i="22" s="1"/>
  <c r="AW140" i="7"/>
  <c r="AW140" i="22" s="1"/>
  <c r="AV140" i="7"/>
  <c r="AV140" i="22" s="1"/>
  <c r="AU140" i="7"/>
  <c r="AU140" i="22" s="1"/>
  <c r="AT140" i="7"/>
  <c r="AT140" i="22" s="1"/>
  <c r="AS140" i="7"/>
  <c r="AS140" i="22" s="1"/>
  <c r="AR140" i="7"/>
  <c r="AR140" i="22" s="1"/>
  <c r="AQ140" i="7"/>
  <c r="AQ140" i="22" s="1"/>
  <c r="AP140" i="7"/>
  <c r="AP140" i="22" s="1"/>
  <c r="AO140" i="7"/>
  <c r="AO140" i="22" s="1"/>
  <c r="AN140" i="7"/>
  <c r="AN140" i="22" s="1"/>
  <c r="AM140" i="7"/>
  <c r="AM140" i="22" s="1"/>
  <c r="AL140" i="7"/>
  <c r="AL140" i="22" s="1"/>
  <c r="AK140" i="7"/>
  <c r="AK140" i="22" s="1"/>
  <c r="AJ140" i="7"/>
  <c r="AJ140" i="22" s="1"/>
  <c r="AI140" i="7"/>
  <c r="AI140" i="22" s="1"/>
  <c r="AH140" i="7"/>
  <c r="AH140" i="22" s="1"/>
  <c r="AG140" i="7"/>
  <c r="AG140" i="22" s="1"/>
  <c r="AF140" i="7"/>
  <c r="AF140" i="22" s="1"/>
  <c r="AE140" i="7"/>
  <c r="AE140" i="22" s="1"/>
  <c r="AD140" i="7"/>
  <c r="AD140" i="22" s="1"/>
  <c r="AC140" i="7"/>
  <c r="AC140" i="22" s="1"/>
  <c r="AB140" i="7"/>
  <c r="AB140" i="22" s="1"/>
  <c r="AA140" i="7"/>
  <c r="AA140" i="22" s="1"/>
  <c r="Z140" i="7"/>
  <c r="Z140" i="22" s="1"/>
  <c r="Y140" i="7"/>
  <c r="Y140" i="22" s="1"/>
  <c r="X140" i="7"/>
  <c r="X140" i="22" s="1"/>
  <c r="W140" i="7"/>
  <c r="W140" i="22" s="1"/>
  <c r="V140" i="7"/>
  <c r="V140" i="22" s="1"/>
  <c r="U140" i="7"/>
  <c r="U140" i="22" s="1"/>
  <c r="T140" i="7"/>
  <c r="T140" i="22" s="1"/>
  <c r="S140" i="7"/>
  <c r="S140" i="22" s="1"/>
  <c r="R140" i="7"/>
  <c r="R140" i="22" s="1"/>
  <c r="Q140" i="7"/>
  <c r="Q140" i="22" s="1"/>
  <c r="P140" i="7"/>
  <c r="P140" i="22" s="1"/>
  <c r="O140" i="7"/>
  <c r="O140" i="22" s="1"/>
  <c r="N140" i="7"/>
  <c r="N140" i="22" s="1"/>
  <c r="M140" i="7"/>
  <c r="M140" i="22" s="1"/>
  <c r="L140" i="7"/>
  <c r="L140" i="22" s="1"/>
  <c r="K140" i="7"/>
  <c r="K140" i="22" s="1"/>
  <c r="J140" i="7"/>
  <c r="J140" i="22" s="1"/>
  <c r="I140" i="7"/>
  <c r="I140" i="22" s="1"/>
  <c r="H140" i="7"/>
  <c r="H140" i="22" s="1"/>
  <c r="G140" i="7"/>
  <c r="G140" i="22" s="1"/>
  <c r="F140" i="7"/>
  <c r="F140" i="22" s="1"/>
  <c r="E140" i="7"/>
  <c r="E140" i="22" s="1"/>
  <c r="D140" i="7"/>
  <c r="D140" i="22" s="1"/>
  <c r="C140" i="7"/>
  <c r="C140" i="22" s="1"/>
  <c r="B140" i="7"/>
  <c r="BD123" i="7"/>
  <c r="BD122" i="22" s="1"/>
  <c r="BC123" i="7"/>
  <c r="BC122" i="22" s="1"/>
  <c r="BB123" i="7"/>
  <c r="BB122" i="22" s="1"/>
  <c r="BA123" i="7"/>
  <c r="BA122" i="22" s="1"/>
  <c r="AZ123" i="7"/>
  <c r="AZ122" i="22" s="1"/>
  <c r="AY123" i="7"/>
  <c r="AY122" i="22" s="1"/>
  <c r="AX123" i="7"/>
  <c r="AX122" i="22" s="1"/>
  <c r="AW123" i="7"/>
  <c r="AW122" i="22" s="1"/>
  <c r="AV123" i="7"/>
  <c r="AV122" i="22" s="1"/>
  <c r="AU123" i="7"/>
  <c r="AU122" i="22" s="1"/>
  <c r="AT123" i="7"/>
  <c r="AT122" i="22" s="1"/>
  <c r="AS123" i="7"/>
  <c r="AS122" i="22" s="1"/>
  <c r="AR123" i="7"/>
  <c r="AR122" i="22" s="1"/>
  <c r="AQ123" i="7"/>
  <c r="AQ122" i="22" s="1"/>
  <c r="AP123" i="7"/>
  <c r="AP122" i="22" s="1"/>
  <c r="AO123" i="7"/>
  <c r="AO122" i="22" s="1"/>
  <c r="AN123" i="7"/>
  <c r="AN122" i="22" s="1"/>
  <c r="AM123" i="7"/>
  <c r="AM122" i="22" s="1"/>
  <c r="AL123" i="7"/>
  <c r="AL122" i="22" s="1"/>
  <c r="AK123" i="7"/>
  <c r="AK122" i="22" s="1"/>
  <c r="AJ123" i="7"/>
  <c r="AJ122" i="22" s="1"/>
  <c r="AI123" i="7"/>
  <c r="AI122" i="22" s="1"/>
  <c r="AH123" i="7"/>
  <c r="AH122" i="22" s="1"/>
  <c r="AG123" i="7"/>
  <c r="AG122" i="22" s="1"/>
  <c r="AF123" i="7"/>
  <c r="AF122" i="22" s="1"/>
  <c r="AE123" i="7"/>
  <c r="AE122" i="22" s="1"/>
  <c r="AD123" i="7"/>
  <c r="AD122" i="22" s="1"/>
  <c r="AC123" i="7"/>
  <c r="AC122" i="22" s="1"/>
  <c r="AB123" i="7"/>
  <c r="AB122" i="22" s="1"/>
  <c r="AA123" i="7"/>
  <c r="AA122" i="22" s="1"/>
  <c r="Z123" i="7"/>
  <c r="Z122" i="22" s="1"/>
  <c r="Y123" i="7"/>
  <c r="Y122" i="22" s="1"/>
  <c r="X123" i="7"/>
  <c r="X122" i="22" s="1"/>
  <c r="W123" i="7"/>
  <c r="W122" i="22" s="1"/>
  <c r="V123" i="7"/>
  <c r="U123" i="7"/>
  <c r="U122" i="22" s="1"/>
  <c r="T123" i="7"/>
  <c r="T122" i="22" s="1"/>
  <c r="BD117" i="7"/>
  <c r="BD116" i="22" s="1"/>
  <c r="BC117" i="7"/>
  <c r="BC116" i="22" s="1"/>
  <c r="BB117" i="7"/>
  <c r="BB116" i="22" s="1"/>
  <c r="BA117" i="7"/>
  <c r="BA116" i="22" s="1"/>
  <c r="AZ117" i="7"/>
  <c r="AY117" i="7"/>
  <c r="AY116" i="22" s="1"/>
  <c r="AX117" i="7"/>
  <c r="AX116" i="22" s="1"/>
  <c r="AU117" i="7"/>
  <c r="AU116" i="22" s="1"/>
  <c r="AT117" i="7"/>
  <c r="AT116" i="22" s="1"/>
  <c r="AS117" i="7"/>
  <c r="AS116" i="22" s="1"/>
  <c r="AR117" i="7"/>
  <c r="AR116" i="22" s="1"/>
  <c r="AQ117" i="7"/>
  <c r="AQ116" i="22" s="1"/>
  <c r="AP117" i="7"/>
  <c r="AP116" i="22" s="1"/>
  <c r="AO117" i="7"/>
  <c r="AO116" i="22" s="1"/>
  <c r="AN117" i="7"/>
  <c r="AN116" i="22" s="1"/>
  <c r="AM117" i="7"/>
  <c r="AM116" i="22" s="1"/>
  <c r="AL117" i="7"/>
  <c r="AL116" i="22" s="1"/>
  <c r="AK117" i="7"/>
  <c r="AK116" i="22" s="1"/>
  <c r="AJ117" i="7"/>
  <c r="AJ116" i="22" s="1"/>
  <c r="AI117" i="7"/>
  <c r="AI116" i="22" s="1"/>
  <c r="AH117" i="7"/>
  <c r="AH116" i="22" s="1"/>
  <c r="AG117" i="7"/>
  <c r="AG116" i="22" s="1"/>
  <c r="AF117" i="7"/>
  <c r="AE117" i="7"/>
  <c r="AE116" i="22" s="1"/>
  <c r="AD117" i="7"/>
  <c r="AD116" i="22" s="1"/>
  <c r="AC117" i="7"/>
  <c r="AC116" i="22" s="1"/>
  <c r="AB117" i="7"/>
  <c r="AB116" i="22" s="1"/>
  <c r="Z117" i="7"/>
  <c r="Z116" i="22" s="1"/>
  <c r="Y117" i="7"/>
  <c r="Y116" i="22" s="1"/>
  <c r="X117" i="7"/>
  <c r="X116" i="22" s="1"/>
  <c r="W117" i="7"/>
  <c r="W116" i="22" s="1"/>
  <c r="V117" i="7"/>
  <c r="V116" i="22" s="1"/>
  <c r="U117" i="7"/>
  <c r="U116" i="22" s="1"/>
  <c r="T117" i="7"/>
  <c r="T116" i="22" s="1"/>
  <c r="S117" i="7"/>
  <c r="S116" i="22" s="1"/>
  <c r="R117" i="7"/>
  <c r="R116" i="22" s="1"/>
  <c r="Q117" i="7"/>
  <c r="Q116" i="22" s="1"/>
  <c r="P117" i="7"/>
  <c r="O117" i="7"/>
  <c r="O116" i="22" s="1"/>
  <c r="N117" i="7"/>
  <c r="N116" i="22" s="1"/>
  <c r="M117" i="7"/>
  <c r="M116" i="22" s="1"/>
  <c r="L117" i="7"/>
  <c r="K117" i="7"/>
  <c r="K116" i="22" s="1"/>
  <c r="J117" i="7"/>
  <c r="J116" i="22" s="1"/>
  <c r="I117" i="7"/>
  <c r="I116" i="22" s="1"/>
  <c r="H117" i="7"/>
  <c r="H116" i="22" s="1"/>
  <c r="G117" i="7"/>
  <c r="G116" i="22" s="1"/>
  <c r="F117" i="7"/>
  <c r="F116" i="22" s="1"/>
  <c r="E117" i="7"/>
  <c r="E116" i="22" s="1"/>
  <c r="D117" i="7"/>
  <c r="C117" i="7"/>
  <c r="C116" i="22" s="1"/>
  <c r="B117" i="7"/>
  <c r="AW115" i="7"/>
  <c r="AW114" i="22" s="1"/>
  <c r="AV115" i="7"/>
  <c r="AV114" i="22" s="1"/>
  <c r="AA112" i="7"/>
  <c r="AA111" i="22" s="1"/>
  <c r="BD85" i="7"/>
  <c r="BD85" i="22" s="1"/>
  <c r="BC85" i="7"/>
  <c r="BC85" i="22" s="1"/>
  <c r="BB85" i="7"/>
  <c r="BB85" i="22" s="1"/>
  <c r="BA85" i="7"/>
  <c r="BA85" i="22" s="1"/>
  <c r="AZ85" i="7"/>
  <c r="AZ85" i="22" s="1"/>
  <c r="AY85" i="7"/>
  <c r="AY85" i="22" s="1"/>
  <c r="AX85" i="7"/>
  <c r="AW85" i="7"/>
  <c r="AW85" i="22" s="1"/>
  <c r="AV85" i="7"/>
  <c r="AV85" i="22" s="1"/>
  <c r="AU85" i="7"/>
  <c r="AU85" i="22" s="1"/>
  <c r="AT85" i="7"/>
  <c r="AS85" i="7"/>
  <c r="AS85" i="22" s="1"/>
  <c r="AR85" i="7"/>
  <c r="AR85" i="22" s="1"/>
  <c r="AQ85" i="7"/>
  <c r="AP85" i="7"/>
  <c r="AO85" i="7"/>
  <c r="AO85" i="22" s="1"/>
  <c r="AN85" i="7"/>
  <c r="AN85" i="22" s="1"/>
  <c r="AM85" i="7"/>
  <c r="AM85" i="22" s="1"/>
  <c r="AL85" i="7"/>
  <c r="AL85" i="22" s="1"/>
  <c r="AK85" i="7"/>
  <c r="AK85" i="22" s="1"/>
  <c r="AJ85" i="7"/>
  <c r="AJ85" i="22" s="1"/>
  <c r="AI85" i="7"/>
  <c r="AI85" i="22" s="1"/>
  <c r="AH85" i="7"/>
  <c r="AH85" i="22" s="1"/>
  <c r="AG85" i="7"/>
  <c r="AG85" i="22" s="1"/>
  <c r="AF85" i="7"/>
  <c r="AF85" i="22" s="1"/>
  <c r="AE85" i="7"/>
  <c r="AE85" i="22" s="1"/>
  <c r="AD85" i="7"/>
  <c r="AC85" i="7"/>
  <c r="AC85" i="22" s="1"/>
  <c r="AB85" i="7"/>
  <c r="AB85" i="22" s="1"/>
  <c r="AA85" i="7"/>
  <c r="AA85" i="22" s="1"/>
  <c r="Z85" i="7"/>
  <c r="Z85" i="22" s="1"/>
  <c r="Y85" i="7"/>
  <c r="Y85" i="22" s="1"/>
  <c r="X85" i="7"/>
  <c r="X85" i="22" s="1"/>
  <c r="W85" i="7"/>
  <c r="W85" i="22" s="1"/>
  <c r="V85" i="7"/>
  <c r="U85" i="7"/>
  <c r="U85" i="22" s="1"/>
  <c r="T85" i="7"/>
  <c r="S85" i="7"/>
  <c r="S85" i="22" s="1"/>
  <c r="R85" i="7"/>
  <c r="R85" i="22" s="1"/>
  <c r="Q85" i="7"/>
  <c r="Q85" i="22" s="1"/>
  <c r="P85" i="7"/>
  <c r="P85" i="22" s="1"/>
  <c r="O85" i="7"/>
  <c r="N85" i="7"/>
  <c r="N85" i="22" s="1"/>
  <c r="M85" i="7"/>
  <c r="M85" i="22" s="1"/>
  <c r="L85" i="7"/>
  <c r="L85" i="22" s="1"/>
  <c r="K85" i="7"/>
  <c r="K85" i="22" s="1"/>
  <c r="J85" i="7"/>
  <c r="I85" i="7"/>
  <c r="I85" i="22" s="1"/>
  <c r="H85" i="7"/>
  <c r="H85" i="22" s="1"/>
  <c r="G85" i="7"/>
  <c r="F85" i="7"/>
  <c r="F85" i="22" s="1"/>
  <c r="E85" i="7"/>
  <c r="E85" i="22" s="1"/>
  <c r="D85" i="7"/>
  <c r="D85" i="22" s="1"/>
  <c r="C85" i="7"/>
  <c r="C85" i="22" s="1"/>
  <c r="B85" i="7"/>
  <c r="AW65" i="7"/>
  <c r="AW65" i="22" s="1"/>
  <c r="AW64" i="7"/>
  <c r="BD57" i="7"/>
  <c r="BD57" i="22" s="1"/>
  <c r="BC57" i="7"/>
  <c r="BC57" i="22" s="1"/>
  <c r="BB57" i="7"/>
  <c r="BB57" i="22" s="1"/>
  <c r="BA57" i="7"/>
  <c r="BA57" i="22" s="1"/>
  <c r="AZ57" i="7"/>
  <c r="AZ57" i="22" s="1"/>
  <c r="AY57" i="7"/>
  <c r="AY57" i="22" s="1"/>
  <c r="AX57" i="7"/>
  <c r="AX57" i="22" s="1"/>
  <c r="AW57" i="7"/>
  <c r="AW57" i="22" s="1"/>
  <c r="AV57" i="7"/>
  <c r="AV57" i="22" s="1"/>
  <c r="AU57" i="7"/>
  <c r="AU57" i="22" s="1"/>
  <c r="AT57" i="7"/>
  <c r="AT57" i="22" s="1"/>
  <c r="AS57" i="7"/>
  <c r="AS57" i="22" s="1"/>
  <c r="AR57" i="7"/>
  <c r="AR57" i="22" s="1"/>
  <c r="AQ57" i="7"/>
  <c r="AQ57" i="22" s="1"/>
  <c r="AP57" i="7"/>
  <c r="AP57" i="22" s="1"/>
  <c r="AO57" i="7"/>
  <c r="AO57" i="22" s="1"/>
  <c r="AN57" i="7"/>
  <c r="AN57" i="22" s="1"/>
  <c r="AM57" i="7"/>
  <c r="AM57" i="22" s="1"/>
  <c r="AL57" i="7"/>
  <c r="AL57" i="22" s="1"/>
  <c r="AK57" i="7"/>
  <c r="AK57" i="22" s="1"/>
  <c r="AJ57" i="7"/>
  <c r="AJ57" i="22" s="1"/>
  <c r="AI57" i="7"/>
  <c r="AI57" i="22" s="1"/>
  <c r="AH57" i="7"/>
  <c r="AH57" i="22" s="1"/>
  <c r="AG57" i="7"/>
  <c r="AG57" i="22" s="1"/>
  <c r="AF57" i="7"/>
  <c r="AF57" i="22" s="1"/>
  <c r="AE57" i="7"/>
  <c r="AE57" i="22" s="1"/>
  <c r="AD57" i="7"/>
  <c r="AD57" i="22" s="1"/>
  <c r="AC57" i="7"/>
  <c r="AC57" i="22" s="1"/>
  <c r="AB57" i="7"/>
  <c r="AB57" i="22" s="1"/>
  <c r="AA57" i="7"/>
  <c r="AA57" i="22" s="1"/>
  <c r="Z57" i="7"/>
  <c r="Z57" i="22" s="1"/>
  <c r="Y57" i="7"/>
  <c r="Y57" i="22" s="1"/>
  <c r="X57" i="7"/>
  <c r="X57" i="22" s="1"/>
  <c r="W57" i="7"/>
  <c r="W57" i="22" s="1"/>
  <c r="V57" i="7"/>
  <c r="V57" i="22" s="1"/>
  <c r="U57" i="7"/>
  <c r="U57" i="22" s="1"/>
  <c r="T57" i="7"/>
  <c r="T57" i="22" s="1"/>
  <c r="S57" i="7"/>
  <c r="S57" i="22" s="1"/>
  <c r="R57" i="7"/>
  <c r="R57" i="22" s="1"/>
  <c r="Q57" i="7"/>
  <c r="Q57" i="22" s="1"/>
  <c r="P57" i="7"/>
  <c r="P57" i="22" s="1"/>
  <c r="O57" i="7"/>
  <c r="O57" i="22" s="1"/>
  <c r="N57" i="7"/>
  <c r="N57" i="22" s="1"/>
  <c r="M57" i="7"/>
  <c r="M57" i="22" s="1"/>
  <c r="L57" i="7"/>
  <c r="K57" i="7"/>
  <c r="K57" i="22" s="1"/>
  <c r="J57" i="7"/>
  <c r="J57" i="22" s="1"/>
  <c r="I57" i="7"/>
  <c r="I57" i="22" s="1"/>
  <c r="H57" i="7"/>
  <c r="H57" i="22" s="1"/>
  <c r="G57" i="7"/>
  <c r="G57" i="22" s="1"/>
  <c r="F57" i="7"/>
  <c r="F57" i="22" s="1"/>
  <c r="E57" i="7"/>
  <c r="E57" i="22" s="1"/>
  <c r="D57" i="7"/>
  <c r="D57" i="22" s="1"/>
  <c r="C57" i="7"/>
  <c r="C57" i="22" s="1"/>
  <c r="B57" i="7"/>
  <c r="BD36" i="7"/>
  <c r="BD36" i="22" s="1"/>
  <c r="BC36" i="7"/>
  <c r="BC36" i="22" s="1"/>
  <c r="BB36" i="7"/>
  <c r="BB36" i="22" s="1"/>
  <c r="BA36" i="7"/>
  <c r="BA36" i="22" s="1"/>
  <c r="AZ36" i="7"/>
  <c r="AZ36" i="22" s="1"/>
  <c r="AY36" i="7"/>
  <c r="AY36" i="22" s="1"/>
  <c r="AX36" i="7"/>
  <c r="AX36" i="22" s="1"/>
  <c r="AW36" i="7"/>
  <c r="AW36" i="22" s="1"/>
  <c r="AV36" i="7"/>
  <c r="AV36" i="22" s="1"/>
  <c r="AU36" i="7"/>
  <c r="AU36" i="22" s="1"/>
  <c r="AT36" i="7"/>
  <c r="AT36" i="22" s="1"/>
  <c r="AS36" i="7"/>
  <c r="AS36" i="22" s="1"/>
  <c r="AR36" i="7"/>
  <c r="AR36" i="22" s="1"/>
  <c r="AQ36" i="7"/>
  <c r="AQ36" i="22" s="1"/>
  <c r="AP36" i="7"/>
  <c r="AO36" i="7"/>
  <c r="AO36" i="22" s="1"/>
  <c r="AN36" i="7"/>
  <c r="AN36" i="22" s="1"/>
  <c r="AM36" i="7"/>
  <c r="AM36" i="22" s="1"/>
  <c r="AL36" i="7"/>
  <c r="AL36" i="22" s="1"/>
  <c r="AK36" i="7"/>
  <c r="AK36" i="22" s="1"/>
  <c r="AJ36" i="7"/>
  <c r="AJ36" i="22" s="1"/>
  <c r="AI36" i="7"/>
  <c r="AI36" i="22" s="1"/>
  <c r="AH36" i="7"/>
  <c r="AH36" i="22" s="1"/>
  <c r="AG36" i="7"/>
  <c r="AG36" i="22" s="1"/>
  <c r="AF36" i="7"/>
  <c r="AE36" i="7"/>
  <c r="AE36" i="22" s="1"/>
  <c r="AD36" i="7"/>
  <c r="AD36" i="22" s="1"/>
  <c r="AC36" i="7"/>
  <c r="AC36" i="22" s="1"/>
  <c r="AB36" i="7"/>
  <c r="AB36" i="22" s="1"/>
  <c r="AA36" i="7"/>
  <c r="AA36" i="22" s="1"/>
  <c r="Z36" i="7"/>
  <c r="Z36" i="22" s="1"/>
  <c r="Y36" i="7"/>
  <c r="Y36" i="22" s="1"/>
  <c r="X36" i="7"/>
  <c r="X36" i="22" s="1"/>
  <c r="W36" i="7"/>
  <c r="W36" i="22" s="1"/>
  <c r="V36" i="7"/>
  <c r="V36" i="22" s="1"/>
  <c r="U36" i="7"/>
  <c r="U36" i="22" s="1"/>
  <c r="T36" i="7"/>
  <c r="T36" i="22" s="1"/>
  <c r="S36" i="7"/>
  <c r="S36" i="22" s="1"/>
  <c r="R36" i="7"/>
  <c r="R36" i="22" s="1"/>
  <c r="Q36" i="7"/>
  <c r="Q36" i="22" s="1"/>
  <c r="P36" i="7"/>
  <c r="P36" i="22" s="1"/>
  <c r="O36" i="7"/>
  <c r="O36" i="22" s="1"/>
  <c r="N36" i="7"/>
  <c r="N36" i="22" s="1"/>
  <c r="M36" i="7"/>
  <c r="M36" i="22" s="1"/>
  <c r="L36" i="7"/>
  <c r="L36" i="22" s="1"/>
  <c r="K36" i="7"/>
  <c r="K36" i="22" s="1"/>
  <c r="J36" i="7"/>
  <c r="J36" i="22" s="1"/>
  <c r="I36" i="7"/>
  <c r="I36" i="22" s="1"/>
  <c r="H36" i="7"/>
  <c r="H36" i="22" s="1"/>
  <c r="G36" i="7"/>
  <c r="G36" i="22" s="1"/>
  <c r="F36" i="7"/>
  <c r="F36" i="22" s="1"/>
  <c r="E36" i="7"/>
  <c r="E36" i="22" s="1"/>
  <c r="D36" i="7"/>
  <c r="D36" i="22" s="1"/>
  <c r="C36" i="7"/>
  <c r="C36" i="22" s="1"/>
  <c r="B36" i="7"/>
  <c r="B36" i="22" s="1"/>
  <c r="BD30" i="7"/>
  <c r="BD30" i="22" s="1"/>
  <c r="BC30" i="7"/>
  <c r="BC30" i="22" s="1"/>
  <c r="BB30" i="7"/>
  <c r="BB30" i="22" s="1"/>
  <c r="BA30" i="7"/>
  <c r="BA30" i="22" s="1"/>
  <c r="AZ30" i="7"/>
  <c r="AZ30" i="22" s="1"/>
  <c r="AY30" i="7"/>
  <c r="AY30" i="22" s="1"/>
  <c r="AX30" i="7"/>
  <c r="AW30" i="7"/>
  <c r="AV30" i="7"/>
  <c r="AU30" i="7"/>
  <c r="AU30" i="22" s="1"/>
  <c r="AT30" i="7"/>
  <c r="AT30" i="22" s="1"/>
  <c r="AS30" i="7"/>
  <c r="AS30" i="22" s="1"/>
  <c r="AR30" i="7"/>
  <c r="AR30" i="22" s="1"/>
  <c r="AQ30" i="7"/>
  <c r="AQ30" i="22" s="1"/>
  <c r="AP30" i="7"/>
  <c r="AP30" i="22" s="1"/>
  <c r="AO30" i="7"/>
  <c r="AO30" i="22" s="1"/>
  <c r="AN30" i="7"/>
  <c r="AN30" i="22" s="1"/>
  <c r="AM30" i="7"/>
  <c r="AM30" i="22" s="1"/>
  <c r="AL30" i="7"/>
  <c r="AL30" i="22" s="1"/>
  <c r="AK30" i="7"/>
  <c r="AK30" i="22" s="1"/>
  <c r="AJ30" i="7"/>
  <c r="AJ30" i="22" s="1"/>
  <c r="AI30" i="7"/>
  <c r="AI30" i="22" s="1"/>
  <c r="AH30" i="7"/>
  <c r="AH30" i="22" s="1"/>
  <c r="AG30" i="7"/>
  <c r="AG30" i="22" s="1"/>
  <c r="AF30" i="7"/>
  <c r="AE30" i="7"/>
  <c r="AE30" i="22" s="1"/>
  <c r="AD30" i="7"/>
  <c r="AD30" i="22" s="1"/>
  <c r="AC30" i="7"/>
  <c r="AC30" i="22" s="1"/>
  <c r="AB30" i="7"/>
  <c r="AB30" i="22" s="1"/>
  <c r="AA30" i="7"/>
  <c r="AA30" i="22" s="1"/>
  <c r="Z30" i="7"/>
  <c r="Z30" i="22" s="1"/>
  <c r="Y30" i="7"/>
  <c r="Y30" i="22" s="1"/>
  <c r="X30" i="7"/>
  <c r="X30" i="22" s="1"/>
  <c r="W30" i="7"/>
  <c r="W30" i="22" s="1"/>
  <c r="V30" i="7"/>
  <c r="V30" i="22" s="1"/>
  <c r="Q30" i="7"/>
  <c r="Q30" i="22" s="1"/>
  <c r="P30" i="7"/>
  <c r="P30" i="22" s="1"/>
  <c r="O30" i="7"/>
  <c r="O30" i="22" s="1"/>
  <c r="AW24" i="7"/>
  <c r="AW24" i="22" s="1"/>
  <c r="BD21" i="7"/>
  <c r="BD21" i="22" s="1"/>
  <c r="BC21" i="7"/>
  <c r="BC21" i="22" s="1"/>
  <c r="BB21" i="7"/>
  <c r="BB21" i="22" s="1"/>
  <c r="BA21" i="7"/>
  <c r="BA21" i="22" s="1"/>
  <c r="AZ21" i="7"/>
  <c r="AZ21" i="22" s="1"/>
  <c r="AY21" i="7"/>
  <c r="AX21" i="7"/>
  <c r="AU21" i="7"/>
  <c r="AU21" i="22" s="1"/>
  <c r="AT21" i="7"/>
  <c r="AT21" i="22" s="1"/>
  <c r="AS21" i="7"/>
  <c r="AS21" i="22" s="1"/>
  <c r="AR21" i="7"/>
  <c r="AR21" i="22" s="1"/>
  <c r="AQ21" i="7"/>
  <c r="AQ21" i="22" s="1"/>
  <c r="AP21" i="7"/>
  <c r="AP21" i="22" s="1"/>
  <c r="AO21" i="7"/>
  <c r="AO21" i="22" s="1"/>
  <c r="AN21" i="7"/>
  <c r="AN21" i="22" s="1"/>
  <c r="AM21" i="7"/>
  <c r="AM21" i="22" s="1"/>
  <c r="AL21" i="7"/>
  <c r="AL21" i="22" s="1"/>
  <c r="AK21" i="7"/>
  <c r="AK21" i="22" s="1"/>
  <c r="AJ21" i="7"/>
  <c r="AJ21" i="22" s="1"/>
  <c r="AI21" i="7"/>
  <c r="AI21" i="22" s="1"/>
  <c r="AH21" i="7"/>
  <c r="AH21" i="22" s="1"/>
  <c r="AG21" i="7"/>
  <c r="AG21" i="22" s="1"/>
  <c r="AF21" i="7"/>
  <c r="AF21" i="22" s="1"/>
  <c r="AE21" i="7"/>
  <c r="AE21" i="22" s="1"/>
  <c r="AD21" i="7"/>
  <c r="AD21" i="22" s="1"/>
  <c r="AC21" i="7"/>
  <c r="AC21" i="22" s="1"/>
  <c r="AB21" i="7"/>
  <c r="AB21" i="22" s="1"/>
  <c r="AA21" i="7"/>
  <c r="AA21" i="22" s="1"/>
  <c r="Z21" i="7"/>
  <c r="Z21" i="22" s="1"/>
  <c r="Y21" i="7"/>
  <c r="Y21" i="22" s="1"/>
  <c r="X21" i="7"/>
  <c r="X21" i="22" s="1"/>
  <c r="W21" i="7"/>
  <c r="W21" i="22" s="1"/>
  <c r="V21" i="7"/>
  <c r="U21" i="7"/>
  <c r="U21" i="22" s="1"/>
  <c r="T21" i="7"/>
  <c r="T21" i="22" s="1"/>
  <c r="S21" i="7"/>
  <c r="S21" i="22" s="1"/>
  <c r="R21" i="7"/>
  <c r="R21" i="22" s="1"/>
  <c r="Q21" i="7"/>
  <c r="Q21" i="22" s="1"/>
  <c r="P21" i="7"/>
  <c r="P21" i="22" s="1"/>
  <c r="O21" i="7"/>
  <c r="O21" i="22" s="1"/>
  <c r="N21" i="7"/>
  <c r="N21" i="22" s="1"/>
  <c r="M21" i="7"/>
  <c r="M21" i="22" s="1"/>
  <c r="L21" i="7"/>
  <c r="K21" i="7"/>
  <c r="K21" i="22" s="1"/>
  <c r="J21" i="7"/>
  <c r="J21" i="22" s="1"/>
  <c r="I21" i="7"/>
  <c r="I21" i="22" s="1"/>
  <c r="H21" i="7"/>
  <c r="H21" i="22" s="1"/>
  <c r="G21" i="7"/>
  <c r="G21" i="22" s="1"/>
  <c r="F21" i="7"/>
  <c r="F21" i="22" s="1"/>
  <c r="E21" i="7"/>
  <c r="E21" i="22" s="1"/>
  <c r="D21" i="7"/>
  <c r="D21" i="22" s="1"/>
  <c r="C21" i="7"/>
  <c r="C21" i="22" s="1"/>
  <c r="B21" i="7"/>
  <c r="AW19" i="7"/>
  <c r="AW19" i="22" s="1"/>
  <c r="AV19" i="7"/>
  <c r="AV19" i="22" s="1"/>
  <c r="AW18" i="7"/>
  <c r="AW18" i="22" s="1"/>
  <c r="AV18" i="7"/>
  <c r="AV18" i="22" s="1"/>
  <c r="AG127" i="8" l="1"/>
  <c r="AV222" i="8"/>
  <c r="BB222" i="8"/>
  <c r="BC222" i="8"/>
  <c r="AV21" i="8"/>
  <c r="AV45" i="8" s="1"/>
  <c r="AR222" i="8"/>
  <c r="AW222" i="8"/>
  <c r="BI222" i="22"/>
  <c r="BK222" i="22"/>
  <c r="BK189" i="22"/>
  <c r="BI189" i="22"/>
  <c r="BI223" i="8"/>
  <c r="BK223" i="8"/>
  <c r="BF223" i="22"/>
  <c r="BK223" i="7"/>
  <c r="BI223" i="7"/>
  <c r="BI160" i="22"/>
  <c r="BK160" i="22"/>
  <c r="BI127" i="22"/>
  <c r="BK127" i="22"/>
  <c r="BK97" i="22"/>
  <c r="BI97" i="22"/>
  <c r="BK46" i="22"/>
  <c r="BI46" i="22"/>
  <c r="BE222" i="8"/>
  <c r="AP222" i="8"/>
  <c r="AW64" i="22"/>
  <c r="AW68" i="7"/>
  <c r="AF36" i="22"/>
  <c r="L57" i="22"/>
  <c r="AQ98" i="7"/>
  <c r="AQ97" i="22" s="1"/>
  <c r="AQ85" i="22"/>
  <c r="P128" i="7"/>
  <c r="P127" i="22" s="1"/>
  <c r="P116" i="22"/>
  <c r="L157" i="22"/>
  <c r="B222" i="22"/>
  <c r="R222" i="7"/>
  <c r="R222" i="22" s="1"/>
  <c r="R201" i="22"/>
  <c r="BB222" i="7"/>
  <c r="BB222" i="22" s="1"/>
  <c r="BB201" i="22"/>
  <c r="L21" i="22"/>
  <c r="T98" i="7"/>
  <c r="T97" i="22" s="1"/>
  <c r="T85" i="22"/>
  <c r="BD98" i="7"/>
  <c r="BD97" i="22" s="1"/>
  <c r="BD128" i="7"/>
  <c r="BD127" i="22" s="1"/>
  <c r="V122" i="22"/>
  <c r="AO189" i="7"/>
  <c r="AO189" i="22" s="1"/>
  <c r="AO173" i="22"/>
  <c r="G222" i="7"/>
  <c r="G222" i="22" s="1"/>
  <c r="G201" i="22"/>
  <c r="AP36" i="22"/>
  <c r="B57" i="22"/>
  <c r="U98" i="7"/>
  <c r="U97" i="22" s="1"/>
  <c r="B173" i="22"/>
  <c r="V173" i="22"/>
  <c r="L222" i="7"/>
  <c r="L222" i="22" s="1"/>
  <c r="L201" i="22"/>
  <c r="P222" i="7"/>
  <c r="P222" i="22" s="1"/>
  <c r="P201" i="22"/>
  <c r="T222" i="7"/>
  <c r="T222" i="22" s="1"/>
  <c r="T201" i="22"/>
  <c r="AF222" i="7"/>
  <c r="AF222" i="22" s="1"/>
  <c r="AF201" i="22"/>
  <c r="AZ201" i="22"/>
  <c r="BD222" i="7"/>
  <c r="BD222" i="22" s="1"/>
  <c r="AF30" i="22"/>
  <c r="G98" i="7"/>
  <c r="G97" i="22" s="1"/>
  <c r="G85" i="22"/>
  <c r="O98" i="7"/>
  <c r="O97" i="22" s="1"/>
  <c r="O85" i="22"/>
  <c r="D128" i="7"/>
  <c r="D127" i="22" s="1"/>
  <c r="D116" i="22"/>
  <c r="L116" i="22"/>
  <c r="AZ157" i="22"/>
  <c r="V222" i="7"/>
  <c r="V222" i="22" s="1"/>
  <c r="V201" i="22"/>
  <c r="AZ116" i="22"/>
  <c r="B140" i="22"/>
  <c r="I189" i="7"/>
  <c r="I189" i="22" s="1"/>
  <c r="I173" i="22"/>
  <c r="B21" i="22"/>
  <c r="V21" i="22"/>
  <c r="J98" i="7"/>
  <c r="J97" i="22" s="1"/>
  <c r="J85" i="22"/>
  <c r="V98" i="7"/>
  <c r="V97" i="22" s="1"/>
  <c r="V85" i="22"/>
  <c r="AD98" i="7"/>
  <c r="AD97" i="22" s="1"/>
  <c r="AD85" i="22"/>
  <c r="AP98" i="7"/>
  <c r="AP97" i="22" s="1"/>
  <c r="AP85" i="22"/>
  <c r="AT98" i="7"/>
  <c r="AT97" i="22" s="1"/>
  <c r="AT85" i="22"/>
  <c r="AX98" i="7"/>
  <c r="AX97" i="22" s="1"/>
  <c r="AX85" i="22"/>
  <c r="AF116" i="22"/>
  <c r="AZ140" i="22"/>
  <c r="AZ148" i="22"/>
  <c r="U222" i="7"/>
  <c r="U222" i="22" s="1"/>
  <c r="AV116" i="8"/>
  <c r="AV127" i="8" s="1"/>
  <c r="B116" i="22"/>
  <c r="B85" i="22"/>
  <c r="U127" i="8"/>
  <c r="F160" i="8"/>
  <c r="F223" i="8" s="1"/>
  <c r="R160" i="8"/>
  <c r="R223" i="8" s="1"/>
  <c r="Z160" i="8"/>
  <c r="Z223" i="8" s="1"/>
  <c r="AX160" i="8"/>
  <c r="AX223" i="8" s="1"/>
  <c r="AK127" i="8"/>
  <c r="AO127" i="8"/>
  <c r="AS127" i="8"/>
  <c r="N160" i="8"/>
  <c r="N223" i="8" s="1"/>
  <c r="AH160" i="8"/>
  <c r="AH223" i="8" s="1"/>
  <c r="AT160" i="8"/>
  <c r="AT223" i="8" s="1"/>
  <c r="Y127" i="8"/>
  <c r="AC127" i="8"/>
  <c r="AW116" i="8"/>
  <c r="AW127" i="8" s="1"/>
  <c r="AX46" i="7"/>
  <c r="AX46" i="22" s="1"/>
  <c r="B46" i="7"/>
  <c r="B46" i="22" s="1"/>
  <c r="AW21" i="7"/>
  <c r="AW46" i="7" s="1"/>
  <c r="AW46" i="22" s="1"/>
  <c r="AN128" i="7"/>
  <c r="AN127" i="22" s="1"/>
  <c r="D160" i="7"/>
  <c r="D160" i="22" s="1"/>
  <c r="T160" i="7"/>
  <c r="T160" i="22" s="1"/>
  <c r="AB160" i="7"/>
  <c r="AB160" i="22" s="1"/>
  <c r="AJ160" i="7"/>
  <c r="AJ160" i="22" s="1"/>
  <c r="AR160" i="7"/>
  <c r="AR160" i="22" s="1"/>
  <c r="X128" i="7"/>
  <c r="X127" i="22" s="1"/>
  <c r="AA117" i="7"/>
  <c r="AA116" i="22" s="1"/>
  <c r="U46" i="7"/>
  <c r="U46" i="22" s="1"/>
  <c r="V128" i="7"/>
  <c r="AZ46" i="7"/>
  <c r="O46" i="7"/>
  <c r="O46" i="22" s="1"/>
  <c r="H46" i="7"/>
  <c r="H46" i="22" s="1"/>
  <c r="X46" i="7"/>
  <c r="X46" i="22" s="1"/>
  <c r="AF46" i="7"/>
  <c r="AF46" i="22" s="1"/>
  <c r="AW160" i="7"/>
  <c r="AW160" i="22" s="1"/>
  <c r="T46" i="7"/>
  <c r="T46" i="22" s="1"/>
  <c r="AH46" i="7"/>
  <c r="AH46" i="22" s="1"/>
  <c r="AV21" i="7"/>
  <c r="AV46" i="7" s="1"/>
  <c r="AV46" i="22" s="1"/>
  <c r="P46" i="7"/>
  <c r="P46" i="22" s="1"/>
  <c r="Z46" i="7"/>
  <c r="Z46" i="22" s="1"/>
  <c r="AT46" i="7"/>
  <c r="AT46" i="22" s="1"/>
  <c r="R46" i="7"/>
  <c r="R46" i="22" s="1"/>
  <c r="BC46" i="7"/>
  <c r="BC46" i="22" s="1"/>
  <c r="E98" i="7"/>
  <c r="E97" i="22" s="1"/>
  <c r="K98" i="7"/>
  <c r="K97" i="22" s="1"/>
  <c r="R98" i="7"/>
  <c r="R97" i="22" s="1"/>
  <c r="W98" i="7"/>
  <c r="W97" i="22" s="1"/>
  <c r="AE98" i="7"/>
  <c r="AE97" i="22" s="1"/>
  <c r="AM98" i="7"/>
  <c r="AM97" i="22" s="1"/>
  <c r="AU98" i="7"/>
  <c r="AU97" i="22" s="1"/>
  <c r="AY98" i="7"/>
  <c r="AY97" i="22" s="1"/>
  <c r="AV117" i="7"/>
  <c r="AV116" i="22" s="1"/>
  <c r="H128" i="7"/>
  <c r="H127" i="22" s="1"/>
  <c r="R128" i="7"/>
  <c r="R127" i="22" s="1"/>
  <c r="AF128" i="7"/>
  <c r="AU128" i="7"/>
  <c r="AU127" i="22" s="1"/>
  <c r="O160" i="7"/>
  <c r="O160" i="22" s="1"/>
  <c r="AE160" i="7"/>
  <c r="AE160" i="22" s="1"/>
  <c r="AU160" i="7"/>
  <c r="AU160" i="22" s="1"/>
  <c r="BB160" i="7"/>
  <c r="BB160" i="22" s="1"/>
  <c r="K189" i="7"/>
  <c r="K189" i="22" s="1"/>
  <c r="AA189" i="7"/>
  <c r="AA189" i="22" s="1"/>
  <c r="AQ189" i="7"/>
  <c r="AQ189" i="22" s="1"/>
  <c r="Z222" i="7"/>
  <c r="Z222" i="22" s="1"/>
  <c r="AD222" i="7"/>
  <c r="AD222" i="22" s="1"/>
  <c r="AH222" i="7"/>
  <c r="AH222" i="22" s="1"/>
  <c r="AL222" i="7"/>
  <c r="AL222" i="22" s="1"/>
  <c r="AP222" i="7"/>
  <c r="AT222" i="7"/>
  <c r="AT222" i="22" s="1"/>
  <c r="AX222" i="7"/>
  <c r="AX222" i="22" s="1"/>
  <c r="J222" i="7"/>
  <c r="J222" i="22" s="1"/>
  <c r="S222" i="7"/>
  <c r="S222" i="22" s="1"/>
  <c r="AW21" i="22"/>
  <c r="B98" i="7"/>
  <c r="B97" i="22" s="1"/>
  <c r="F98" i="7"/>
  <c r="F97" i="22" s="1"/>
  <c r="N98" i="7"/>
  <c r="N97" i="22" s="1"/>
  <c r="S98" i="7"/>
  <c r="S97" i="22" s="1"/>
  <c r="Z98" i="7"/>
  <c r="Z97" i="22" s="1"/>
  <c r="AH98" i="7"/>
  <c r="AH97" i="22" s="1"/>
  <c r="AV98" i="7"/>
  <c r="AV97" i="22" s="1"/>
  <c r="BB98" i="7"/>
  <c r="BB97" i="22" s="1"/>
  <c r="AW117" i="7"/>
  <c r="AW116" i="22" s="1"/>
  <c r="K128" i="7"/>
  <c r="K127" i="22" s="1"/>
  <c r="S128" i="7"/>
  <c r="S127" i="22" s="1"/>
  <c r="AI128" i="7"/>
  <c r="AI127" i="22" s="1"/>
  <c r="C160" i="7"/>
  <c r="C160" i="22" s="1"/>
  <c r="S160" i="7"/>
  <c r="S160" i="22" s="1"/>
  <c r="AI160" i="7"/>
  <c r="AI160" i="22" s="1"/>
  <c r="AV160" i="7"/>
  <c r="AV160" i="22" s="1"/>
  <c r="B189" i="7"/>
  <c r="O189" i="7"/>
  <c r="O189" i="22" s="1"/>
  <c r="AE189" i="7"/>
  <c r="AE189" i="22" s="1"/>
  <c r="AU189" i="7"/>
  <c r="AU189" i="22" s="1"/>
  <c r="W222" i="7"/>
  <c r="W222" i="22" s="1"/>
  <c r="AA222" i="7"/>
  <c r="AA222" i="22" s="1"/>
  <c r="AE222" i="7"/>
  <c r="AE222" i="22" s="1"/>
  <c r="AI222" i="7"/>
  <c r="AI222" i="22" s="1"/>
  <c r="AM222" i="7"/>
  <c r="AM222" i="22" s="1"/>
  <c r="AQ222" i="7"/>
  <c r="AQ222" i="22" s="1"/>
  <c r="AU222" i="7"/>
  <c r="AU222" i="22" s="1"/>
  <c r="AY201" i="22"/>
  <c r="AY222" i="7"/>
  <c r="AY222" i="22" s="1"/>
  <c r="BC222" i="7"/>
  <c r="BC222" i="22" s="1"/>
  <c r="K222" i="7"/>
  <c r="K222" i="22" s="1"/>
  <c r="C98" i="7"/>
  <c r="C97" i="22" s="1"/>
  <c r="AA98" i="7"/>
  <c r="AA97" i="22" s="1"/>
  <c r="AI98" i="7"/>
  <c r="AI97" i="22" s="1"/>
  <c r="AW98" i="7"/>
  <c r="AW97" i="22" s="1"/>
  <c r="BC98" i="7"/>
  <c r="BC97" i="22" s="1"/>
  <c r="C128" i="7"/>
  <c r="C127" i="22" s="1"/>
  <c r="L128" i="7"/>
  <c r="AY128" i="7"/>
  <c r="AY127" i="22" s="1"/>
  <c r="G160" i="7"/>
  <c r="G160" i="22" s="1"/>
  <c r="W160" i="7"/>
  <c r="W160" i="22" s="1"/>
  <c r="AM160" i="7"/>
  <c r="AM160" i="22" s="1"/>
  <c r="C189" i="7"/>
  <c r="C189" i="22" s="1"/>
  <c r="S189" i="7"/>
  <c r="S189" i="22" s="1"/>
  <c r="AI189" i="7"/>
  <c r="AI189" i="22" s="1"/>
  <c r="AY189" i="7"/>
  <c r="AY189" i="22" s="1"/>
  <c r="X222" i="7"/>
  <c r="X222" i="22" s="1"/>
  <c r="AB222" i="7"/>
  <c r="AB222" i="22" s="1"/>
  <c r="AJ222" i="7"/>
  <c r="AJ222" i="22" s="1"/>
  <c r="AN222" i="7"/>
  <c r="AN222" i="22" s="1"/>
  <c r="AR222" i="7"/>
  <c r="AR222" i="22" s="1"/>
  <c r="AV222" i="7"/>
  <c r="AV222" i="22" s="1"/>
  <c r="AZ222" i="7"/>
  <c r="AZ222" i="22" s="1"/>
  <c r="N222" i="7"/>
  <c r="N222" i="22" s="1"/>
  <c r="D46" i="7"/>
  <c r="D46" i="22" s="1"/>
  <c r="AJ46" i="7"/>
  <c r="AJ46" i="22" s="1"/>
  <c r="AN46" i="7"/>
  <c r="AN46" i="22" s="1"/>
  <c r="BB46" i="7"/>
  <c r="BB46" i="22" s="1"/>
  <c r="D98" i="7"/>
  <c r="D97" i="22" s="1"/>
  <c r="H98" i="7"/>
  <c r="H97" i="22" s="1"/>
  <c r="P98" i="7"/>
  <c r="P97" i="22" s="1"/>
  <c r="AB98" i="7"/>
  <c r="AB97" i="22" s="1"/>
  <c r="AJ98" i="7"/>
  <c r="AJ97" i="22" s="1"/>
  <c r="AR98" i="7"/>
  <c r="AR97" i="22" s="1"/>
  <c r="AQ128" i="7"/>
  <c r="AQ127" i="22" s="1"/>
  <c r="BB128" i="7"/>
  <c r="BB127" i="22" s="1"/>
  <c r="K160" i="7"/>
  <c r="K160" i="22" s="1"/>
  <c r="AA160" i="7"/>
  <c r="AA160" i="22" s="1"/>
  <c r="AQ160" i="7"/>
  <c r="AQ160" i="22" s="1"/>
  <c r="AZ160" i="7"/>
  <c r="AZ160" i="22" s="1"/>
  <c r="G189" i="7"/>
  <c r="G189" i="22" s="1"/>
  <c r="W189" i="7"/>
  <c r="W189" i="22" s="1"/>
  <c r="AM189" i="7"/>
  <c r="AM189" i="22" s="1"/>
  <c r="BC189" i="7"/>
  <c r="BC189" i="22" s="1"/>
  <c r="Y222" i="7"/>
  <c r="Y222" i="22" s="1"/>
  <c r="AC222" i="7"/>
  <c r="AC222" i="22" s="1"/>
  <c r="AG222" i="7"/>
  <c r="AG222" i="22" s="1"/>
  <c r="AK222" i="7"/>
  <c r="AK222" i="22" s="1"/>
  <c r="AO222" i="7"/>
  <c r="AO222" i="22" s="1"/>
  <c r="AS222" i="7"/>
  <c r="AS222" i="22" s="1"/>
  <c r="AW222" i="7"/>
  <c r="AW222" i="22" s="1"/>
  <c r="BA222" i="7"/>
  <c r="BA222" i="22" s="1"/>
  <c r="F222" i="7"/>
  <c r="F222" i="22" s="1"/>
  <c r="AX30" i="22"/>
  <c r="BC160" i="7"/>
  <c r="BC160" i="22" s="1"/>
  <c r="BD160" i="7"/>
  <c r="BD160" i="22" s="1"/>
  <c r="BA127" i="8"/>
  <c r="BC128" i="7"/>
  <c r="BC127" i="22" s="1"/>
  <c r="BD46" i="7"/>
  <c r="BD46" i="22" s="1"/>
  <c r="J45" i="8"/>
  <c r="AL45" i="8"/>
  <c r="F45" i="8"/>
  <c r="Z45" i="8"/>
  <c r="AM127" i="8"/>
  <c r="BA45" i="8"/>
  <c r="BB56" i="8"/>
  <c r="AB127" i="8"/>
  <c r="AW56" i="8"/>
  <c r="BE56" i="8"/>
  <c r="E45" i="8"/>
  <c r="I45" i="8"/>
  <c r="U45" i="8"/>
  <c r="Y45" i="8"/>
  <c r="AK45" i="8"/>
  <c r="AO45" i="8"/>
  <c r="BB45" i="8"/>
  <c r="Z127" i="8"/>
  <c r="AD127" i="8"/>
  <c r="AT127" i="8"/>
  <c r="BE116" i="8"/>
  <c r="AR189" i="8"/>
  <c r="B189" i="8"/>
  <c r="AL127" i="8"/>
  <c r="AQ189" i="8"/>
  <c r="AA127" i="8"/>
  <c r="X127" i="8"/>
  <c r="AH127" i="8"/>
  <c r="AQ45" i="8"/>
  <c r="BC127" i="8"/>
  <c r="AX127" i="8"/>
  <c r="AE45" i="8"/>
  <c r="AI45" i="8"/>
  <c r="BE160" i="8"/>
  <c r="E160" i="8"/>
  <c r="E223" i="8" s="1"/>
  <c r="I160" i="8"/>
  <c r="I223" i="8" s="1"/>
  <c r="M160" i="8"/>
  <c r="M223" i="8" s="1"/>
  <c r="Q160" i="8"/>
  <c r="Q223" i="8" s="1"/>
  <c r="U160" i="8"/>
  <c r="U223" i="8" s="1"/>
  <c r="Y160" i="8"/>
  <c r="Y223" i="8" s="1"/>
  <c r="AC160" i="8"/>
  <c r="AC223" i="8" s="1"/>
  <c r="AG160" i="8"/>
  <c r="AG223" i="8" s="1"/>
  <c r="AK160" i="8"/>
  <c r="AO160" i="8"/>
  <c r="AO223" i="8" s="1"/>
  <c r="AS160" i="8"/>
  <c r="AS223" i="8" s="1"/>
  <c r="AW160" i="8"/>
  <c r="BA160" i="8"/>
  <c r="BA223" i="8" s="1"/>
  <c r="BD56" i="8"/>
  <c r="AP116" i="8"/>
  <c r="L97" i="8"/>
  <c r="AZ189" i="8"/>
  <c r="D45" i="8"/>
  <c r="H45" i="8"/>
  <c r="L45" i="8"/>
  <c r="P45" i="8"/>
  <c r="T45" i="8"/>
  <c r="X45" i="8"/>
  <c r="AB45" i="8"/>
  <c r="AJ45" i="8"/>
  <c r="AN45" i="8"/>
  <c r="AW45" i="8"/>
  <c r="BE84" i="8"/>
  <c r="AF122" i="8"/>
  <c r="D160" i="8"/>
  <c r="D223" i="8" s="1"/>
  <c r="H160" i="8"/>
  <c r="H223" i="8" s="1"/>
  <c r="P160" i="8"/>
  <c r="P223" i="8" s="1"/>
  <c r="T160" i="8"/>
  <c r="T223" i="8" s="1"/>
  <c r="X160" i="8"/>
  <c r="X223" i="8" s="1"/>
  <c r="AB160" i="8"/>
  <c r="AB223" i="8" s="1"/>
  <c r="AJ160" i="8"/>
  <c r="AJ223" i="8" s="1"/>
  <c r="AN160" i="8"/>
  <c r="AR160" i="8"/>
  <c r="AV160" i="8"/>
  <c r="C45" i="8"/>
  <c r="G45" i="8"/>
  <c r="O45" i="8"/>
  <c r="S45" i="8"/>
  <c r="W45" i="8"/>
  <c r="AF97" i="8"/>
  <c r="AY127" i="8"/>
  <c r="AM189" i="8"/>
  <c r="AA45" i="8"/>
  <c r="AR56" i="8"/>
  <c r="AJ127" i="8"/>
  <c r="AN127" i="8"/>
  <c r="BB116" i="8"/>
  <c r="BB127" i="8" s="1"/>
  <c r="AE127" i="8"/>
  <c r="O160" i="8"/>
  <c r="O223" i="8" s="1"/>
  <c r="W160" i="8"/>
  <c r="W223" i="8" s="1"/>
  <c r="AE160" i="8"/>
  <c r="AE223" i="8" s="1"/>
  <c r="AM160" i="8"/>
  <c r="AU160" i="8"/>
  <c r="AU223" i="8" s="1"/>
  <c r="J160" i="8"/>
  <c r="J223" i="8" s="1"/>
  <c r="V160" i="8"/>
  <c r="AD160" i="8"/>
  <c r="AD223" i="8" s="1"/>
  <c r="AL160" i="8"/>
  <c r="BB160" i="8"/>
  <c r="BB223" i="8" s="1"/>
  <c r="AL189" i="8"/>
  <c r="L56" i="8"/>
  <c r="AK189" i="8"/>
  <c r="AW189" i="8"/>
  <c r="AN189" i="8"/>
  <c r="AR45" i="8"/>
  <c r="BC84" i="8"/>
  <c r="AF116" i="8"/>
  <c r="AS45" i="8"/>
  <c r="AP84" i="8"/>
  <c r="BD84" i="8"/>
  <c r="AR127" i="8"/>
  <c r="K45" i="8"/>
  <c r="AM45" i="8"/>
  <c r="BC45" i="8"/>
  <c r="AU45" i="8"/>
  <c r="AZ97" i="8"/>
  <c r="AI127" i="8"/>
  <c r="AQ127" i="8"/>
  <c r="AZ127" i="8"/>
  <c r="BD116" i="8"/>
  <c r="BD45" i="8"/>
  <c r="BC160" i="8"/>
  <c r="V45" i="8"/>
  <c r="AP35" i="8"/>
  <c r="M45" i="8"/>
  <c r="Q45" i="8"/>
  <c r="AC45" i="8"/>
  <c r="AG45" i="8"/>
  <c r="BE45" i="8"/>
  <c r="L222" i="8"/>
  <c r="N45" i="8"/>
  <c r="R45" i="8"/>
  <c r="AD45" i="8"/>
  <c r="AH45" i="8"/>
  <c r="AT45" i="8"/>
  <c r="AX45" i="8"/>
  <c r="AP56" i="8"/>
  <c r="W127" i="8"/>
  <c r="AU127" i="8"/>
  <c r="L160" i="8"/>
  <c r="B160" i="8"/>
  <c r="BD160" i="8"/>
  <c r="AY45" i="8"/>
  <c r="BC56" i="8"/>
  <c r="L127" i="8"/>
  <c r="C160" i="8"/>
  <c r="C223" i="8" s="1"/>
  <c r="G160" i="8"/>
  <c r="G223" i="8" s="1"/>
  <c r="K160" i="8"/>
  <c r="K223" i="8" s="1"/>
  <c r="S160" i="8"/>
  <c r="S223" i="8" s="1"/>
  <c r="AA160" i="8"/>
  <c r="AA223" i="8" s="1"/>
  <c r="AI160" i="8"/>
  <c r="AI223" i="8" s="1"/>
  <c r="AQ160" i="8"/>
  <c r="AY160" i="8"/>
  <c r="AY223" i="8" s="1"/>
  <c r="AP160" i="8"/>
  <c r="AV189" i="8"/>
  <c r="BD189" i="8"/>
  <c r="L189" i="8"/>
  <c r="AF189" i="8"/>
  <c r="BC189" i="8"/>
  <c r="AF160" i="8"/>
  <c r="AF45" i="8"/>
  <c r="AZ45" i="8"/>
  <c r="B45" i="8"/>
  <c r="V97" i="8"/>
  <c r="AZ160" i="8"/>
  <c r="B97" i="8"/>
  <c r="B127" i="8"/>
  <c r="V127" i="8"/>
  <c r="V189" i="8"/>
  <c r="AP189" i="8"/>
  <c r="BE189" i="8"/>
  <c r="B222" i="8"/>
  <c r="AW30" i="22"/>
  <c r="AV30" i="22"/>
  <c r="AC46" i="7"/>
  <c r="AC46" i="22" s="1"/>
  <c r="AS46" i="7"/>
  <c r="AS46" i="22" s="1"/>
  <c r="M98" i="7"/>
  <c r="M97" i="22" s="1"/>
  <c r="AC98" i="7"/>
  <c r="AC97" i="22" s="1"/>
  <c r="U128" i="7"/>
  <c r="U127" i="22" s="1"/>
  <c r="N128" i="7"/>
  <c r="N127" i="22" s="1"/>
  <c r="AD128" i="7"/>
  <c r="AD127" i="22" s="1"/>
  <c r="AT128" i="7"/>
  <c r="AT127" i="22" s="1"/>
  <c r="F160" i="7"/>
  <c r="F160" i="22" s="1"/>
  <c r="R160" i="7"/>
  <c r="R160" i="22" s="1"/>
  <c r="AD160" i="7"/>
  <c r="AD160" i="22" s="1"/>
  <c r="AH160" i="7"/>
  <c r="AH160" i="22" s="1"/>
  <c r="AT160" i="7"/>
  <c r="AT160" i="22" s="1"/>
  <c r="E46" i="7"/>
  <c r="E46" i="22" s="1"/>
  <c r="J46" i="7"/>
  <c r="J46" i="22" s="1"/>
  <c r="F128" i="7"/>
  <c r="F127" i="22" s="1"/>
  <c r="AL128" i="7"/>
  <c r="AL127" i="22" s="1"/>
  <c r="H160" i="7"/>
  <c r="H160" i="22" s="1"/>
  <c r="L160" i="7"/>
  <c r="L160" i="22" s="1"/>
  <c r="X160" i="7"/>
  <c r="X160" i="22" s="1"/>
  <c r="AF160" i="7"/>
  <c r="AF160" i="22" s="1"/>
  <c r="AN160" i="7"/>
  <c r="AN160" i="22" s="1"/>
  <c r="B160" i="7"/>
  <c r="C46" i="7"/>
  <c r="C46" i="22" s="1"/>
  <c r="G46" i="7"/>
  <c r="G46" i="22" s="1"/>
  <c r="K46" i="7"/>
  <c r="K46" i="22" s="1"/>
  <c r="S46" i="7"/>
  <c r="S46" i="22" s="1"/>
  <c r="W46" i="7"/>
  <c r="W46" i="22" s="1"/>
  <c r="AA46" i="7"/>
  <c r="AA46" i="22" s="1"/>
  <c r="AE46" i="7"/>
  <c r="AE46" i="22" s="1"/>
  <c r="AI46" i="7"/>
  <c r="AI46" i="22" s="1"/>
  <c r="AM46" i="7"/>
  <c r="AM46" i="22" s="1"/>
  <c r="AQ46" i="7"/>
  <c r="AQ46" i="22" s="1"/>
  <c r="AU46" i="7"/>
  <c r="AU46" i="22" s="1"/>
  <c r="AY46" i="7"/>
  <c r="F46" i="7"/>
  <c r="F46" i="22" s="1"/>
  <c r="L46" i="7"/>
  <c r="L46" i="22" s="1"/>
  <c r="Q46" i="7"/>
  <c r="Q46" i="22" s="1"/>
  <c r="V46" i="7"/>
  <c r="V46" i="22" s="1"/>
  <c r="AB46" i="7"/>
  <c r="AB46" i="22" s="1"/>
  <c r="AG46" i="7"/>
  <c r="AG46" i="22" s="1"/>
  <c r="AL46" i="7"/>
  <c r="AL46" i="22" s="1"/>
  <c r="AR46" i="7"/>
  <c r="AR46" i="22" s="1"/>
  <c r="L98" i="7"/>
  <c r="L97" i="22" s="1"/>
  <c r="AF98" i="7"/>
  <c r="AF97" i="22" s="1"/>
  <c r="AL98" i="7"/>
  <c r="AL97" i="22" s="1"/>
  <c r="AZ98" i="7"/>
  <c r="E128" i="7"/>
  <c r="E127" i="22" s="1"/>
  <c r="I128" i="7"/>
  <c r="I127" i="22" s="1"/>
  <c r="M128" i="7"/>
  <c r="M127" i="22" s="1"/>
  <c r="Q128" i="7"/>
  <c r="Q127" i="22" s="1"/>
  <c r="Y128" i="7"/>
  <c r="Y127" i="22" s="1"/>
  <c r="AC128" i="7"/>
  <c r="AC127" i="22" s="1"/>
  <c r="AK128" i="7"/>
  <c r="AK127" i="22" s="1"/>
  <c r="AO128" i="7"/>
  <c r="AO127" i="22" s="1"/>
  <c r="AS128" i="7"/>
  <c r="AS127" i="22" s="1"/>
  <c r="BA128" i="7"/>
  <c r="BA127" i="22" s="1"/>
  <c r="B128" i="7"/>
  <c r="B127" i="22" s="1"/>
  <c r="G128" i="7"/>
  <c r="G127" i="22" s="1"/>
  <c r="W128" i="7"/>
  <c r="W127" i="22" s="1"/>
  <c r="AB128" i="7"/>
  <c r="AB127" i="22" s="1"/>
  <c r="AH128" i="7"/>
  <c r="AH127" i="22" s="1"/>
  <c r="AM128" i="7"/>
  <c r="AM127" i="22" s="1"/>
  <c r="AR128" i="7"/>
  <c r="AR127" i="22" s="1"/>
  <c r="AX128" i="7"/>
  <c r="AX127" i="22" s="1"/>
  <c r="I160" i="7"/>
  <c r="I160" i="22" s="1"/>
  <c r="Q160" i="7"/>
  <c r="Q160" i="22" s="1"/>
  <c r="Y160" i="7"/>
  <c r="Y160" i="22" s="1"/>
  <c r="AG160" i="7"/>
  <c r="AG160" i="22" s="1"/>
  <c r="AO160" i="7"/>
  <c r="AO160" i="22" s="1"/>
  <c r="BA160" i="7"/>
  <c r="BA160" i="22" s="1"/>
  <c r="Q189" i="7"/>
  <c r="Q189" i="22" s="1"/>
  <c r="Y189" i="7"/>
  <c r="Y189" i="22" s="1"/>
  <c r="AG189" i="7"/>
  <c r="AG189" i="22" s="1"/>
  <c r="AW189" i="7"/>
  <c r="AW189" i="22" s="1"/>
  <c r="E222" i="7"/>
  <c r="E222" i="22" s="1"/>
  <c r="O222" i="7"/>
  <c r="O222" i="22" s="1"/>
  <c r="AX21" i="22"/>
  <c r="Q98" i="7"/>
  <c r="Q97" i="22" s="1"/>
  <c r="Y98" i="7"/>
  <c r="Y97" i="22" s="1"/>
  <c r="AK98" i="7"/>
  <c r="AK97" i="22" s="1"/>
  <c r="AS98" i="7"/>
  <c r="AS97" i="22" s="1"/>
  <c r="AG128" i="7"/>
  <c r="AG127" i="22" s="1"/>
  <c r="N160" i="7"/>
  <c r="N160" i="22" s="1"/>
  <c r="Z160" i="7"/>
  <c r="Z160" i="22" s="1"/>
  <c r="AP160" i="7"/>
  <c r="AP160" i="22" s="1"/>
  <c r="I46" i="7"/>
  <c r="I46" i="22" s="1"/>
  <c r="N46" i="7"/>
  <c r="N46" i="22" s="1"/>
  <c r="Y46" i="7"/>
  <c r="Y46" i="22" s="1"/>
  <c r="AD46" i="7"/>
  <c r="AD46" i="22" s="1"/>
  <c r="AO46" i="7"/>
  <c r="AO46" i="22" s="1"/>
  <c r="X98" i="7"/>
  <c r="X97" i="22" s="1"/>
  <c r="AN98" i="7"/>
  <c r="AN97" i="22" s="1"/>
  <c r="J128" i="7"/>
  <c r="J127" i="22" s="1"/>
  <c r="O128" i="7"/>
  <c r="O127" i="22" s="1"/>
  <c r="T128" i="7"/>
  <c r="T127" i="22" s="1"/>
  <c r="Z128" i="7"/>
  <c r="Z127" i="22" s="1"/>
  <c r="AE128" i="7"/>
  <c r="AE127" i="22" s="1"/>
  <c r="AJ128" i="7"/>
  <c r="AJ127" i="22" s="1"/>
  <c r="AP128" i="7"/>
  <c r="AP127" i="22" s="1"/>
  <c r="AZ128" i="7"/>
  <c r="AZ127" i="22" s="1"/>
  <c r="E160" i="7"/>
  <c r="E160" i="22" s="1"/>
  <c r="M160" i="7"/>
  <c r="M160" i="22" s="1"/>
  <c r="U160" i="7"/>
  <c r="U160" i="22" s="1"/>
  <c r="AC160" i="7"/>
  <c r="AC160" i="22" s="1"/>
  <c r="AK160" i="7"/>
  <c r="AK160" i="22" s="1"/>
  <c r="AS160" i="7"/>
  <c r="AS160" i="22" s="1"/>
  <c r="AY160" i="7"/>
  <c r="E189" i="7"/>
  <c r="E189" i="22" s="1"/>
  <c r="M189" i="7"/>
  <c r="M189" i="22" s="1"/>
  <c r="U189" i="7"/>
  <c r="U189" i="22" s="1"/>
  <c r="AC189" i="7"/>
  <c r="AC189" i="22" s="1"/>
  <c r="AK189" i="7"/>
  <c r="AK189" i="22" s="1"/>
  <c r="AS189" i="7"/>
  <c r="AS189" i="22" s="1"/>
  <c r="BA189" i="7"/>
  <c r="BA189" i="22" s="1"/>
  <c r="M222" i="7"/>
  <c r="M222" i="22" s="1"/>
  <c r="M46" i="7"/>
  <c r="M46" i="22" s="1"/>
  <c r="I98" i="7"/>
  <c r="I97" i="22" s="1"/>
  <c r="AG98" i="7"/>
  <c r="AG97" i="22" s="1"/>
  <c r="AO98" i="7"/>
  <c r="AO97" i="22" s="1"/>
  <c r="BA98" i="7"/>
  <c r="BA97" i="22" s="1"/>
  <c r="V160" i="7"/>
  <c r="V160" i="22" s="1"/>
  <c r="AL160" i="7"/>
  <c r="AL160" i="22" s="1"/>
  <c r="Q222" i="7"/>
  <c r="Q222" i="22" s="1"/>
  <c r="AK46" i="7"/>
  <c r="AK46" i="22" s="1"/>
  <c r="AP46" i="7"/>
  <c r="AP46" i="22" s="1"/>
  <c r="BA46" i="7"/>
  <c r="BA46" i="22" s="1"/>
  <c r="P160" i="7"/>
  <c r="P160" i="22" s="1"/>
  <c r="J160" i="7"/>
  <c r="J160" i="22" s="1"/>
  <c r="AX160" i="7"/>
  <c r="AX160" i="22" s="1"/>
  <c r="C222" i="7"/>
  <c r="C222" i="22" s="1"/>
  <c r="I222" i="7"/>
  <c r="I222" i="22" s="1"/>
  <c r="AY21" i="22"/>
  <c r="D189" i="7"/>
  <c r="D189" i="22" s="1"/>
  <c r="H189" i="7"/>
  <c r="H189" i="22" s="1"/>
  <c r="L189" i="7"/>
  <c r="L189" i="22" s="1"/>
  <c r="P189" i="7"/>
  <c r="P189" i="22" s="1"/>
  <c r="T189" i="7"/>
  <c r="T189" i="22" s="1"/>
  <c r="X189" i="7"/>
  <c r="X189" i="22" s="1"/>
  <c r="AB189" i="7"/>
  <c r="AB189" i="22" s="1"/>
  <c r="AF189" i="7"/>
  <c r="AF189" i="22" s="1"/>
  <c r="AJ189" i="7"/>
  <c r="AJ189" i="22" s="1"/>
  <c r="AN189" i="7"/>
  <c r="AN189" i="22" s="1"/>
  <c r="AR189" i="7"/>
  <c r="AR189" i="22" s="1"/>
  <c r="AV189" i="7"/>
  <c r="AV189" i="22" s="1"/>
  <c r="AZ189" i="7"/>
  <c r="AZ189" i="22" s="1"/>
  <c r="BD189" i="7"/>
  <c r="BD189" i="22" s="1"/>
  <c r="D222" i="7"/>
  <c r="D222" i="22" s="1"/>
  <c r="H222" i="7"/>
  <c r="H222" i="22" s="1"/>
  <c r="F189" i="7"/>
  <c r="F189" i="22" s="1"/>
  <c r="J189" i="7"/>
  <c r="J189" i="22" s="1"/>
  <c r="N189" i="7"/>
  <c r="N189" i="22" s="1"/>
  <c r="R189" i="7"/>
  <c r="R189" i="22" s="1"/>
  <c r="V189" i="7"/>
  <c r="V189" i="22" s="1"/>
  <c r="Z189" i="7"/>
  <c r="Z189" i="22" s="1"/>
  <c r="AD189" i="7"/>
  <c r="AD189" i="22" s="1"/>
  <c r="AH189" i="7"/>
  <c r="AH189" i="22" s="1"/>
  <c r="AL189" i="7"/>
  <c r="AL189" i="22" s="1"/>
  <c r="AP189" i="7"/>
  <c r="AP189" i="22" s="1"/>
  <c r="AT189" i="7"/>
  <c r="AT189" i="22" s="1"/>
  <c r="AX189" i="7"/>
  <c r="AX189" i="22" s="1"/>
  <c r="BB189" i="7"/>
  <c r="BB189" i="22" s="1"/>
  <c r="AV21" i="22"/>
  <c r="BI223" i="22" l="1"/>
  <c r="BK223" i="22"/>
  <c r="AZ97" i="22"/>
  <c r="AW128" i="7"/>
  <c r="AW127" i="22" s="1"/>
  <c r="AA128" i="7"/>
  <c r="AA127" i="22" s="1"/>
  <c r="L127" i="22"/>
  <c r="AF127" i="22"/>
  <c r="AP222" i="22"/>
  <c r="V127" i="22"/>
  <c r="AZ46" i="22"/>
  <c r="B157" i="22"/>
  <c r="B201" i="22"/>
  <c r="AQ223" i="8"/>
  <c r="BE127" i="8"/>
  <c r="L223" i="8"/>
  <c r="AP127" i="8"/>
  <c r="AW223" i="8"/>
  <c r="K223" i="7"/>
  <c r="K223" i="22" s="1"/>
  <c r="AU223" i="7"/>
  <c r="AU223" i="22" s="1"/>
  <c r="B223" i="7"/>
  <c r="S223" i="7"/>
  <c r="AV223" i="7"/>
  <c r="AV223" i="22" s="1"/>
  <c r="AE223" i="7"/>
  <c r="G223" i="7"/>
  <c r="L223" i="7"/>
  <c r="BC223" i="7"/>
  <c r="BC223" i="22" s="1"/>
  <c r="O223" i="7"/>
  <c r="O223" i="22" s="1"/>
  <c r="AV128" i="7"/>
  <c r="AV127" i="22" s="1"/>
  <c r="AB223" i="7"/>
  <c r="BE97" i="8"/>
  <c r="BD223" i="8"/>
  <c r="AK223" i="8"/>
  <c r="AV223" i="8"/>
  <c r="AL223" i="8"/>
  <c r="AN223" i="8"/>
  <c r="AP45" i="8"/>
  <c r="AM223" i="8"/>
  <c r="AR223" i="8"/>
  <c r="BC223" i="8"/>
  <c r="AP223" i="8"/>
  <c r="B223" i="8"/>
  <c r="BD97" i="8"/>
  <c r="AP97" i="8"/>
  <c r="BC97" i="8"/>
  <c r="AF127" i="8"/>
  <c r="BD127" i="8"/>
  <c r="AZ223" i="8"/>
  <c r="AF223" i="8"/>
  <c r="V223" i="8"/>
  <c r="BE223" i="8"/>
  <c r="D223" i="7"/>
  <c r="D223" i="22" s="1"/>
  <c r="AL223" i="7"/>
  <c r="AL223" i="22" s="1"/>
  <c r="U223" i="7"/>
  <c r="U223" i="22" s="1"/>
  <c r="Q223" i="7"/>
  <c r="Q223" i="22" s="1"/>
  <c r="F223" i="7"/>
  <c r="F223" i="22" s="1"/>
  <c r="H223" i="7"/>
  <c r="H223" i="22" s="1"/>
  <c r="BD223" i="7"/>
  <c r="BD223" i="22" s="1"/>
  <c r="C223" i="7"/>
  <c r="C223" i="22" s="1"/>
  <c r="P223" i="7"/>
  <c r="P223" i="22" s="1"/>
  <c r="AM223" i="7"/>
  <c r="AM223" i="22" s="1"/>
  <c r="M223" i="7"/>
  <c r="M223" i="22" s="1"/>
  <c r="AC223" i="7"/>
  <c r="AC223" i="22" s="1"/>
  <c r="Z223" i="7"/>
  <c r="Z223" i="22" s="1"/>
  <c r="E223" i="7"/>
  <c r="E223" i="22" s="1"/>
  <c r="Y223" i="7"/>
  <c r="Y223" i="22" s="1"/>
  <c r="AN223" i="7"/>
  <c r="AN223" i="22" s="1"/>
  <c r="T223" i="7"/>
  <c r="T223" i="22" s="1"/>
  <c r="AX223" i="7"/>
  <c r="AX223" i="22" s="1"/>
  <c r="AY160" i="22"/>
  <c r="AY223" i="7"/>
  <c r="AP223" i="7"/>
  <c r="AP223" i="22" s="1"/>
  <c r="BA223" i="7"/>
  <c r="BA223" i="22" s="1"/>
  <c r="AF223" i="7"/>
  <c r="AF223" i="22" s="1"/>
  <c r="AH223" i="7"/>
  <c r="AH223" i="22" s="1"/>
  <c r="AZ223" i="7"/>
  <c r="AZ223" i="22" s="1"/>
  <c r="AW223" i="7"/>
  <c r="AW223" i="22" s="1"/>
  <c r="W223" i="7"/>
  <c r="W223" i="22" s="1"/>
  <c r="AS223" i="7"/>
  <c r="AS223" i="22" s="1"/>
  <c r="N223" i="7"/>
  <c r="N223" i="22" s="1"/>
  <c r="AQ223" i="7"/>
  <c r="AQ223" i="22" s="1"/>
  <c r="AO223" i="7"/>
  <c r="AO223" i="22" s="1"/>
  <c r="AY46" i="22"/>
  <c r="AI223" i="7"/>
  <c r="AI223" i="22" s="1"/>
  <c r="AJ223" i="7"/>
  <c r="AJ223" i="22" s="1"/>
  <c r="R223" i="7"/>
  <c r="R223" i="22" s="1"/>
  <c r="BB223" i="7"/>
  <c r="BB223" i="22" s="1"/>
  <c r="I223" i="7"/>
  <c r="I223" i="22" s="1"/>
  <c r="AR223" i="7"/>
  <c r="AR223" i="22" s="1"/>
  <c r="V223" i="7"/>
  <c r="V223" i="22" s="1"/>
  <c r="AK223" i="7"/>
  <c r="AK223" i="22" s="1"/>
  <c r="AA223" i="7"/>
  <c r="AA223" i="22" s="1"/>
  <c r="J223" i="7"/>
  <c r="J223" i="22" s="1"/>
  <c r="AG223" i="7"/>
  <c r="AG223" i="22" s="1"/>
  <c r="X223" i="7"/>
  <c r="X223" i="22" s="1"/>
  <c r="AT223" i="7"/>
  <c r="AT223" i="22" s="1"/>
  <c r="AD223" i="7"/>
  <c r="AD223" i="22" l="1"/>
  <c r="B223" i="22"/>
  <c r="G223" i="22"/>
  <c r="AB223" i="22"/>
  <c r="L223" i="22"/>
  <c r="AE223" i="22"/>
  <c r="S223" i="22"/>
  <c r="B189" i="22"/>
  <c r="B160" i="22"/>
  <c r="AY223" i="22"/>
  <c r="BG73" i="7" l="1"/>
  <c r="BF73" i="7"/>
  <c r="BG73" i="22" l="1"/>
  <c r="BL73" i="7"/>
  <c r="BJ73" i="7"/>
  <c r="BF73" i="22"/>
  <c r="BK73" i="7"/>
  <c r="BI73" i="7"/>
  <c r="BK68" i="22"/>
  <c r="BL68" i="22"/>
  <c r="BJ68" i="22"/>
  <c r="BI68" i="22"/>
  <c r="BF130" i="7"/>
  <c r="BG130" i="7"/>
  <c r="BG129" i="22" l="1"/>
  <c r="BL130" i="7"/>
  <c r="BJ130" i="7"/>
  <c r="BF129" i="22"/>
  <c r="BI130" i="7"/>
  <c r="BK130" i="7"/>
  <c r="BK73" i="22"/>
  <c r="BL73" i="22"/>
  <c r="BJ73" i="22"/>
  <c r="BI73" i="22"/>
  <c r="BG224" i="7"/>
  <c r="BF224" i="7"/>
  <c r="BG224" i="22" l="1"/>
  <c r="BL224" i="7"/>
  <c r="BJ224" i="7"/>
  <c r="BJ129" i="22"/>
  <c r="BL129" i="22"/>
  <c r="BF224" i="22"/>
  <c r="BK224" i="7"/>
  <c r="BI224" i="7"/>
  <c r="BK129" i="22"/>
  <c r="BI129" i="22"/>
  <c r="BJ224" i="22" l="1"/>
  <c r="BL224" i="22"/>
  <c r="BI224" i="22"/>
  <c r="BK224" i="22"/>
  <c r="AK68" i="22" l="1"/>
  <c r="AN68" i="22"/>
  <c r="F68" i="22"/>
  <c r="C68" i="22"/>
  <c r="M68" i="22"/>
  <c r="K68" i="22"/>
  <c r="AT68" i="22"/>
  <c r="AY68" i="22"/>
  <c r="AU68" i="22"/>
  <c r="AJ68" i="22"/>
  <c r="W68" i="22"/>
  <c r="AE68" i="22"/>
  <c r="AA68" i="22"/>
  <c r="AZ68" i="22"/>
  <c r="Y68" i="22"/>
  <c r="G68" i="22"/>
  <c r="AS68" i="22"/>
  <c r="AW68" i="22"/>
  <c r="J68" i="22"/>
  <c r="AV68" i="22"/>
  <c r="AQ68" i="22"/>
  <c r="BB68" i="22"/>
  <c r="AO68" i="22"/>
  <c r="AC68" i="22"/>
  <c r="S68" i="22"/>
  <c r="E68" i="22"/>
  <c r="AI68" i="22"/>
  <c r="AX68" i="22"/>
  <c r="AL68" i="22"/>
  <c r="R68" i="22"/>
  <c r="BA68" i="22"/>
  <c r="I68" i="22"/>
  <c r="AG68" i="22"/>
  <c r="AP68" i="22"/>
  <c r="L68" i="22"/>
  <c r="P68" i="22"/>
  <c r="AF68" i="22"/>
  <c r="AR68" i="22"/>
  <c r="AM68" i="22"/>
  <c r="T68" i="22"/>
  <c r="AD68" i="22"/>
  <c r="D68" i="22"/>
  <c r="Z68" i="22"/>
  <c r="X68" i="22"/>
  <c r="Q68" i="22"/>
  <c r="O68" i="22"/>
  <c r="AR73" i="7"/>
  <c r="H68" i="22"/>
  <c r="N68" i="22"/>
  <c r="AD73" i="7"/>
  <c r="AD130" i="7" s="1"/>
  <c r="AH68" i="22"/>
  <c r="E73" i="7"/>
  <c r="E130" i="7" s="1"/>
  <c r="BA73" i="7"/>
  <c r="BA130" i="7" s="1"/>
  <c r="M73" i="7"/>
  <c r="AC73" i="7"/>
  <c r="AB68" i="22"/>
  <c r="AM73" i="7"/>
  <c r="AM130" i="7" s="1"/>
  <c r="AM224" i="7" s="1"/>
  <c r="AX73" i="7"/>
  <c r="AX73" i="22" s="1"/>
  <c r="V68" i="22"/>
  <c r="AU73" i="7"/>
  <c r="AV73" i="7"/>
  <c r="Q73" i="7"/>
  <c r="J73" i="7"/>
  <c r="AH73" i="7"/>
  <c r="AH73" i="22" s="1"/>
  <c r="BB73" i="7"/>
  <c r="BB130" i="7" s="1"/>
  <c r="BB224" i="7" s="1"/>
  <c r="AA73" i="7"/>
  <c r="AA130" i="7" s="1"/>
  <c r="D73" i="7"/>
  <c r="AI73" i="7"/>
  <c r="AI130" i="7" s="1"/>
  <c r="X73" i="7"/>
  <c r="X73" i="22" s="1"/>
  <c r="B68" i="22"/>
  <c r="P73" i="7"/>
  <c r="S73" i="7"/>
  <c r="S73" i="22" s="1"/>
  <c r="AY73" i="7"/>
  <c r="AS73" i="7"/>
  <c r="AS73" i="22" s="1"/>
  <c r="F73" i="7"/>
  <c r="U73" i="7"/>
  <c r="U73" i="22" s="1"/>
  <c r="Y73" i="7"/>
  <c r="Y130" i="7" s="1"/>
  <c r="Y129" i="22" s="1"/>
  <c r="K73" i="7"/>
  <c r="K73" i="22" s="1"/>
  <c r="L73" i="7"/>
  <c r="I73" i="7"/>
  <c r="I73" i="22" s="1"/>
  <c r="BC73" i="7"/>
  <c r="BC73" i="22" s="1"/>
  <c r="N73" i="7"/>
  <c r="N73" i="22" s="1"/>
  <c r="AN73" i="7"/>
  <c r="AN130" i="7" s="1"/>
  <c r="AT73" i="7"/>
  <c r="AT73" i="22" s="1"/>
  <c r="W73" i="7"/>
  <c r="W130" i="7" s="1"/>
  <c r="T73" i="7"/>
  <c r="T73" i="22" s="1"/>
  <c r="AE73" i="7"/>
  <c r="AE73" i="22" s="1"/>
  <c r="Z73" i="7"/>
  <c r="Z73" i="22" s="1"/>
  <c r="AK73" i="7"/>
  <c r="AK73" i="22" s="1"/>
  <c r="H73" i="7"/>
  <c r="H73" i="22" s="1"/>
  <c r="G73" i="7"/>
  <c r="G73" i="22" s="1"/>
  <c r="R73" i="7"/>
  <c r="AG73" i="7"/>
  <c r="AB73" i="7"/>
  <c r="AW73" i="7"/>
  <c r="AW73" i="22" s="1"/>
  <c r="C73" i="7"/>
  <c r="AQ73" i="7"/>
  <c r="AQ73" i="22" s="1"/>
  <c r="B73" i="7"/>
  <c r="B73" i="22" s="1"/>
  <c r="AP73" i="7"/>
  <c r="AP73" i="22" s="1"/>
  <c r="AL73" i="7"/>
  <c r="AL73" i="22" s="1"/>
  <c r="AJ73" i="7"/>
  <c r="AJ73" i="22" s="1"/>
  <c r="AF73" i="7"/>
  <c r="O73" i="7"/>
  <c r="O73" i="22" s="1"/>
  <c r="AO73" i="7"/>
  <c r="BD73" i="7"/>
  <c r="V73" i="7"/>
  <c r="V73" i="22" s="1"/>
  <c r="BD130" i="7" l="1"/>
  <c r="BD129" i="22" s="1"/>
  <c r="BD73" i="22"/>
  <c r="AD129" i="22"/>
  <c r="BB224" i="22"/>
  <c r="V130" i="7"/>
  <c r="AP130" i="7"/>
  <c r="AW130" i="7"/>
  <c r="W129" i="22"/>
  <c r="AN129" i="22"/>
  <c r="BC130" i="7"/>
  <c r="X130" i="7"/>
  <c r="X129" i="22" s="1"/>
  <c r="AI73" i="22"/>
  <c r="Y73" i="22"/>
  <c r="T130" i="7"/>
  <c r="T129" i="22" s="1"/>
  <c r="AT130" i="7"/>
  <c r="AT224" i="7" s="1"/>
  <c r="N130" i="7"/>
  <c r="N129" i="22" s="1"/>
  <c r="I130" i="7"/>
  <c r="I224" i="7" s="1"/>
  <c r="AS130" i="7"/>
  <c r="AS129" i="22" s="1"/>
  <c r="AN73" i="22"/>
  <c r="G130" i="7"/>
  <c r="G224" i="7" s="1"/>
  <c r="AK130" i="7"/>
  <c r="AK129" i="22" s="1"/>
  <c r="S130" i="7"/>
  <c r="S224" i="7" s="1"/>
  <c r="BB129" i="22"/>
  <c r="AM129" i="22"/>
  <c r="BB73" i="22"/>
  <c r="E73" i="22"/>
  <c r="O130" i="7"/>
  <c r="AJ130" i="7"/>
  <c r="AQ130" i="7"/>
  <c r="AQ129" i="22" s="1"/>
  <c r="H130" i="7"/>
  <c r="H129" i="22" s="1"/>
  <c r="Z130" i="7"/>
  <c r="AH130" i="7"/>
  <c r="AH224" i="7" s="1"/>
  <c r="AX130" i="7"/>
  <c r="AX129" i="22" s="1"/>
  <c r="AG73" i="22"/>
  <c r="AG130" i="7"/>
  <c r="R73" i="22"/>
  <c r="R130" i="7"/>
  <c r="AO73" i="22"/>
  <c r="AO130" i="7"/>
  <c r="AZ130" i="7"/>
  <c r="AZ73" i="22"/>
  <c r="AB73" i="22"/>
  <c r="AB130" i="7"/>
  <c r="BD224" i="7"/>
  <c r="U130" i="7"/>
  <c r="U129" i="22" s="1"/>
  <c r="L73" i="22"/>
  <c r="AI129" i="22"/>
  <c r="Q73" i="22"/>
  <c r="Q130" i="7"/>
  <c r="BA224" i="7"/>
  <c r="AA224" i="7"/>
  <c r="AD224" i="7"/>
  <c r="AI224" i="7"/>
  <c r="C73" i="22"/>
  <c r="C130" i="7"/>
  <c r="AY73" i="22"/>
  <c r="AY130" i="7"/>
  <c r="AA129" i="22"/>
  <c r="AM224" i="22"/>
  <c r="AC73" i="22"/>
  <c r="AC130" i="7"/>
  <c r="AN224" i="7"/>
  <c r="AR73" i="22"/>
  <c r="AR130" i="7"/>
  <c r="AA73" i="22"/>
  <c r="BA73" i="22"/>
  <c r="Y224" i="7"/>
  <c r="F73" i="22"/>
  <c r="F130" i="7"/>
  <c r="P73" i="22"/>
  <c r="P130" i="7"/>
  <c r="D73" i="22"/>
  <c r="D130" i="7"/>
  <c r="J73" i="22"/>
  <c r="J130" i="7"/>
  <c r="AV73" i="22"/>
  <c r="AV130" i="7"/>
  <c r="AU73" i="22"/>
  <c r="AU130" i="7"/>
  <c r="AF130" i="7"/>
  <c r="AF73" i="22"/>
  <c r="AL130" i="7"/>
  <c r="B130" i="7"/>
  <c r="AE130" i="7"/>
  <c r="L130" i="7"/>
  <c r="K130" i="7"/>
  <c r="W224" i="7"/>
  <c r="M73" i="22"/>
  <c r="M130" i="7"/>
  <c r="AW129" i="22"/>
  <c r="BA129" i="22"/>
  <c r="E224" i="7"/>
  <c r="E129" i="22"/>
  <c r="W73" i="22"/>
  <c r="AD73" i="22"/>
  <c r="AM73" i="22"/>
  <c r="BC129" i="22" l="1"/>
  <c r="BD224" i="22"/>
  <c r="I129" i="22"/>
  <c r="AP224" i="7"/>
  <c r="AP129" i="22"/>
  <c r="N224" i="7"/>
  <c r="N224" i="22" s="1"/>
  <c r="V129" i="22"/>
  <c r="BC224" i="7"/>
  <c r="V224" i="7"/>
  <c r="V224" i="22" s="1"/>
  <c r="O129" i="22"/>
  <c r="G129" i="22"/>
  <c r="O224" i="7"/>
  <c r="O224" i="22" s="1"/>
  <c r="S129" i="22"/>
  <c r="H224" i="7"/>
  <c r="AT129" i="22"/>
  <c r="X224" i="7"/>
  <c r="AH129" i="22"/>
  <c r="AQ224" i="7"/>
  <c r="S224" i="22"/>
  <c r="AH224" i="22"/>
  <c r="AS224" i="7"/>
  <c r="AW224" i="7"/>
  <c r="T224" i="7"/>
  <c r="AX224" i="7"/>
  <c r="AK224" i="7"/>
  <c r="AJ224" i="7"/>
  <c r="Z129" i="22"/>
  <c r="AJ129" i="22"/>
  <c r="Z224" i="7"/>
  <c r="M224" i="7"/>
  <c r="M129" i="22"/>
  <c r="AE224" i="7"/>
  <c r="AE129" i="22"/>
  <c r="AL129" i="22"/>
  <c r="AL224" i="7"/>
  <c r="AV224" i="7"/>
  <c r="AV129" i="22"/>
  <c r="D224" i="7"/>
  <c r="D129" i="22"/>
  <c r="AN224" i="22"/>
  <c r="AD224" i="22"/>
  <c r="AY129" i="22"/>
  <c r="AY224" i="7"/>
  <c r="AA224" i="22"/>
  <c r="I224" i="22"/>
  <c r="E224" i="22"/>
  <c r="W224" i="22"/>
  <c r="G224" i="22"/>
  <c r="AP224" i="22"/>
  <c r="AI224" i="22"/>
  <c r="AT224" i="22"/>
  <c r="AB224" i="7"/>
  <c r="AB129" i="22"/>
  <c r="AZ224" i="7"/>
  <c r="AZ129" i="22"/>
  <c r="K129" i="22"/>
  <c r="K224" i="7"/>
  <c r="F129" i="22"/>
  <c r="F224" i="7"/>
  <c r="BA224" i="22"/>
  <c r="AO224" i="7"/>
  <c r="AO129" i="22"/>
  <c r="L129" i="22"/>
  <c r="L224" i="7"/>
  <c r="C129" i="22"/>
  <c r="C224" i="7"/>
  <c r="U224" i="7"/>
  <c r="B129" i="22"/>
  <c r="B224" i="7"/>
  <c r="AF129" i="22"/>
  <c r="AF224" i="7"/>
  <c r="AU224" i="7"/>
  <c r="AU129" i="22"/>
  <c r="J224" i="7"/>
  <c r="J129" i="22"/>
  <c r="P224" i="7"/>
  <c r="P129" i="22"/>
  <c r="Y224" i="22"/>
  <c r="AR129" i="22"/>
  <c r="AR224" i="7"/>
  <c r="AC129" i="22"/>
  <c r="AC224" i="7"/>
  <c r="Q224" i="7"/>
  <c r="Q129" i="22"/>
  <c r="R129" i="22"/>
  <c r="R224" i="7"/>
  <c r="AG129" i="22"/>
  <c r="AG224" i="7"/>
  <c r="U224" i="22" l="1"/>
  <c r="BC224" i="22"/>
  <c r="H224" i="22"/>
  <c r="AS224" i="22"/>
  <c r="X224" i="22"/>
  <c r="T224" i="22"/>
  <c r="Z224" i="22"/>
  <c r="AW224" i="22"/>
  <c r="AQ224" i="22"/>
  <c r="AK224" i="22"/>
  <c r="AX224" i="22"/>
  <c r="AJ224" i="22"/>
  <c r="AC224" i="22"/>
  <c r="AU224" i="22"/>
  <c r="AZ132" i="22"/>
  <c r="AE224" i="22"/>
  <c r="P224" i="22"/>
  <c r="AF224" i="22"/>
  <c r="L224" i="22"/>
  <c r="AO224" i="22"/>
  <c r="AG224" i="22"/>
  <c r="AR224" i="22"/>
  <c r="F224" i="22"/>
  <c r="AL224" i="22"/>
  <c r="M224" i="22"/>
  <c r="J224" i="22"/>
  <c r="C224" i="22"/>
  <c r="B224" i="22"/>
  <c r="AZ224" i="22"/>
  <c r="R224" i="22"/>
  <c r="Q224" i="22"/>
  <c r="AF132" i="22"/>
  <c r="L132" i="22"/>
  <c r="K224" i="22"/>
  <c r="V132" i="22"/>
  <c r="AB224" i="22"/>
  <c r="AP132" i="22"/>
  <c r="AY224" i="22"/>
  <c r="D224" i="22"/>
  <c r="AV224" i="22"/>
  <c r="BE72" i="8" l="1"/>
  <c r="BE129" i="8" l="1"/>
  <c r="BE224" i="8" l="1"/>
  <c r="BF72" i="8"/>
  <c r="BF129" i="8" l="1"/>
  <c r="BF224" i="8" l="1"/>
  <c r="BG72" i="8" l="1"/>
  <c r="BJ72" i="8" l="1"/>
  <c r="BL72" i="8"/>
  <c r="BK72" i="8"/>
  <c r="BI72" i="8"/>
  <c r="BG129" i="8"/>
  <c r="BL129" i="8" l="1"/>
  <c r="BJ129" i="8"/>
  <c r="BK129" i="8"/>
  <c r="BI129" i="8"/>
  <c r="BG224" i="8"/>
  <c r="BJ224" i="8" l="1"/>
  <c r="BL224" i="8"/>
  <c r="BI224" i="8"/>
  <c r="BK224" i="8"/>
  <c r="BG131" i="8"/>
  <c r="BG130" i="8"/>
  <c r="E72" i="8" l="1"/>
  <c r="E129" i="8" s="1"/>
  <c r="E224" i="8" s="1"/>
  <c r="T72" i="8"/>
  <c r="T129" i="8" s="1"/>
  <c r="AZ72" i="8"/>
  <c r="G72" i="8"/>
  <c r="G129" i="8" s="1"/>
  <c r="BA72" i="8"/>
  <c r="BA129" i="8" s="1"/>
  <c r="B72" i="8"/>
  <c r="U72" i="8"/>
  <c r="U129" i="8" s="1"/>
  <c r="AW72" i="8"/>
  <c r="AW129" i="8" s="1"/>
  <c r="L72" i="8"/>
  <c r="W72" i="8"/>
  <c r="W129" i="8" s="1"/>
  <c r="S72" i="8"/>
  <c r="S129" i="8" s="1"/>
  <c r="BD72" i="8"/>
  <c r="AF72" i="8"/>
  <c r="AF129" i="8" s="1"/>
  <c r="AK72" i="8"/>
  <c r="AK129" i="8" s="1"/>
  <c r="BB72" i="8"/>
  <c r="BB129" i="8" s="1"/>
  <c r="K72" i="8"/>
  <c r="K129" i="8" s="1"/>
  <c r="K224" i="8" s="1"/>
  <c r="Z72" i="8"/>
  <c r="Z129" i="8" s="1"/>
  <c r="AR72" i="8"/>
  <c r="AR129" i="8" s="1"/>
  <c r="R72" i="8"/>
  <c r="R129" i="8" s="1"/>
  <c r="AH72" i="8"/>
  <c r="AH129" i="8" s="1"/>
  <c r="AH224" i="8" s="1"/>
  <c r="AY72" i="8"/>
  <c r="AY129" i="8" s="1"/>
  <c r="P72" i="8"/>
  <c r="P129" i="8" s="1"/>
  <c r="N72" i="8"/>
  <c r="N129" i="8" s="1"/>
  <c r="O72" i="8"/>
  <c r="O129" i="8" s="1"/>
  <c r="F72" i="8"/>
  <c r="F129" i="8" s="1"/>
  <c r="AT72" i="8"/>
  <c r="AT129" i="8" s="1"/>
  <c r="AC72" i="8"/>
  <c r="AC129" i="8" s="1"/>
  <c r="AO72" i="8"/>
  <c r="AO129" i="8" s="1"/>
  <c r="AB72" i="8"/>
  <c r="AB129" i="8" s="1"/>
  <c r="C72" i="8"/>
  <c r="C129" i="8" s="1"/>
  <c r="AN72" i="8"/>
  <c r="AN129" i="8" s="1"/>
  <c r="J72" i="8"/>
  <c r="J129" i="8" s="1"/>
  <c r="AE72" i="8"/>
  <c r="AE129" i="8" s="1"/>
  <c r="AL72" i="8"/>
  <c r="AL129" i="8" s="1"/>
  <c r="AU72" i="8"/>
  <c r="AU129" i="8" s="1"/>
  <c r="AU224" i="8" s="1"/>
  <c r="AG72" i="8"/>
  <c r="AG129" i="8" s="1"/>
  <c r="D72" i="8"/>
  <c r="D129" i="8" s="1"/>
  <c r="AX72" i="8"/>
  <c r="AX129" i="8" s="1"/>
  <c r="V72" i="8"/>
  <c r="Y72" i="8"/>
  <c r="Y129" i="8" s="1"/>
  <c r="M72" i="8"/>
  <c r="M129" i="8" s="1"/>
  <c r="BC72" i="8"/>
  <c r="BC129" i="8" s="1"/>
  <c r="AQ72" i="8"/>
  <c r="AQ129" i="8" s="1"/>
  <c r="AQ224" i="8" s="1"/>
  <c r="AS72" i="8"/>
  <c r="AS129" i="8" s="1"/>
  <c r="H72" i="8"/>
  <c r="H129" i="8" s="1"/>
  <c r="X72" i="8"/>
  <c r="X129" i="8" s="1"/>
  <c r="X224" i="8" s="1"/>
  <c r="AI72" i="8"/>
  <c r="AI129" i="8" s="1"/>
  <c r="AI224" i="8" s="1"/>
  <c r="Q72" i="8"/>
  <c r="Q129" i="8" s="1"/>
  <c r="Q224" i="8" s="1"/>
  <c r="AA72" i="8"/>
  <c r="AA129" i="8" s="1"/>
  <c r="AD72" i="8"/>
  <c r="AD129" i="8" s="1"/>
  <c r="AP72" i="8"/>
  <c r="AP129" i="8" s="1"/>
  <c r="AM72" i="8"/>
  <c r="AM129" i="8" s="1"/>
  <c r="AV72" i="8"/>
  <c r="AV129" i="8" s="1"/>
  <c r="AJ72" i="8"/>
  <c r="AJ129" i="8" s="1"/>
  <c r="I72" i="8"/>
  <c r="I129" i="8" s="1"/>
  <c r="B129" i="8" l="1"/>
  <c r="I224" i="8"/>
  <c r="W224" i="8"/>
  <c r="BD129" i="8"/>
  <c r="AR224" i="8"/>
  <c r="AW224" i="8"/>
  <c r="AJ224" i="8"/>
  <c r="AZ129" i="8"/>
  <c r="H224" i="8"/>
  <c r="AM224" i="8"/>
  <c r="AV224" i="8"/>
  <c r="G224" i="8"/>
  <c r="AD224" i="8"/>
  <c r="BC224" i="8"/>
  <c r="AX224" i="8"/>
  <c r="AE224" i="8"/>
  <c r="C224" i="8"/>
  <c r="AT224" i="8"/>
  <c r="BB224" i="8"/>
  <c r="L129" i="8"/>
  <c r="AP224" i="8"/>
  <c r="V129" i="8"/>
  <c r="AN224" i="8"/>
  <c r="AO224" i="8"/>
  <c r="O224" i="8"/>
  <c r="AY224" i="8"/>
  <c r="Z224" i="8"/>
  <c r="BA224" i="8"/>
  <c r="AA224" i="8"/>
  <c r="AS224" i="8"/>
  <c r="Y224" i="8"/>
  <c r="AG224" i="8"/>
  <c r="AL224" i="8"/>
  <c r="J224" i="8"/>
  <c r="F224" i="8"/>
  <c r="P224" i="8"/>
  <c r="M224" i="8"/>
  <c r="D224" i="8"/>
  <c r="AC224" i="8"/>
  <c r="N224" i="8"/>
  <c r="R224" i="8"/>
  <c r="S224" i="8"/>
  <c r="AB224" i="8"/>
  <c r="AK224" i="8"/>
  <c r="T224" i="8"/>
  <c r="AF224" i="8"/>
  <c r="U224" i="8"/>
  <c r="B224" i="8" l="1"/>
  <c r="AZ224" i="8"/>
  <c r="BD224" i="8"/>
  <c r="T251" i="8"/>
  <c r="V224" i="8"/>
  <c r="L224" i="8"/>
  <c r="J251" i="8" l="1"/>
</calcChain>
</file>

<file path=xl/sharedStrings.xml><?xml version="1.0" encoding="utf-8"?>
<sst xmlns="http://schemas.openxmlformats.org/spreadsheetml/2006/main" count="5946" uniqueCount="167">
  <si>
    <t>(Fiscal Years, Full-time Equivalent Employment)</t>
  </si>
  <si>
    <t>% Change</t>
  </si>
  <si>
    <t>Agency</t>
  </si>
  <si>
    <t>n/o</t>
  </si>
  <si>
    <t xml:space="preserve">  Patent and Trademark Office</t>
  </si>
  <si>
    <t xml:space="preserve">Federal Deposit Insurance Corporation </t>
  </si>
  <si>
    <t>STAFFING OF FEDERAL REGULATORY AGENCIES</t>
  </si>
  <si>
    <t>Social Regulation</t>
  </si>
  <si>
    <t>Consumer Safety and Health</t>
  </si>
  <si>
    <t>-</t>
  </si>
  <si>
    <t>L</t>
  </si>
  <si>
    <t xml:space="preserve">  Antitrust Division</t>
  </si>
  <si>
    <t>National Labor Relations Board</t>
  </si>
  <si>
    <t xml:space="preserve">  Federal Railroad Administration</t>
  </si>
  <si>
    <t>Federal Trade Commission</t>
  </si>
  <si>
    <t>Equal Employment Opportunity Commission</t>
  </si>
  <si>
    <t xml:space="preserve">  Occupational Safety and Health Admin.</t>
  </si>
  <si>
    <t>Council on Environmental Quality</t>
  </si>
  <si>
    <t>Federal Election Commission</t>
  </si>
  <si>
    <t>Securities and Exchange Commission</t>
  </si>
  <si>
    <t>Consumer Product Safety Commission</t>
  </si>
  <si>
    <t>National Transportation Safety Board</t>
  </si>
  <si>
    <t>Farm Credit Administration</t>
  </si>
  <si>
    <t xml:space="preserve">  Federal Reserve System Board of Governors</t>
  </si>
  <si>
    <t>Federal Communications Commission</t>
  </si>
  <si>
    <t>Federal Maritime Commission</t>
  </si>
  <si>
    <t xml:space="preserve">  Copyright Office</t>
  </si>
  <si>
    <t>Federal Mine Safety and Health Review Commission</t>
  </si>
  <si>
    <t>Table A-1</t>
  </si>
  <si>
    <t>COSTS OF FEDERAL REGULATORY AGENCIES</t>
  </si>
  <si>
    <t>Department of Agriculture:</t>
  </si>
  <si>
    <t xml:space="preserve">  Animal and Plant Health</t>
  </si>
  <si>
    <t xml:space="preserve">    Subtotal</t>
  </si>
  <si>
    <t>Department of Health and Human Services:</t>
  </si>
  <si>
    <t>Department of Housing and Urban Development:</t>
  </si>
  <si>
    <t>Department of Justice:</t>
  </si>
  <si>
    <t>Department of Transportation:</t>
  </si>
  <si>
    <t xml:space="preserve">      Subtotal</t>
  </si>
  <si>
    <t xml:space="preserve">    TOTAL--Consumer Safety and Health</t>
  </si>
  <si>
    <t>Department of Labor:</t>
  </si>
  <si>
    <t>Department of Defense:</t>
  </si>
  <si>
    <t>Department of Interior:</t>
  </si>
  <si>
    <t>Department of Energy:</t>
  </si>
  <si>
    <t>TOTAL SOCIAL REGULATION</t>
  </si>
  <si>
    <t>Economic Regulation</t>
  </si>
  <si>
    <t>Department of the Treasury:</t>
  </si>
  <si>
    <t xml:space="preserve">  TOTAL--Finance and Banking</t>
  </si>
  <si>
    <t>Industry-Specific Regulation</t>
  </si>
  <si>
    <t xml:space="preserve">  TOTAL--Industry-Specific Regulation</t>
  </si>
  <si>
    <t>General Business</t>
  </si>
  <si>
    <t>Department of Commerce:</t>
  </si>
  <si>
    <t>Library of Congress:</t>
  </si>
  <si>
    <t xml:space="preserve">  TOTAL--General Business</t>
  </si>
  <si>
    <t>TOTAL ECONOMIC REGULATION</t>
  </si>
  <si>
    <t>GRAND TOTAL</t>
  </si>
  <si>
    <t>Notes:</t>
  </si>
  <si>
    <t xml:space="preserve">   n/o = agency not operational</t>
  </si>
  <si>
    <t>Table A-2</t>
  </si>
  <si>
    <t>Regulatory Agency Costs</t>
  </si>
  <si>
    <t xml:space="preserve">   L = less than $500,000</t>
  </si>
  <si>
    <t xml:space="preserve">     n/o</t>
  </si>
  <si>
    <t xml:space="preserve">    TOTAL--Transportation</t>
  </si>
  <si>
    <t xml:space="preserve">  National Highway Traffic Safety Administration</t>
  </si>
  <si>
    <t>Occupational Safety and Health Review Commission</t>
  </si>
  <si>
    <r>
      <t xml:space="preserve">              </t>
    </r>
    <r>
      <rPr>
        <i/>
        <sz val="9"/>
        <color indexed="8"/>
        <rFont val="Times New Roman"/>
        <family val="1"/>
      </rPr>
      <t>Government</t>
    </r>
    <r>
      <rPr>
        <sz val="9"/>
        <color indexed="8"/>
        <rFont val="Times New Roman"/>
        <family val="1"/>
      </rPr>
      <t xml:space="preserve"> and related documents, various fiscal years.</t>
    </r>
  </si>
  <si>
    <t xml:space="preserve">    Inspection Service (1)</t>
  </si>
  <si>
    <t xml:space="preserve">  Food Safety and Inspection Service (2)</t>
  </si>
  <si>
    <t xml:space="preserve">  Grain Inspection, Packers and Stockyards (3)</t>
  </si>
  <si>
    <r>
      <t>Finance and Banking</t>
    </r>
    <r>
      <rPr>
        <sz val="9"/>
        <color indexed="8"/>
        <rFont val="CG Times"/>
        <family val="1"/>
      </rPr>
      <t xml:space="preserve"> </t>
    </r>
  </si>
  <si>
    <t>(Fiscal Years, Millions of Dollars in "Outlays")</t>
  </si>
  <si>
    <t>*</t>
  </si>
  <si>
    <t>* = agency no longer has regulatory functions</t>
  </si>
  <si>
    <t>Homeland Security</t>
  </si>
  <si>
    <t>TOTAL--Homeland Security</t>
  </si>
  <si>
    <t>Department of Treasury:</t>
  </si>
  <si>
    <t xml:space="preserve">  National Telecommunications and Information Administration</t>
  </si>
  <si>
    <t>Department of the Interior:</t>
  </si>
  <si>
    <t xml:space="preserve">  National Indian Gaming Commission</t>
  </si>
  <si>
    <t xml:space="preserve">  Financial Crimes Enforcement Network</t>
  </si>
  <si>
    <t xml:space="preserve"> </t>
  </si>
  <si>
    <t xml:space="preserve">  Food and Drug Administration (4)</t>
  </si>
  <si>
    <t xml:space="preserve">  Consumer Protection Programs (5)</t>
  </si>
  <si>
    <t xml:space="preserve">    TOTAL--Workplace</t>
  </si>
  <si>
    <t>Workplace</t>
  </si>
  <si>
    <t xml:space="preserve">  Risk Management Agency</t>
  </si>
  <si>
    <t xml:space="preserve">  Office of Lead Hazard Control and Healthy Homes (5)</t>
  </si>
  <si>
    <t>$ Change</t>
  </si>
  <si>
    <t xml:space="preserve">  Office of Federal Enterprise Oversight (6)</t>
  </si>
  <si>
    <t xml:space="preserve">  Drug Enforcement Administration (7)</t>
  </si>
  <si>
    <t xml:space="preserve">    and Explosives (8)</t>
  </si>
  <si>
    <t xml:space="preserve">  Alcohol and Tobacco Tax and Trade Bureau (8)</t>
  </si>
  <si>
    <t>Chemical Safety and Hazard Investigation Board (9)</t>
  </si>
  <si>
    <r>
      <t>Department of Homeland Security:</t>
    </r>
    <r>
      <rPr>
        <sz val="9"/>
        <color indexed="8"/>
        <rFont val="Times New Roman"/>
        <family val="1"/>
      </rPr>
      <t xml:space="preserve"> (10)</t>
    </r>
  </si>
  <si>
    <t xml:space="preserve">  Area Maritime Security (11)</t>
  </si>
  <si>
    <t xml:space="preserve">  Customs and Border Protection (12)</t>
  </si>
  <si>
    <t xml:space="preserve">  Immigration and Customs Enforcement (13)</t>
  </si>
  <si>
    <t xml:space="preserve">  Coast Guard (14)</t>
  </si>
  <si>
    <t xml:space="preserve">  Science and Technology (15)</t>
  </si>
  <si>
    <t xml:space="preserve">  Transportation Security Administration (16)</t>
  </si>
  <si>
    <t>Transportation (17)</t>
  </si>
  <si>
    <t xml:space="preserve">  Federal Aviation Administration (18)</t>
  </si>
  <si>
    <t xml:space="preserve">  Federal Highway Administration (19)</t>
  </si>
  <si>
    <t xml:space="preserve">  Federal Motor Carrier Safety Administration (20)</t>
  </si>
  <si>
    <r>
      <rPr>
        <i/>
        <sz val="9"/>
        <color indexed="8"/>
        <rFont val="Times New Roman"/>
        <family val="1"/>
      </rPr>
      <t>Department of Transportation</t>
    </r>
    <r>
      <rPr>
        <sz val="9"/>
        <color indexed="8"/>
        <rFont val="Times New Roman"/>
        <family val="1"/>
      </rPr>
      <t>:</t>
    </r>
  </si>
  <si>
    <t xml:space="preserve">  Office of Civil Rights</t>
  </si>
  <si>
    <t>Defense Nuclear Facilities Safety Board</t>
  </si>
  <si>
    <t xml:space="preserve">  Office of the American Workplace (25)</t>
  </si>
  <si>
    <t xml:space="preserve">  Office of Federal Contract Compliance Programs (24)</t>
  </si>
  <si>
    <t xml:space="preserve">  Office of Workers Compensation Programs, Wage and Hour Div (24)</t>
  </si>
  <si>
    <t xml:space="preserve">  Employee Benefits Security Administration (26)</t>
  </si>
  <si>
    <t xml:space="preserve">  Mine Safety and Health Administration (27)</t>
  </si>
  <si>
    <t xml:space="preserve">Consumer Financial Protection Bureau </t>
  </si>
  <si>
    <t xml:space="preserve">  Bureau of Safety and Environmental Enforcement</t>
  </si>
  <si>
    <t xml:space="preserve">  Water and Science, Oil Spill Research</t>
  </si>
  <si>
    <t>Federal Financial Institutions Examination Council</t>
  </si>
  <si>
    <t>Environment &amp; Energy</t>
  </si>
  <si>
    <t xml:space="preserve">  TOTAL -- Environment &amp; Energy</t>
  </si>
  <si>
    <t xml:space="preserve">  Bureau of Alcohol. Tobacco, Firearms, </t>
  </si>
  <si>
    <t xml:space="preserve">         (Estimated)</t>
  </si>
  <si>
    <t xml:space="preserve">  Pipeline and Hazardous Materials Safety Administration (21)</t>
  </si>
  <si>
    <t xml:space="preserve">  Employment Standards Administration (23)</t>
  </si>
  <si>
    <t>(1) through  (57):  see notes at the end of the Appendix</t>
  </si>
  <si>
    <t>Source:  Weidenbaum Center, Washington University and the Regulatory Studies Center, the George Washington University.  Derived from the Budget of the United States</t>
  </si>
  <si>
    <t>(In millions of constant 2009 dollars)</t>
  </si>
  <si>
    <t>Small Business Administration</t>
  </si>
  <si>
    <t>Office of Management and Budget</t>
  </si>
  <si>
    <t>Access Board (28)</t>
  </si>
  <si>
    <t xml:space="preserve">  Forest and Rangeland Research (29)</t>
  </si>
  <si>
    <t xml:space="preserve">  Army Corps of Engineers (30)</t>
  </si>
  <si>
    <t xml:space="preserve">  Fish and Wildlife and Parks (31)</t>
  </si>
  <si>
    <t xml:space="preserve">  Bureau of Ocean Energy Management (32)</t>
  </si>
  <si>
    <t xml:space="preserve">  Office of Surface Mining Reclamation and Enforcement (33)</t>
  </si>
  <si>
    <t xml:space="preserve">  U.S. Geological Survey (34)</t>
  </si>
  <si>
    <t xml:space="preserve">  Petroleum Regulation (35)</t>
  </si>
  <si>
    <t xml:space="preserve">  Energy Efficiency and Renewable Energy (37)</t>
  </si>
  <si>
    <t xml:space="preserve">  Federal Coordinator for Alaska Natural Gas Transportation (36)</t>
  </si>
  <si>
    <t>Nuclear Regulatory Commission (38)</t>
  </si>
  <si>
    <t>Environmental Protection Agency (39)</t>
  </si>
  <si>
    <t xml:space="preserve">  Comptroller of the Currency (40)</t>
  </si>
  <si>
    <t xml:space="preserve">  Office of Thrift Supervision (41)</t>
  </si>
  <si>
    <t>Federal Housing Finance Board (42)</t>
  </si>
  <si>
    <t>Federal Housing Finance Agency (43)</t>
  </si>
  <si>
    <r>
      <t>Federal Reserve System</t>
    </r>
    <r>
      <rPr>
        <sz val="9"/>
        <color indexed="8"/>
        <rFont val="Times New Roman"/>
        <family val="1"/>
      </rPr>
      <t xml:space="preserve"> (44)</t>
    </r>
  </si>
  <si>
    <t xml:space="preserve">  Federal Reserve Banks (45)</t>
  </si>
  <si>
    <t>National Credit Union Administration (46)</t>
  </si>
  <si>
    <t xml:space="preserve">  Agriculture Marketing Service (47)</t>
  </si>
  <si>
    <t xml:space="preserve">  Federal Energy Regulatory Commission (48)</t>
  </si>
  <si>
    <t xml:space="preserve">  Economic Regulatory Administration (49)</t>
  </si>
  <si>
    <t>Civil Aeronautics Board (50)</t>
  </si>
  <si>
    <t>Commodity Futures Trading Commission (51)</t>
  </si>
  <si>
    <t>Interstate Commerce Commission (52)</t>
  </si>
  <si>
    <t>Renegotiation Board (53)</t>
  </si>
  <si>
    <t>Cost Accounting Standards Board (54)</t>
  </si>
  <si>
    <t>Council on Wage and Price Stability (55)</t>
  </si>
  <si>
    <t xml:space="preserve">  International Trade Administration (56)</t>
  </si>
  <si>
    <t xml:space="preserve">  Bureau of Industry and Security (57)</t>
  </si>
  <si>
    <t xml:space="preserve">  Office of Information and Regulatory Affairs (58)</t>
  </si>
  <si>
    <t xml:space="preserve">  Office of Advocacy (59)</t>
  </si>
  <si>
    <t>International Trade Commission (60)</t>
  </si>
  <si>
    <t>(1) through  (60):  see notes at the end of the Appendix</t>
  </si>
  <si>
    <t xml:space="preserve">   Office of Information and Regulatory Affairs (58)</t>
  </si>
  <si>
    <t>`</t>
  </si>
  <si>
    <t>2016-2017</t>
  </si>
  <si>
    <t>Surface Transportation Board (22)</t>
  </si>
  <si>
    <t>Executive Office of the President:</t>
  </si>
  <si>
    <t>2017-2018</t>
  </si>
  <si>
    <t>FTE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</si>
</sst>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\ ;\(&quot;$&quot;#,##0\)"/>
    <numFmt numFmtId="165" formatCode="&quot;$&quot;#,##0.00\ ;\(&quot;$&quot;#,##0.00\)"/>
    <numFmt numFmtId="166" formatCode="0.0%"/>
    <numFmt numFmtId="167" formatCode="&quot;$&quot;#,##0"/>
    <numFmt numFmtId="168" formatCode="_(* #,##0_);_(* \(#,##0\);_(* &quot;-&quot;??_);_(@_)"/>
    <numFmt numFmtId="169" formatCode="0.0"/>
    <numFmt numFmtId="170" formatCode="0.000000000000"/>
  </numFmts>
  <fonts count="75">
    <font>
      <sz val="12"/>
      <color indexed="24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8"/>
      <name val="Times New Roman"/>
      <family val="1"/>
    </font>
    <font>
      <sz val="8"/>
      <color indexed="24"/>
      <name val="Times New Roman"/>
      <family val="1"/>
    </font>
    <font>
      <b/>
      <sz val="12"/>
      <color indexed="8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2"/>
      <color indexed="24"/>
      <name val="Times New Roman"/>
      <family val="1"/>
    </font>
    <font>
      <sz val="12"/>
      <color indexed="8"/>
      <name val="Times New Roman"/>
      <family val="1"/>
    </font>
    <font>
      <sz val="9"/>
      <color indexed="8"/>
      <name val="Arial"/>
      <family val="2"/>
    </font>
    <font>
      <sz val="8"/>
      <name val="Times New Roman"/>
      <family val="1"/>
    </font>
    <font>
      <sz val="10"/>
      <color indexed="24"/>
      <name val="Times New Roman"/>
      <family val="1"/>
    </font>
    <font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24"/>
      <name val="Times New Roman"/>
      <family val="1"/>
    </font>
    <font>
      <sz val="9"/>
      <name val="Times New Roman"/>
      <family val="1"/>
    </font>
    <font>
      <i/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CG Times"/>
      <family val="1"/>
    </font>
    <font>
      <i/>
      <sz val="9"/>
      <color indexed="8"/>
      <name val="Times New Roman"/>
      <family val="1"/>
    </font>
    <font>
      <sz val="10"/>
      <name val="Times New Roman"/>
      <family val="1"/>
    </font>
    <font>
      <i/>
      <sz val="12"/>
      <color indexed="8"/>
      <name val="Times New Roman"/>
      <family val="1"/>
    </font>
    <font>
      <sz val="12"/>
      <color indexed="24"/>
      <name val="Times New Roman"/>
      <family val="1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b/>
      <sz val="9"/>
      <color indexed="8"/>
      <name val="Times New Roman"/>
      <family val="1"/>
    </font>
    <font>
      <sz val="12"/>
      <color indexed="10"/>
      <name val="Times New Roman"/>
      <family val="1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sz val="12"/>
      <name val="Times New Roman"/>
      <family val="1"/>
    </font>
    <font>
      <sz val="8"/>
      <color indexed="13"/>
      <name val="Times New Roman"/>
      <family val="1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sz val="8"/>
      <color indexed="8"/>
      <name val="Times New Roman"/>
      <family val="1"/>
    </font>
    <font>
      <sz val="18"/>
      <color indexed="24"/>
      <name val="Times New Roman"/>
      <family val="1"/>
    </font>
    <font>
      <sz val="10"/>
      <name val="Arial"/>
      <family val="2"/>
    </font>
    <font>
      <sz val="8"/>
      <color theme="1"/>
      <name val="Times New Roman"/>
      <family val="1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sz val="10"/>
      <color rgb="FFC00000"/>
      <name val="Times New Roman"/>
      <family val="1"/>
    </font>
    <font>
      <sz val="12"/>
      <color rgb="FFC00000"/>
      <name val="Times New Roman"/>
      <family val="1"/>
    </font>
    <font>
      <sz val="12"/>
      <color rgb="FFFF0000"/>
      <name val="Times New Roman"/>
      <family val="1"/>
    </font>
    <font>
      <sz val="8"/>
      <color theme="1" tint="4.9989318521683403E-2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rgb="FFC00000"/>
      <name val="Times New Roman"/>
      <family val="1"/>
    </font>
    <font>
      <sz val="9"/>
      <color rgb="FFC00000"/>
      <name val="Times New Roman"/>
      <family val="1"/>
    </font>
    <font>
      <sz val="9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name val="Times New Roman"/>
      <family val="1"/>
    </font>
    <font>
      <i/>
      <sz val="8"/>
      <color indexed="8"/>
      <name val="Times New Roman"/>
      <family val="1"/>
    </font>
    <font>
      <i/>
      <sz val="8"/>
      <name val="Times New Roman"/>
      <family val="1"/>
    </font>
    <font>
      <i/>
      <sz val="8"/>
      <color theme="1"/>
      <name val="Times New Roman"/>
      <family val="1"/>
    </font>
    <font>
      <i/>
      <sz val="12"/>
      <color indexed="24"/>
      <name val="Times New Roman"/>
      <family val="1"/>
    </font>
    <font>
      <i/>
      <sz val="12"/>
      <color rgb="FFFF0000"/>
      <name val="Times New Roman"/>
      <family val="1"/>
    </font>
    <font>
      <b/>
      <sz val="8"/>
      <color indexed="8"/>
      <name val="Arial"/>
      <family val="2"/>
    </font>
    <font>
      <sz val="9"/>
      <color theme="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4">
    <xf numFmtId="0" fontId="0" fillId="0" borderId="0"/>
    <xf numFmtId="4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21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21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21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2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0" fontId="21" fillId="0" borderId="1" applyNumberFormat="0" applyFont="0" applyFill="0" applyAlignment="0" applyProtection="0"/>
    <xf numFmtId="0" fontId="38" fillId="0" borderId="1" applyNumberFormat="0" applyFont="0" applyFill="0" applyAlignment="0" applyProtection="0"/>
    <xf numFmtId="0" fontId="21" fillId="0" borderId="1" applyNumberFormat="0" applyFont="0" applyFill="0" applyAlignment="0" applyProtection="0"/>
    <xf numFmtId="0" fontId="38" fillId="0" borderId="1" applyNumberFormat="0" applyFont="0" applyFill="0" applyAlignment="0" applyProtection="0"/>
    <xf numFmtId="0" fontId="21" fillId="0" borderId="1" applyNumberFormat="0" applyFont="0" applyFill="0" applyAlignment="0" applyProtection="0"/>
    <xf numFmtId="0" fontId="38" fillId="0" borderId="1" applyNumberFormat="0" applyFont="0" applyFill="0" applyAlignment="0" applyProtection="0"/>
    <xf numFmtId="0" fontId="21" fillId="0" borderId="1" applyNumberFormat="0" applyFont="0" applyFill="0" applyAlignment="0" applyProtection="0"/>
    <xf numFmtId="0" fontId="38" fillId="0" borderId="1" applyNumberFormat="0" applyFont="0" applyFill="0" applyAlignment="0" applyProtection="0"/>
    <xf numFmtId="0" fontId="21" fillId="0" borderId="1" applyNumberFormat="0" applyFont="0" applyFill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0" borderId="0"/>
    <xf numFmtId="43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6">
    <xf numFmtId="1" fontId="0" fillId="0" borderId="0" xfId="0" applyNumberFormat="1"/>
    <xf numFmtId="164" fontId="0" fillId="0" borderId="0" xfId="0" applyNumberFormat="1"/>
    <xf numFmtId="1" fontId="6" fillId="0" borderId="0" xfId="0" applyNumberFormat="1" applyFont="1" applyAlignment="1">
      <alignment horizontal="centerContinuous"/>
    </xf>
    <xf numFmtId="1" fontId="7" fillId="0" borderId="0" xfId="0" applyNumberFormat="1" applyFont="1"/>
    <xf numFmtId="1" fontId="8" fillId="0" borderId="0" xfId="0" applyNumberFormat="1" applyFont="1" applyAlignment="1">
      <alignment horizontal="centerContinuous"/>
    </xf>
    <xf numFmtId="1" fontId="7" fillId="0" borderId="0" xfId="0" applyNumberFormat="1" applyFont="1" applyAlignment="1">
      <alignment horizontal="centerContinuous"/>
    </xf>
    <xf numFmtId="1" fontId="8" fillId="0" borderId="0" xfId="0" applyNumberFormat="1" applyFont="1"/>
    <xf numFmtId="1" fontId="10" fillId="0" borderId="0" xfId="0" applyNumberFormat="1" applyFont="1" applyAlignment="1">
      <alignment horizontal="centerContinuous"/>
    </xf>
    <xf numFmtId="164" fontId="8" fillId="0" borderId="0" xfId="0" applyNumberFormat="1" applyFont="1"/>
    <xf numFmtId="164" fontId="8" fillId="0" borderId="0" xfId="12" applyFont="1"/>
    <xf numFmtId="166" fontId="8" fillId="0" borderId="0" xfId="0" applyNumberFormat="1" applyFont="1"/>
    <xf numFmtId="1" fontId="11" fillId="0" borderId="0" xfId="0" applyNumberFormat="1" applyFont="1"/>
    <xf numFmtId="3" fontId="8" fillId="0" borderId="0" xfId="0" applyNumberFormat="1" applyFont="1"/>
    <xf numFmtId="3" fontId="8" fillId="0" borderId="0" xfId="2" applyFont="1"/>
    <xf numFmtId="3" fontId="8" fillId="0" borderId="2" xfId="0" applyNumberFormat="1" applyFont="1" applyBorder="1"/>
    <xf numFmtId="3" fontId="8" fillId="0" borderId="2" xfId="2" applyFont="1" applyBorder="1"/>
    <xf numFmtId="3" fontId="8" fillId="0" borderId="0" xfId="2" applyFont="1" applyAlignment="1">
      <alignment horizontal="right"/>
    </xf>
    <xf numFmtId="3" fontId="8" fillId="0" borderId="2" xfId="2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centerContinuous"/>
    </xf>
    <xf numFmtId="164" fontId="8" fillId="0" borderId="0" xfId="0" applyNumberFormat="1" applyFont="1" applyAlignment="1">
      <alignment horizontal="centerContinuous"/>
    </xf>
    <xf numFmtId="1" fontId="10" fillId="0" borderId="3" xfId="0" applyNumberFormat="1" applyFont="1" applyBorder="1" applyAlignment="1">
      <alignment horizontal="centerContinuous"/>
    </xf>
    <xf numFmtId="1" fontId="7" fillId="0" borderId="3" xfId="0" applyNumberFormat="1" applyFont="1" applyBorder="1"/>
    <xf numFmtId="1" fontId="8" fillId="0" borderId="3" xfId="0" applyNumberFormat="1" applyFont="1" applyBorder="1" applyAlignment="1">
      <alignment horizontal="centerContinuous"/>
    </xf>
    <xf numFmtId="1" fontId="8" fillId="0" borderId="3" xfId="0" applyNumberFormat="1" applyFont="1" applyBorder="1"/>
    <xf numFmtId="1" fontId="13" fillId="0" borderId="0" xfId="0" applyNumberFormat="1" applyFont="1"/>
    <xf numFmtId="3" fontId="8" fillId="0" borderId="0" xfId="2" applyFont="1" applyBorder="1"/>
    <xf numFmtId="3" fontId="14" fillId="0" borderId="0" xfId="0" applyNumberFormat="1" applyFont="1"/>
    <xf numFmtId="167" fontId="14" fillId="0" borderId="0" xfId="0" applyNumberFormat="1" applyFont="1"/>
    <xf numFmtId="3" fontId="14" fillId="0" borderId="0" xfId="0" applyNumberFormat="1" applyFont="1" applyAlignment="1">
      <alignment horizontal="right"/>
    </xf>
    <xf numFmtId="164" fontId="8" fillId="0" borderId="4" xfId="0" applyNumberFormat="1" applyFont="1" applyBorder="1"/>
    <xf numFmtId="3" fontId="14" fillId="0" borderId="2" xfId="0" applyNumberFormat="1" applyFont="1" applyBorder="1"/>
    <xf numFmtId="3" fontId="14" fillId="0" borderId="0" xfId="1" applyNumberFormat="1" applyFont="1"/>
    <xf numFmtId="3" fontId="8" fillId="0" borderId="2" xfId="1" applyNumberFormat="1" applyFont="1" applyBorder="1"/>
    <xf numFmtId="164" fontId="13" fillId="0" borderId="0" xfId="11" quotePrefix="1" applyNumberFormat="1" applyFont="1" applyAlignment="1">
      <alignment horizontal="right"/>
    </xf>
    <xf numFmtId="164" fontId="13" fillId="0" borderId="0" xfId="11" applyNumberFormat="1" applyFont="1"/>
    <xf numFmtId="164" fontId="7" fillId="0" borderId="0" xfId="11" applyNumberFormat="1" applyFont="1" applyAlignment="1">
      <alignment horizontal="right"/>
    </xf>
    <xf numFmtId="164" fontId="7" fillId="0" borderId="0" xfId="11" applyNumberFormat="1" applyFont="1"/>
    <xf numFmtId="164" fontId="8" fillId="0" borderId="0" xfId="11" applyNumberFormat="1" applyFont="1"/>
    <xf numFmtId="3" fontId="8" fillId="0" borderId="0" xfId="1" applyNumberFormat="1" applyFont="1"/>
    <xf numFmtId="1" fontId="13" fillId="0" borderId="3" xfId="0" applyNumberFormat="1" applyFont="1" applyBorder="1"/>
    <xf numFmtId="1" fontId="13" fillId="0" borderId="2" xfId="0" applyNumberFormat="1" applyFont="1" applyBorder="1"/>
    <xf numFmtId="3" fontId="14" fillId="0" borderId="0" xfId="0" quotePrefix="1" applyNumberFormat="1" applyFont="1" applyAlignment="1">
      <alignment horizontal="right"/>
    </xf>
    <xf numFmtId="3" fontId="13" fillId="0" borderId="2" xfId="1" applyNumberFormat="1" applyFont="1" applyBorder="1"/>
    <xf numFmtId="1" fontId="7" fillId="0" borderId="0" xfId="0" applyNumberFormat="1" applyFont="1" applyBorder="1"/>
    <xf numFmtId="3" fontId="8" fillId="0" borderId="0" xfId="2" applyFont="1" applyBorder="1" applyAlignment="1">
      <alignment horizontal="right"/>
    </xf>
    <xf numFmtId="3" fontId="14" fillId="0" borderId="2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right"/>
    </xf>
    <xf numFmtId="1" fontId="8" fillId="0" borderId="2" xfId="0" applyNumberFormat="1" applyFont="1" applyBorder="1" applyAlignment="1">
      <alignment horizontal="right"/>
    </xf>
    <xf numFmtId="1" fontId="16" fillId="0" borderId="0" xfId="0" applyNumberFormat="1" applyFont="1" applyAlignment="1">
      <alignment horizontal="left"/>
    </xf>
    <xf numFmtId="164" fontId="13" fillId="0" borderId="0" xfId="11" applyNumberFormat="1" applyFont="1" applyAlignment="1">
      <alignment horizontal="right"/>
    </xf>
    <xf numFmtId="164" fontId="8" fillId="0" borderId="0" xfId="0" applyNumberFormat="1" applyFont="1" applyBorder="1"/>
    <xf numFmtId="164" fontId="14" fillId="0" borderId="0" xfId="11" applyNumberFormat="1" applyFont="1"/>
    <xf numFmtId="3" fontId="13" fillId="0" borderId="0" xfId="1" quotePrefix="1" applyNumberFormat="1" applyFont="1" applyAlignment="1">
      <alignment horizontal="right"/>
    </xf>
    <xf numFmtId="3" fontId="13" fillId="0" borderId="0" xfId="1" applyNumberFormat="1" applyFont="1"/>
    <xf numFmtId="3" fontId="13" fillId="0" borderId="0" xfId="1" applyNumberFormat="1" applyFont="1" applyAlignment="1">
      <alignment horizontal="right"/>
    </xf>
    <xf numFmtId="3" fontId="0" fillId="0" borderId="0" xfId="1" applyNumberFormat="1" applyFont="1"/>
    <xf numFmtId="164" fontId="13" fillId="0" borderId="0" xfId="11" quotePrefix="1" applyNumberFormat="1" applyFont="1" applyBorder="1" applyAlignment="1">
      <alignment horizontal="right"/>
    </xf>
    <xf numFmtId="164" fontId="13" fillId="0" borderId="0" xfId="11" applyNumberFormat="1" applyFont="1" applyBorder="1"/>
    <xf numFmtId="3" fontId="13" fillId="0" borderId="0" xfId="1" applyNumberFormat="1" applyFont="1" applyBorder="1" applyAlignment="1">
      <alignment horizontal="right"/>
    </xf>
    <xf numFmtId="1" fontId="18" fillId="0" borderId="0" xfId="0" applyNumberFormat="1" applyFont="1" applyAlignment="1">
      <alignment horizontal="left"/>
    </xf>
    <xf numFmtId="0" fontId="8" fillId="0" borderId="0" xfId="0" applyFont="1"/>
    <xf numFmtId="0" fontId="13" fillId="0" borderId="0" xfId="0" applyFont="1"/>
    <xf numFmtId="1" fontId="19" fillId="0" borderId="0" xfId="0" applyNumberFormat="1" applyFont="1" applyAlignment="1">
      <alignment horizontal="left"/>
    </xf>
    <xf numFmtId="3" fontId="13" fillId="0" borderId="0" xfId="1" applyNumberFormat="1" applyFont="1" applyBorder="1"/>
    <xf numFmtId="1" fontId="7" fillId="0" borderId="0" xfId="0" applyNumberFormat="1" applyFont="1" applyAlignment="1"/>
    <xf numFmtId="1" fontId="20" fillId="0" borderId="0" xfId="0" applyNumberFormat="1" applyFont="1" applyAlignment="1">
      <alignment horizontal="left"/>
    </xf>
    <xf numFmtId="3" fontId="14" fillId="0" borderId="0" xfId="1" applyNumberFormat="1" applyFont="1" applyAlignment="1">
      <alignment horizontal="right"/>
    </xf>
    <xf numFmtId="3" fontId="14" fillId="0" borderId="2" xfId="1" applyNumberFormat="1" applyFont="1" applyBorder="1" applyAlignment="1">
      <alignment horizontal="right"/>
    </xf>
    <xf numFmtId="0" fontId="14" fillId="0" borderId="0" xfId="0" applyFont="1"/>
    <xf numFmtId="3" fontId="13" fillId="0" borderId="0" xfId="0" applyNumberFormat="1" applyFont="1"/>
    <xf numFmtId="1" fontId="8" fillId="0" borderId="0" xfId="0" applyNumberFormat="1" applyFont="1" applyBorder="1" applyAlignment="1">
      <alignment horizontal="right"/>
    </xf>
    <xf numFmtId="1" fontId="13" fillId="0" borderId="0" xfId="1" applyNumberFormat="1" applyFont="1" applyBorder="1"/>
    <xf numFmtId="3" fontId="13" fillId="0" borderId="0" xfId="0" applyNumberFormat="1" applyFont="1" applyBorder="1"/>
    <xf numFmtId="3" fontId="13" fillId="0" borderId="2" xfId="0" applyNumberFormat="1" applyFont="1" applyBorder="1"/>
    <xf numFmtId="1" fontId="21" fillId="0" borderId="0" xfId="0" applyNumberFormat="1" applyFont="1"/>
    <xf numFmtId="1" fontId="22" fillId="0" borderId="0" xfId="0" applyNumberFormat="1" applyFont="1"/>
    <xf numFmtId="1" fontId="18" fillId="0" borderId="0" xfId="0" applyNumberFormat="1" applyFont="1" applyAlignment="1"/>
    <xf numFmtId="1" fontId="19" fillId="0" borderId="0" xfId="0" quotePrefix="1" applyNumberFormat="1" applyFont="1" applyAlignment="1">
      <alignment horizontal="left"/>
    </xf>
    <xf numFmtId="165" fontId="23" fillId="2" borderId="0" xfId="0" applyNumberFormat="1" applyFont="1" applyFill="1" applyAlignment="1">
      <alignment horizontal="right"/>
    </xf>
    <xf numFmtId="1" fontId="12" fillId="0" borderId="0" xfId="0" applyNumberFormat="1" applyFont="1" applyAlignment="1">
      <alignment horizontal="centerContinuous"/>
    </xf>
    <xf numFmtId="168" fontId="14" fillId="0" borderId="0" xfId="1" applyNumberFormat="1" applyFont="1" applyBorder="1"/>
    <xf numFmtId="3" fontId="8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166" fontId="8" fillId="0" borderId="0" xfId="0" applyNumberFormat="1" applyFont="1" applyAlignment="1">
      <alignment horizontal="right"/>
    </xf>
    <xf numFmtId="3" fontId="8" fillId="0" borderId="2" xfId="0" applyNumberFormat="1" applyFont="1" applyBorder="1" applyAlignment="1">
      <alignment horizontal="right"/>
    </xf>
    <xf numFmtId="166" fontId="8" fillId="0" borderId="0" xfId="61" applyNumberFormat="1" applyFont="1" applyBorder="1"/>
    <xf numFmtId="166" fontId="8" fillId="0" borderId="2" xfId="0" applyNumberFormat="1" applyFont="1" applyBorder="1" applyAlignment="1">
      <alignment horizontal="right"/>
    </xf>
    <xf numFmtId="164" fontId="5" fillId="0" borderId="0" xfId="0" applyNumberFormat="1" applyFont="1"/>
    <xf numFmtId="3" fontId="8" fillId="0" borderId="0" xfId="0" applyNumberFormat="1" applyFont="1" applyAlignment="1">
      <alignment horizontal="centerContinuous"/>
    </xf>
    <xf numFmtId="3" fontId="8" fillId="0" borderId="0" xfId="1" applyNumberFormat="1" applyFont="1" applyBorder="1" applyAlignment="1">
      <alignment horizontal="right"/>
    </xf>
    <xf numFmtId="1" fontId="14" fillId="0" borderId="2" xfId="0" applyNumberFormat="1" applyFont="1" applyBorder="1"/>
    <xf numFmtId="168" fontId="14" fillId="0" borderId="0" xfId="0" applyNumberFormat="1" applyFont="1" applyBorder="1"/>
    <xf numFmtId="168" fontId="13" fillId="0" borderId="0" xfId="1" applyNumberFormat="1" applyFont="1"/>
    <xf numFmtId="3" fontId="8" fillId="0" borderId="4" xfId="0" applyNumberFormat="1" applyFont="1" applyBorder="1"/>
    <xf numFmtId="1" fontId="13" fillId="0" borderId="0" xfId="0" applyNumberFormat="1" applyFont="1" applyBorder="1"/>
    <xf numFmtId="168" fontId="14" fillId="0" borderId="0" xfId="1" applyNumberFormat="1" applyFont="1" applyAlignment="1"/>
    <xf numFmtId="164" fontId="14" fillId="0" borderId="0" xfId="11" applyNumberFormat="1" applyFont="1" applyAlignment="1"/>
    <xf numFmtId="168" fontId="14" fillId="0" borderId="0" xfId="1" applyNumberFormat="1" applyFont="1"/>
    <xf numFmtId="0" fontId="14" fillId="0" borderId="0" xfId="0" applyFont="1" applyBorder="1"/>
    <xf numFmtId="164" fontId="8" fillId="0" borderId="0" xfId="12" applyFont="1" applyBorder="1"/>
    <xf numFmtId="3" fontId="14" fillId="0" borderId="0" xfId="0" applyNumberFormat="1" applyFont="1" applyBorder="1" applyAlignment="1">
      <alignment horizontal="right"/>
    </xf>
    <xf numFmtId="3" fontId="14" fillId="0" borderId="0" xfId="0" applyNumberFormat="1" applyFont="1" applyBorder="1"/>
    <xf numFmtId="3" fontId="14" fillId="0" borderId="0" xfId="1" applyNumberFormat="1" applyFont="1" applyBorder="1"/>
    <xf numFmtId="3" fontId="0" fillId="0" borderId="0" xfId="0" applyNumberFormat="1" applyBorder="1"/>
    <xf numFmtId="164" fontId="7" fillId="0" borderId="0" xfId="12" applyFont="1" applyBorder="1"/>
    <xf numFmtId="1" fontId="8" fillId="0" borderId="0" xfId="0" applyNumberFormat="1" applyFont="1" applyBorder="1"/>
    <xf numFmtId="168" fontId="13" fillId="0" borderId="0" xfId="1" applyNumberFormat="1" applyFont="1" applyBorder="1"/>
    <xf numFmtId="3" fontId="7" fillId="0" borderId="0" xfId="1" applyNumberFormat="1" applyFont="1" applyBorder="1"/>
    <xf numFmtId="168" fontId="24" fillId="0" borderId="0" xfId="1" applyNumberFormat="1" applyFont="1"/>
    <xf numFmtId="1" fontId="0" fillId="0" borderId="0" xfId="0" applyNumberFormat="1" applyBorder="1"/>
    <xf numFmtId="1" fontId="8" fillId="0" borderId="0" xfId="0" applyNumberFormat="1" applyFont="1" applyBorder="1" applyAlignment="1"/>
    <xf numFmtId="3" fontId="15" fillId="0" borderId="0" xfId="1" applyNumberFormat="1" applyFont="1"/>
    <xf numFmtId="3" fontId="8" fillId="0" borderId="0" xfId="1" applyNumberFormat="1" applyFont="1" applyBorder="1"/>
    <xf numFmtId="1" fontId="8" fillId="0" borderId="0" xfId="0" applyNumberFormat="1" applyFont="1" applyBorder="1" applyAlignment="1">
      <alignment horizontal="centerContinuous"/>
    </xf>
    <xf numFmtId="1" fontId="13" fillId="0" borderId="0" xfId="0" applyNumberFormat="1" applyFont="1" applyBorder="1" applyAlignment="1">
      <alignment horizontal="center"/>
    </xf>
    <xf numFmtId="166" fontId="22" fillId="0" borderId="0" xfId="58" applyFont="1"/>
    <xf numFmtId="164" fontId="13" fillId="0" borderId="4" xfId="11" applyNumberFormat="1" applyFont="1" applyBorder="1"/>
    <xf numFmtId="164" fontId="13" fillId="0" borderId="4" xfId="11" quotePrefix="1" applyNumberFormat="1" applyFont="1" applyBorder="1" applyAlignment="1">
      <alignment horizontal="right"/>
    </xf>
    <xf numFmtId="164" fontId="13" fillId="0" borderId="0" xfId="11" applyNumberFormat="1" applyFont="1" applyBorder="1" applyAlignment="1">
      <alignment horizontal="right"/>
    </xf>
    <xf numFmtId="1" fontId="26" fillId="0" borderId="0" xfId="0" applyNumberFormat="1" applyFont="1"/>
    <xf numFmtId="1" fontId="27" fillId="0" borderId="0" xfId="0" applyNumberFormat="1" applyFont="1"/>
    <xf numFmtId="1" fontId="28" fillId="0" borderId="0" xfId="0" applyNumberFormat="1" applyFont="1"/>
    <xf numFmtId="3" fontId="27" fillId="0" borderId="0" xfId="0" applyNumberFormat="1" applyFont="1"/>
    <xf numFmtId="0" fontId="27" fillId="0" borderId="0" xfId="0" applyFont="1"/>
    <xf numFmtId="0" fontId="30" fillId="0" borderId="0" xfId="0" applyFont="1"/>
    <xf numFmtId="0" fontId="27" fillId="0" borderId="0" xfId="0" applyFont="1" applyAlignment="1">
      <alignment horizontal="left"/>
    </xf>
    <xf numFmtId="0" fontId="31" fillId="0" borderId="0" xfId="0" applyFont="1"/>
    <xf numFmtId="0" fontId="26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5" fillId="0" borderId="0" xfId="0" applyFont="1"/>
    <xf numFmtId="3" fontId="14" fillId="0" borderId="4" xfId="1" applyNumberFormat="1" applyFont="1" applyBorder="1" applyAlignment="1"/>
    <xf numFmtId="164" fontId="14" fillId="0" borderId="2" xfId="11" applyNumberFormat="1" applyFont="1" applyBorder="1" applyAlignment="1"/>
    <xf numFmtId="3" fontId="17" fillId="0" borderId="0" xfId="1" applyNumberFormat="1" applyFont="1" applyBorder="1"/>
    <xf numFmtId="3" fontId="14" fillId="0" borderId="0" xfId="0" quotePrefix="1" applyNumberFormat="1" applyFont="1" applyBorder="1" applyAlignment="1">
      <alignment horizontal="right"/>
    </xf>
    <xf numFmtId="164" fontId="8" fillId="0" borderId="4" xfId="12" applyFont="1" applyBorder="1"/>
    <xf numFmtId="164" fontId="14" fillId="0" borderId="4" xfId="11" applyNumberFormat="1" applyFont="1" applyBorder="1" applyAlignment="1"/>
    <xf numFmtId="3" fontId="8" fillId="0" borderId="0" xfId="1" applyNumberFormat="1" applyFont="1" applyAlignment="1">
      <alignment horizontal="right"/>
    </xf>
    <xf numFmtId="3" fontId="26" fillId="0" borderId="0" xfId="1" applyNumberFormat="1" applyFont="1"/>
    <xf numFmtId="164" fontId="8" fillId="0" borderId="8" xfId="0" applyNumberFormat="1" applyFont="1" applyBorder="1"/>
    <xf numFmtId="164" fontId="13" fillId="0" borderId="4" xfId="11" applyNumberFormat="1" applyFont="1" applyBorder="1" applyAlignment="1">
      <alignment horizontal="right"/>
    </xf>
    <xf numFmtId="164" fontId="8" fillId="0" borderId="7" xfId="0" applyNumberFormat="1" applyFont="1" applyBorder="1"/>
    <xf numFmtId="3" fontId="14" fillId="0" borderId="0" xfId="1" applyNumberFormat="1" applyFont="1" applyBorder="1" applyAlignment="1"/>
    <xf numFmtId="164" fontId="13" fillId="0" borderId="8" xfId="11" quotePrefix="1" applyNumberFormat="1" applyFont="1" applyBorder="1" applyAlignment="1">
      <alignment horizontal="right"/>
    </xf>
    <xf numFmtId="164" fontId="13" fillId="0" borderId="8" xfId="11" applyNumberFormat="1" applyFont="1" applyBorder="1"/>
    <xf numFmtId="164" fontId="14" fillId="0" borderId="8" xfId="11" applyNumberFormat="1" applyFont="1" applyBorder="1" applyAlignment="1"/>
    <xf numFmtId="3" fontId="13" fillId="0" borderId="0" xfId="1" quotePrefix="1" applyNumberFormat="1" applyFont="1" applyBorder="1" applyAlignment="1">
      <alignment horizontal="right"/>
    </xf>
    <xf numFmtId="3" fontId="13" fillId="0" borderId="4" xfId="1" applyNumberFormat="1" applyFont="1" applyBorder="1"/>
    <xf numFmtId="3" fontId="8" fillId="0" borderId="8" xfId="0" applyNumberFormat="1" applyFont="1" applyBorder="1"/>
    <xf numFmtId="3" fontId="8" fillId="0" borderId="4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1" fontId="13" fillId="0" borderId="0" xfId="0" applyNumberFormat="1" applyFont="1" applyBorder="1" applyAlignment="1">
      <alignment horizontal="right"/>
    </xf>
    <xf numFmtId="3" fontId="13" fillId="0" borderId="4" xfId="1" quotePrefix="1" applyNumberFormat="1" applyFont="1" applyBorder="1" applyAlignment="1">
      <alignment horizontal="right"/>
    </xf>
    <xf numFmtId="3" fontId="26" fillId="0" borderId="0" xfId="1" applyNumberFormat="1" applyFont="1" applyBorder="1"/>
    <xf numFmtId="1" fontId="13" fillId="0" borderId="4" xfId="0" applyNumberFormat="1" applyFont="1" applyBorder="1"/>
    <xf numFmtId="3" fontId="13" fillId="0" borderId="0" xfId="2" applyFont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/>
    <xf numFmtId="166" fontId="13" fillId="0" borderId="0" xfId="58" applyFont="1"/>
    <xf numFmtId="1" fontId="14" fillId="0" borderId="0" xfId="0" applyNumberFormat="1" applyFont="1"/>
    <xf numFmtId="1" fontId="14" fillId="0" borderId="0" xfId="0" applyNumberFormat="1" applyFont="1" applyAlignment="1">
      <alignment horizontal="right"/>
    </xf>
    <xf numFmtId="0" fontId="31" fillId="0" borderId="0" xfId="0" applyFont="1" applyBorder="1"/>
    <xf numFmtId="3" fontId="13" fillId="0" borderId="0" xfId="1" applyNumberFormat="1" applyFont="1" applyAlignment="1"/>
    <xf numFmtId="0" fontId="39" fillId="0" borderId="0" xfId="0" applyFont="1" applyAlignment="1">
      <alignment horizontal="left"/>
    </xf>
    <xf numFmtId="1" fontId="29" fillId="0" borderId="0" xfId="0" applyNumberFormat="1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left"/>
    </xf>
    <xf numFmtId="0" fontId="40" fillId="0" borderId="0" xfId="0" applyFont="1"/>
    <xf numFmtId="3" fontId="14" fillId="0" borderId="0" xfId="1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164" fontId="14" fillId="0" borderId="0" xfId="11" applyNumberFormat="1" applyFont="1" applyBorder="1" applyAlignment="1"/>
    <xf numFmtId="168" fontId="14" fillId="0" borderId="0" xfId="1" applyNumberFormat="1" applyFont="1" applyBorder="1" applyAlignment="1"/>
    <xf numFmtId="168" fontId="13" fillId="0" borderId="0" xfId="1" applyNumberFormat="1" applyFont="1" applyBorder="1" applyAlignment="1"/>
    <xf numFmtId="3" fontId="14" fillId="0" borderId="4" xfId="0" applyNumberFormat="1" applyFont="1" applyBorder="1"/>
    <xf numFmtId="3" fontId="14" fillId="0" borderId="8" xfId="0" applyNumberFormat="1" applyFont="1" applyBorder="1"/>
    <xf numFmtId="3" fontId="14" fillId="0" borderId="0" xfId="1" applyNumberFormat="1" applyFont="1" applyAlignment="1">
      <alignment horizontal="center"/>
    </xf>
    <xf numFmtId="3" fontId="8" fillId="0" borderId="0" xfId="12" applyNumberFormat="1" applyFont="1"/>
    <xf numFmtId="3" fontId="13" fillId="0" borderId="0" xfId="11" applyNumberFormat="1" applyFont="1"/>
    <xf numFmtId="1" fontId="14" fillId="0" borderId="0" xfId="0" applyNumberFormat="1" applyFont="1" applyBorder="1"/>
    <xf numFmtId="1" fontId="29" fillId="0" borderId="0" xfId="0" applyNumberFormat="1" applyFont="1" applyBorder="1" applyAlignment="1">
      <alignment horizontal="right"/>
    </xf>
    <xf numFmtId="1" fontId="0" fillId="0" borderId="0" xfId="0" applyNumberFormat="1" applyFill="1"/>
    <xf numFmtId="1" fontId="7" fillId="0" borderId="0" xfId="0" applyNumberFormat="1" applyFont="1" applyFill="1"/>
    <xf numFmtId="1" fontId="8" fillId="0" borderId="0" xfId="0" applyNumberFormat="1" applyFont="1" applyFill="1"/>
    <xf numFmtId="1" fontId="13" fillId="0" borderId="0" xfId="0" applyNumberFormat="1" applyFont="1" applyFill="1"/>
    <xf numFmtId="0" fontId="27" fillId="0" borderId="0" xfId="0" applyFont="1" applyFill="1"/>
    <xf numFmtId="1" fontId="26" fillId="0" borderId="0" xfId="0" applyNumberFormat="1" applyFont="1" applyBorder="1"/>
    <xf numFmtId="1" fontId="22" fillId="0" borderId="0" xfId="0" applyNumberFormat="1" applyFont="1" applyBorder="1"/>
    <xf numFmtId="1" fontId="29" fillId="0" borderId="0" xfId="0" applyNumberFormat="1" applyFont="1" applyBorder="1"/>
    <xf numFmtId="3" fontId="7" fillId="0" borderId="0" xfId="1" applyNumberFormat="1" applyFont="1"/>
    <xf numFmtId="3" fontId="7" fillId="0" borderId="0" xfId="1" applyNumberFormat="1" applyFont="1" applyAlignment="1">
      <alignment horizontal="centerContinuous"/>
    </xf>
    <xf numFmtId="3" fontId="14" fillId="0" borderId="2" xfId="1" applyNumberFormat="1" applyFont="1" applyBorder="1" applyAlignment="1"/>
    <xf numFmtId="3" fontId="14" fillId="0" borderId="4" xfId="1" applyNumberFormat="1" applyFont="1" applyBorder="1" applyAlignment="1">
      <alignment horizontal="right"/>
    </xf>
    <xf numFmtId="166" fontId="14" fillId="3" borderId="0" xfId="58" applyFont="1" applyFill="1" applyBorder="1" applyAlignment="1"/>
    <xf numFmtId="3" fontId="13" fillId="0" borderId="0" xfId="0" applyNumberFormat="1" applyFont="1" applyBorder="1" applyAlignment="1">
      <alignment horizontal="right"/>
    </xf>
    <xf numFmtId="164" fontId="13" fillId="0" borderId="0" xfId="0" applyNumberFormat="1" applyFont="1" applyAlignment="1">
      <alignment horizontal="right"/>
    </xf>
    <xf numFmtId="1" fontId="42" fillId="0" borderId="0" xfId="0" applyNumberFormat="1" applyFont="1"/>
    <xf numFmtId="1" fontId="42" fillId="0" borderId="0" xfId="0" applyNumberFormat="1" applyFont="1" applyBorder="1"/>
    <xf numFmtId="1" fontId="43" fillId="0" borderId="3" xfId="0" applyNumberFormat="1" applyFont="1" applyBorder="1"/>
    <xf numFmtId="1" fontId="43" fillId="0" borderId="0" xfId="0" applyNumberFormat="1" applyFont="1"/>
    <xf numFmtId="166" fontId="43" fillId="0" borderId="0" xfId="58" applyFont="1"/>
    <xf numFmtId="1" fontId="43" fillId="0" borderId="0" xfId="0" applyNumberFormat="1" applyFont="1" applyBorder="1"/>
    <xf numFmtId="3" fontId="43" fillId="3" borderId="0" xfId="0" applyNumberFormat="1" applyFont="1" applyFill="1" applyBorder="1" applyAlignment="1">
      <alignment horizontal="right"/>
    </xf>
    <xf numFmtId="3" fontId="43" fillId="0" borderId="0" xfId="0" applyNumberFormat="1" applyFont="1" applyBorder="1" applyAlignment="1">
      <alignment horizontal="right"/>
    </xf>
    <xf numFmtId="1" fontId="43" fillId="0" borderId="0" xfId="0" applyNumberFormat="1" applyFont="1" applyAlignment="1">
      <alignment horizontal="right"/>
    </xf>
    <xf numFmtId="164" fontId="43" fillId="0" borderId="0" xfId="0" applyNumberFormat="1" applyFont="1" applyAlignment="1">
      <alignment horizontal="right"/>
    </xf>
    <xf numFmtId="3" fontId="42" fillId="0" borderId="0" xfId="1" applyNumberFormat="1" applyFont="1"/>
    <xf numFmtId="164" fontId="14" fillId="0" borderId="4" xfId="12" applyFont="1" applyBorder="1"/>
    <xf numFmtId="1" fontId="45" fillId="0" borderId="0" xfId="0" applyNumberFormat="1" applyFont="1"/>
    <xf numFmtId="0" fontId="14" fillId="0" borderId="0" xfId="0" applyFont="1" applyAlignment="1">
      <alignment horizontal="right"/>
    </xf>
    <xf numFmtId="167" fontId="14" fillId="0" borderId="4" xfId="0" applyNumberFormat="1" applyFont="1" applyBorder="1"/>
    <xf numFmtId="3" fontId="14" fillId="0" borderId="0" xfId="2" applyFont="1" applyBorder="1" applyAlignment="1">
      <alignment horizontal="right"/>
    </xf>
    <xf numFmtId="3" fontId="14" fillId="0" borderId="2" xfId="1" applyNumberFormat="1" applyFont="1" applyBorder="1"/>
    <xf numFmtId="164" fontId="14" fillId="0" borderId="0" xfId="11" applyNumberFormat="1" applyFont="1" applyBorder="1"/>
    <xf numFmtId="166" fontId="14" fillId="0" borderId="0" xfId="0" applyNumberFormat="1" applyFont="1" applyAlignment="1">
      <alignment horizontal="right"/>
    </xf>
    <xf numFmtId="3" fontId="14" fillId="0" borderId="0" xfId="1" applyNumberFormat="1" applyFont="1" applyFill="1" applyBorder="1" applyAlignment="1">
      <alignment horizontal="right"/>
    </xf>
    <xf numFmtId="164" fontId="14" fillId="0" borderId="8" xfId="0" applyNumberFormat="1" applyFont="1" applyBorder="1"/>
    <xf numFmtId="1" fontId="45" fillId="0" borderId="0" xfId="0" applyNumberFormat="1" applyFont="1" applyBorder="1"/>
    <xf numFmtId="3" fontId="13" fillId="0" borderId="0" xfId="2" applyFont="1" applyFill="1" applyBorder="1" applyAlignment="1">
      <alignment horizontal="right"/>
    </xf>
    <xf numFmtId="168" fontId="14" fillId="0" borderId="0" xfId="1" applyNumberFormat="1" applyFont="1" applyFill="1"/>
    <xf numFmtId="1" fontId="14" fillId="0" borderId="0" xfId="0" applyNumberFormat="1" applyFont="1" applyFill="1"/>
    <xf numFmtId="164" fontId="14" fillId="0" borderId="4" xfId="11" applyNumberFormat="1" applyFont="1" applyBorder="1" applyAlignment="1">
      <alignment horizontal="right"/>
    </xf>
    <xf numFmtId="164" fontId="14" fillId="0" borderId="0" xfId="0" applyNumberFormat="1" applyFont="1" applyAlignment="1">
      <alignment horizontal="right"/>
    </xf>
    <xf numFmtId="164" fontId="14" fillId="0" borderId="0" xfId="11" applyNumberFormat="1" applyFont="1" applyAlignment="1">
      <alignment horizontal="right"/>
    </xf>
    <xf numFmtId="1" fontId="14" fillId="0" borderId="2" xfId="0" applyNumberFormat="1" applyFont="1" applyBorder="1" applyAlignment="1">
      <alignment horizontal="right"/>
    </xf>
    <xf numFmtId="164" fontId="14" fillId="0" borderId="7" xfId="0" applyNumberFormat="1" applyFont="1" applyBorder="1"/>
    <xf numFmtId="3" fontId="13" fillId="0" borderId="0" xfId="0" applyNumberFormat="1" applyFont="1" applyFill="1" applyBorder="1" applyAlignment="1">
      <alignment horizontal="right"/>
    </xf>
    <xf numFmtId="1" fontId="13" fillId="0" borderId="0" xfId="0" applyNumberFormat="1" applyFont="1" applyFill="1" applyBorder="1"/>
    <xf numFmtId="3" fontId="14" fillId="0" borderId="0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right"/>
    </xf>
    <xf numFmtId="3" fontId="14" fillId="0" borderId="0" xfId="0" applyNumberFormat="1" applyFont="1" applyFill="1" applyAlignment="1">
      <alignment horizontal="right"/>
    </xf>
    <xf numFmtId="3" fontId="14" fillId="0" borderId="4" xfId="0" applyNumberFormat="1" applyFont="1" applyFill="1" applyBorder="1" applyAlignment="1">
      <alignment horizontal="right"/>
    </xf>
    <xf numFmtId="3" fontId="14" fillId="0" borderId="0" xfId="1" applyNumberFormat="1" applyFont="1" applyFill="1" applyAlignment="1">
      <alignment horizontal="right"/>
    </xf>
    <xf numFmtId="168" fontId="14" fillId="0" borderId="0" xfId="1" applyNumberFormat="1" applyFont="1" applyBorder="1" applyAlignment="1">
      <alignment horizontal="right"/>
    </xf>
    <xf numFmtId="168" fontId="14" fillId="0" borderId="0" xfId="1" applyNumberFormat="1" applyFont="1" applyFill="1" applyBorder="1" applyAlignment="1">
      <alignment horizontal="right"/>
    </xf>
    <xf numFmtId="1" fontId="14" fillId="0" borderId="0" xfId="11" applyNumberFormat="1" applyFont="1" applyBorder="1" applyAlignment="1"/>
    <xf numFmtId="3" fontId="43" fillId="0" borderId="0" xfId="1" applyNumberFormat="1" applyFont="1" applyAlignment="1">
      <alignment horizontal="right"/>
    </xf>
    <xf numFmtId="3" fontId="14" fillId="0" borderId="8" xfId="1" applyNumberFormat="1" applyFont="1" applyBorder="1" applyAlignment="1">
      <alignment horizontal="right"/>
    </xf>
    <xf numFmtId="1" fontId="14" fillId="0" borderId="2" xfId="11" applyNumberFormat="1" applyFont="1" applyBorder="1" applyAlignment="1"/>
    <xf numFmtId="1" fontId="14" fillId="0" borderId="0" xfId="11" applyNumberFormat="1" applyFont="1" applyBorder="1"/>
    <xf numFmtId="1" fontId="14" fillId="0" borderId="0" xfId="11" applyNumberFormat="1" applyFont="1"/>
    <xf numFmtId="164" fontId="14" fillId="0" borderId="2" xfId="11" applyNumberFormat="1" applyFont="1" applyBorder="1" applyAlignment="1">
      <alignment horizontal="right"/>
    </xf>
    <xf numFmtId="1" fontId="14" fillId="0" borderId="0" xfId="0" applyNumberFormat="1" applyFont="1" applyFill="1" applyAlignment="1">
      <alignment horizontal="right"/>
    </xf>
    <xf numFmtId="3" fontId="13" fillId="0" borderId="0" xfId="0" applyNumberFormat="1" applyFont="1" applyFill="1" applyAlignment="1">
      <alignment horizontal="right"/>
    </xf>
    <xf numFmtId="1" fontId="46" fillId="0" borderId="0" xfId="0" applyNumberFormat="1" applyFont="1" applyFill="1" applyAlignment="1">
      <alignment horizontal="right"/>
    </xf>
    <xf numFmtId="3" fontId="46" fillId="0" borderId="0" xfId="1" applyNumberFormat="1" applyFont="1" applyFill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4" fillId="0" borderId="0" xfId="0" applyNumberFormat="1" applyFont="1" applyFill="1" applyBorder="1" applyAlignment="1">
      <alignment horizontal="right"/>
    </xf>
    <xf numFmtId="0" fontId="13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3" fontId="13" fillId="0" borderId="4" xfId="0" applyNumberFormat="1" applyFont="1" applyBorder="1" applyAlignment="1">
      <alignment horizontal="right"/>
    </xf>
    <xf numFmtId="3" fontId="13" fillId="0" borderId="0" xfId="1" applyNumberFormat="1" applyFont="1" applyFill="1" applyAlignment="1">
      <alignment horizontal="right"/>
    </xf>
    <xf numFmtId="1" fontId="43" fillId="0" borderId="0" xfId="0" applyNumberFormat="1" applyFont="1" applyFill="1" applyAlignment="1">
      <alignment horizontal="right"/>
    </xf>
    <xf numFmtId="3" fontId="43" fillId="0" borderId="0" xfId="1" applyNumberFormat="1" applyFont="1" applyFill="1" applyAlignment="1">
      <alignment horizontal="right"/>
    </xf>
    <xf numFmtId="3" fontId="13" fillId="0" borderId="8" xfId="0" applyNumberFormat="1" applyFont="1" applyBorder="1" applyAlignment="1">
      <alignment horizontal="right"/>
    </xf>
    <xf numFmtId="1" fontId="42" fillId="0" borderId="0" xfId="0" applyNumberFormat="1" applyFont="1" applyAlignment="1">
      <alignment horizontal="right"/>
    </xf>
    <xf numFmtId="1" fontId="45" fillId="0" borderId="0" xfId="0" applyNumberFormat="1" applyFont="1" applyAlignment="1">
      <alignment horizontal="right"/>
    </xf>
    <xf numFmtId="168" fontId="14" fillId="0" borderId="0" xfId="0" applyNumberFormat="1" applyFont="1" applyBorder="1" applyAlignment="1">
      <alignment horizontal="right"/>
    </xf>
    <xf numFmtId="168" fontId="14" fillId="0" borderId="0" xfId="0" applyNumberFormat="1" applyFont="1" applyFill="1" applyBorder="1" applyAlignment="1">
      <alignment horizontal="right"/>
    </xf>
    <xf numFmtId="3" fontId="8" fillId="0" borderId="8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3" fillId="0" borderId="2" xfId="0" applyNumberFormat="1" applyFont="1" applyBorder="1" applyAlignment="1">
      <alignment horizontal="right"/>
    </xf>
    <xf numFmtId="1" fontId="14" fillId="0" borderId="0" xfId="0" applyNumberFormat="1" applyFont="1" applyBorder="1" applyAlignment="1">
      <alignment horizontal="right"/>
    </xf>
    <xf numFmtId="1" fontId="14" fillId="0" borderId="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NumberFormat="1" applyFont="1" applyAlignment="1">
      <alignment horizontal="right"/>
    </xf>
    <xf numFmtId="1" fontId="47" fillId="0" borderId="0" xfId="0" applyNumberFormat="1" applyFont="1" applyBorder="1"/>
    <xf numFmtId="1" fontId="48" fillId="0" borderId="0" xfId="0" applyNumberFormat="1" applyFont="1" applyBorder="1"/>
    <xf numFmtId="1" fontId="41" fillId="0" borderId="0" xfId="0" applyNumberFormat="1" applyFont="1" applyBorder="1"/>
    <xf numFmtId="1" fontId="8" fillId="0" borderId="5" xfId="0" applyNumberFormat="1" applyFont="1" applyBorder="1"/>
    <xf numFmtId="1" fontId="7" fillId="0" borderId="5" xfId="0" applyNumberFormat="1" applyFont="1" applyBorder="1"/>
    <xf numFmtId="1" fontId="22" fillId="0" borderId="5" xfId="0" applyNumberFormat="1" applyFont="1" applyBorder="1"/>
    <xf numFmtId="1" fontId="42" fillId="0" borderId="5" xfId="0" applyNumberFormat="1" applyFont="1" applyBorder="1"/>
    <xf numFmtId="0" fontId="14" fillId="3" borderId="0" xfId="0" applyFont="1" applyFill="1"/>
    <xf numFmtId="0" fontId="14" fillId="3" borderId="0" xfId="0" applyFont="1" applyFill="1" applyAlignment="1">
      <alignment horizontal="right"/>
    </xf>
    <xf numFmtId="1" fontId="14" fillId="0" borderId="0" xfId="11" applyNumberFormat="1" applyFont="1" applyFill="1"/>
    <xf numFmtId="3" fontId="14" fillId="0" borderId="0" xfId="1" applyNumberFormat="1" applyFont="1" applyFill="1" applyBorder="1"/>
    <xf numFmtId="3" fontId="14" fillId="0" borderId="0" xfId="1" applyNumberFormat="1" applyFont="1" applyFill="1"/>
    <xf numFmtId="1" fontId="14" fillId="0" borderId="0" xfId="0" applyNumberFormat="1" applyFont="1" applyFill="1" applyBorder="1"/>
    <xf numFmtId="3" fontId="49" fillId="0" borderId="0" xfId="0" applyNumberFormat="1" applyFont="1" applyFill="1" applyAlignment="1">
      <alignment horizontal="right"/>
    </xf>
    <xf numFmtId="3" fontId="49" fillId="0" borderId="0" xfId="1" applyNumberFormat="1" applyFont="1" applyFill="1" applyAlignment="1">
      <alignment horizontal="right"/>
    </xf>
    <xf numFmtId="3" fontId="49" fillId="0" borderId="0" xfId="0" applyNumberFormat="1" applyFont="1" applyFill="1" applyBorder="1" applyAlignment="1">
      <alignment horizontal="right"/>
    </xf>
    <xf numFmtId="3" fontId="49" fillId="0" borderId="0" xfId="0" applyNumberFormat="1" applyFont="1" applyFill="1" applyBorder="1"/>
    <xf numFmtId="3" fontId="8" fillId="0" borderId="0" xfId="2" applyFont="1" applyFill="1" applyBorder="1" applyAlignment="1">
      <alignment horizontal="right"/>
    </xf>
    <xf numFmtId="3" fontId="8" fillId="0" borderId="0" xfId="2" applyFont="1" applyFill="1" applyBorder="1"/>
    <xf numFmtId="3" fontId="14" fillId="0" borderId="0" xfId="2" applyFont="1" applyFill="1" applyBorder="1" applyAlignment="1">
      <alignment horizontal="right"/>
    </xf>
    <xf numFmtId="1" fontId="49" fillId="0" borderId="0" xfId="0" applyNumberFormat="1" applyFont="1" applyFill="1"/>
    <xf numFmtId="164" fontId="14" fillId="0" borderId="4" xfId="11" applyNumberFormat="1" applyFont="1" applyFill="1" applyBorder="1" applyAlignment="1">
      <alignment horizontal="right"/>
    </xf>
    <xf numFmtId="164" fontId="14" fillId="0" borderId="0" xfId="11" applyNumberFormat="1" applyFont="1" applyFill="1"/>
    <xf numFmtId="3" fontId="49" fillId="0" borderId="0" xfId="1" applyNumberFormat="1" applyFont="1" applyFill="1"/>
    <xf numFmtId="164" fontId="13" fillId="0" borderId="4" xfId="1" quotePrefix="1" applyNumberFormat="1" applyFont="1" applyBorder="1" applyAlignment="1">
      <alignment horizontal="right"/>
    </xf>
    <xf numFmtId="1" fontId="52" fillId="0" borderId="0" xfId="0" applyNumberFormat="1" applyFont="1" applyAlignment="1">
      <alignment horizontal="right"/>
    </xf>
    <xf numFmtId="3" fontId="52" fillId="0" borderId="0" xfId="1" applyNumberFormat="1" applyFont="1" applyAlignment="1">
      <alignment horizontal="right"/>
    </xf>
    <xf numFmtId="0" fontId="26" fillId="0" borderId="0" xfId="0" quotePrefix="1" applyFont="1" applyAlignment="1">
      <alignment horizontal="left"/>
    </xf>
    <xf numFmtId="0" fontId="26" fillId="0" borderId="0" xfId="0" applyFont="1" applyFill="1"/>
    <xf numFmtId="4" fontId="26" fillId="0" borderId="0" xfId="1" applyFont="1"/>
    <xf numFmtId="0" fontId="26" fillId="0" borderId="0" xfId="0" applyFont="1" applyBorder="1"/>
    <xf numFmtId="1" fontId="30" fillId="0" borderId="0" xfId="0" applyNumberFormat="1" applyFont="1"/>
    <xf numFmtId="166" fontId="54" fillId="0" borderId="0" xfId="58" applyFont="1"/>
    <xf numFmtId="1" fontId="56" fillId="0" borderId="0" xfId="0" applyNumberFormat="1" applyFont="1"/>
    <xf numFmtId="1" fontId="56" fillId="0" borderId="0" xfId="0" applyNumberFormat="1" applyFont="1" applyBorder="1"/>
    <xf numFmtId="1" fontId="54" fillId="0" borderId="0" xfId="0" applyNumberFormat="1" applyFont="1" applyBorder="1"/>
    <xf numFmtId="3" fontId="54" fillId="0" borderId="0" xfId="1" applyNumberFormat="1" applyFont="1"/>
    <xf numFmtId="3" fontId="54" fillId="0" borderId="0" xfId="1" applyNumberFormat="1" applyFont="1" applyBorder="1"/>
    <xf numFmtId="1" fontId="54" fillId="0" borderId="0" xfId="0" applyNumberFormat="1" applyFont="1"/>
    <xf numFmtId="3" fontId="54" fillId="3" borderId="0" xfId="0" applyNumberFormat="1" applyFont="1" applyFill="1" applyBorder="1" applyAlignment="1">
      <alignment horizontal="right"/>
    </xf>
    <xf numFmtId="3" fontId="54" fillId="0" borderId="0" xfId="0" applyNumberFormat="1" applyFont="1" applyBorder="1" applyAlignment="1">
      <alignment horizontal="right"/>
    </xf>
    <xf numFmtId="3" fontId="54" fillId="0" borderId="0" xfId="1" applyNumberFormat="1" applyFont="1" applyAlignment="1">
      <alignment horizontal="right"/>
    </xf>
    <xf numFmtId="3" fontId="54" fillId="0" borderId="0" xfId="1" applyNumberFormat="1" applyFont="1" applyFill="1" applyAlignment="1">
      <alignment horizontal="right"/>
    </xf>
    <xf numFmtId="1" fontId="54" fillId="0" borderId="0" xfId="0" applyNumberFormat="1" applyFont="1" applyAlignment="1">
      <alignment horizontal="right"/>
    </xf>
    <xf numFmtId="1" fontId="54" fillId="0" borderId="0" xfId="0" applyNumberFormat="1" applyFont="1" applyFill="1" applyAlignment="1">
      <alignment horizontal="right"/>
    </xf>
    <xf numFmtId="164" fontId="54" fillId="0" borderId="0" xfId="0" applyNumberFormat="1" applyFont="1" applyAlignment="1">
      <alignment horizontal="right"/>
    </xf>
    <xf numFmtId="1" fontId="14" fillId="0" borderId="0" xfId="0" applyNumberFormat="1" applyFont="1" applyBorder="1" applyAlignment="1">
      <alignment horizontal="centerContinuous"/>
    </xf>
    <xf numFmtId="3" fontId="52" fillId="0" borderId="0" xfId="1" applyNumberFormat="1" applyFont="1" applyFill="1" applyAlignment="1">
      <alignment horizontal="right"/>
    </xf>
    <xf numFmtId="3" fontId="52" fillId="0" borderId="0" xfId="0" applyNumberFormat="1" applyFont="1" applyFill="1" applyBorder="1" applyAlignment="1">
      <alignment horizontal="right"/>
    </xf>
    <xf numFmtId="1" fontId="52" fillId="0" borderId="0" xfId="0" applyNumberFormat="1" applyFont="1" applyFill="1" applyBorder="1"/>
    <xf numFmtId="168" fontId="58" fillId="0" borderId="0" xfId="1" applyNumberFormat="1" applyFont="1" applyFill="1"/>
    <xf numFmtId="3" fontId="58" fillId="0" borderId="0" xfId="1" applyNumberFormat="1" applyFont="1" applyFill="1" applyAlignment="1">
      <alignment horizontal="right"/>
    </xf>
    <xf numFmtId="1" fontId="52" fillId="0" borderId="0" xfId="0" applyNumberFormat="1" applyFont="1" applyBorder="1"/>
    <xf numFmtId="1" fontId="52" fillId="0" borderId="0" xfId="0" applyNumberFormat="1" applyFont="1"/>
    <xf numFmtId="1" fontId="59" fillId="0" borderId="0" xfId="0" applyNumberFormat="1" applyFont="1"/>
    <xf numFmtId="1" fontId="61" fillId="0" borderId="0" xfId="0" applyNumberFormat="1" applyFont="1" applyAlignment="1">
      <alignment horizontal="right"/>
    </xf>
    <xf numFmtId="3" fontId="62" fillId="0" borderId="0" xfId="1" applyNumberFormat="1" applyFont="1" applyBorder="1"/>
    <xf numFmtId="3" fontId="62" fillId="0" borderId="0" xfId="1" applyNumberFormat="1" applyFont="1"/>
    <xf numFmtId="1" fontId="62" fillId="0" borderId="0" xfId="0" applyNumberFormat="1" applyFont="1" applyBorder="1"/>
    <xf numFmtId="3" fontId="62" fillId="0" borderId="0" xfId="0" applyNumberFormat="1" applyFont="1" applyBorder="1" applyAlignment="1">
      <alignment horizontal="right"/>
    </xf>
    <xf numFmtId="1" fontId="62" fillId="0" borderId="0" xfId="0" applyNumberFormat="1" applyFont="1"/>
    <xf numFmtId="164" fontId="62" fillId="0" borderId="0" xfId="0" applyNumberFormat="1" applyFont="1" applyAlignment="1">
      <alignment horizontal="right"/>
    </xf>
    <xf numFmtId="166" fontId="62" fillId="0" borderId="0" xfId="58" applyFont="1"/>
    <xf numFmtId="1" fontId="64" fillId="0" borderId="0" xfId="0" applyNumberFormat="1" applyFont="1"/>
    <xf numFmtId="1" fontId="57" fillId="0" borderId="0" xfId="0" applyNumberFormat="1" applyFont="1"/>
    <xf numFmtId="3" fontId="14" fillId="0" borderId="0" xfId="1" applyNumberFormat="1" applyFont="1" applyBorder="1" applyAlignment="1"/>
    <xf numFmtId="3" fontId="8" fillId="0" borderId="0" xfId="2" applyFont="1"/>
    <xf numFmtId="3" fontId="14" fillId="0" borderId="0" xfId="1" applyNumberFormat="1" applyFont="1" applyBorder="1"/>
    <xf numFmtId="3" fontId="54" fillId="0" borderId="0" xfId="1" applyNumberFormat="1" applyFont="1" applyBorder="1"/>
    <xf numFmtId="3" fontId="8" fillId="0" borderId="0" xfId="2" applyFont="1"/>
    <xf numFmtId="3" fontId="8" fillId="0" borderId="0" xfId="1" applyNumberFormat="1" applyFont="1" applyBorder="1" applyAlignment="1">
      <alignment horizontal="right"/>
    </xf>
    <xf numFmtId="3" fontId="14" fillId="0" borderId="0" xfId="1" applyNumberFormat="1" applyFont="1" applyAlignment="1">
      <alignment horizontal="right"/>
    </xf>
    <xf numFmtId="3" fontId="14" fillId="0" borderId="0" xfId="1" applyNumberFormat="1" applyFont="1" applyAlignment="1"/>
    <xf numFmtId="3" fontId="14" fillId="0" borderId="0" xfId="1" applyNumberFormat="1" applyFont="1" applyFill="1" applyAlignment="1">
      <alignment horizontal="right"/>
    </xf>
    <xf numFmtId="1" fontId="14" fillId="0" borderId="0" xfId="11" applyNumberFormat="1" applyFont="1" applyAlignment="1"/>
    <xf numFmtId="3" fontId="14" fillId="0" borderId="0" xfId="1" applyNumberFormat="1" applyFont="1" applyAlignment="1">
      <alignment horizontal="right"/>
    </xf>
    <xf numFmtId="168" fontId="14" fillId="0" borderId="0" xfId="1" applyNumberFormat="1" applyFont="1" applyBorder="1"/>
    <xf numFmtId="3" fontId="14" fillId="0" borderId="0" xfId="1" applyNumberFormat="1" applyFont="1" applyBorder="1"/>
    <xf numFmtId="3" fontId="14" fillId="0" borderId="0" xfId="1" applyNumberFormat="1" applyFont="1" applyFill="1" applyAlignment="1">
      <alignment horizontal="right"/>
    </xf>
    <xf numFmtId="168" fontId="14" fillId="0" borderId="0" xfId="1" applyNumberFormat="1" applyFont="1" applyFill="1" applyBorder="1" applyAlignment="1">
      <alignment horizontal="right"/>
    </xf>
    <xf numFmtId="3" fontId="46" fillId="0" borderId="0" xfId="1" applyNumberFormat="1" applyFont="1" applyFill="1" applyAlignment="1">
      <alignment horizontal="right"/>
    </xf>
    <xf numFmtId="3" fontId="14" fillId="0" borderId="8" xfId="1" applyNumberFormat="1" applyFont="1" applyFill="1" applyBorder="1" applyAlignment="1">
      <alignment horizontal="right"/>
    </xf>
    <xf numFmtId="164" fontId="14" fillId="0" borderId="0" xfId="11" applyNumberFormat="1" applyFont="1" applyBorder="1" applyAlignment="1">
      <alignment horizontal="right"/>
    </xf>
    <xf numFmtId="1" fontId="65" fillId="0" borderId="0" xfId="0" applyNumberFormat="1" applyFont="1"/>
    <xf numFmtId="1" fontId="65" fillId="0" borderId="0" xfId="0" applyNumberFormat="1" applyFont="1" applyBorder="1"/>
    <xf numFmtId="1" fontId="52" fillId="0" borderId="3" xfId="0" applyNumberFormat="1" applyFont="1" applyBorder="1"/>
    <xf numFmtId="1" fontId="61" fillId="0" borderId="0" xfId="0" applyNumberFormat="1" applyFont="1" applyBorder="1"/>
    <xf numFmtId="1" fontId="65" fillId="0" borderId="5" xfId="0" applyNumberFormat="1" applyFont="1" applyBorder="1"/>
    <xf numFmtId="164" fontId="52" fillId="0" borderId="0" xfId="11" applyNumberFormat="1" applyFont="1" applyBorder="1"/>
    <xf numFmtId="3" fontId="52" fillId="0" borderId="0" xfId="1" applyNumberFormat="1" applyFont="1"/>
    <xf numFmtId="3" fontId="52" fillId="0" borderId="0" xfId="1" applyNumberFormat="1" applyFont="1" applyBorder="1"/>
    <xf numFmtId="164" fontId="52" fillId="0" borderId="4" xfId="12" applyFont="1" applyBorder="1"/>
    <xf numFmtId="0" fontId="52" fillId="0" borderId="0" xfId="0" applyFont="1" applyAlignment="1">
      <alignment horizontal="right"/>
    </xf>
    <xf numFmtId="0" fontId="52" fillId="0" borderId="0" xfId="0" applyFont="1" applyBorder="1"/>
    <xf numFmtId="0" fontId="52" fillId="3" borderId="2" xfId="0" applyFont="1" applyFill="1" applyBorder="1" applyAlignment="1">
      <alignment horizontal="right"/>
    </xf>
    <xf numFmtId="167" fontId="52" fillId="0" borderId="4" xfId="0" applyNumberFormat="1" applyFont="1" applyBorder="1"/>
    <xf numFmtId="3" fontId="52" fillId="0" borderId="0" xfId="2" applyFont="1" applyBorder="1" applyAlignment="1">
      <alignment horizontal="right"/>
    </xf>
    <xf numFmtId="3" fontId="52" fillId="3" borderId="0" xfId="0" applyNumberFormat="1" applyFont="1" applyFill="1" applyBorder="1" applyAlignment="1">
      <alignment horizontal="right"/>
    </xf>
    <xf numFmtId="3" fontId="52" fillId="0" borderId="0" xfId="0" applyNumberFormat="1" applyFont="1" applyBorder="1" applyAlignment="1">
      <alignment horizontal="right"/>
    </xf>
    <xf numFmtId="3" fontId="52" fillId="0" borderId="0" xfId="1" applyNumberFormat="1" applyFont="1" applyBorder="1" applyAlignment="1"/>
    <xf numFmtId="3" fontId="52" fillId="0" borderId="0" xfId="1" applyNumberFormat="1" applyFont="1" applyFill="1"/>
    <xf numFmtId="3" fontId="52" fillId="0" borderId="0" xfId="0" applyNumberFormat="1" applyFont="1"/>
    <xf numFmtId="3" fontId="52" fillId="0" borderId="0" xfId="0" applyNumberFormat="1" applyFont="1" applyAlignment="1">
      <alignment horizontal="right"/>
    </xf>
    <xf numFmtId="3" fontId="52" fillId="0" borderId="0" xfId="1" applyNumberFormat="1" applyFont="1" applyFill="1" applyBorder="1"/>
    <xf numFmtId="164" fontId="52" fillId="0" borderId="8" xfId="0" applyNumberFormat="1" applyFont="1" applyBorder="1"/>
    <xf numFmtId="1" fontId="60" fillId="0" borderId="0" xfId="0" applyNumberFormat="1" applyFont="1" applyAlignment="1">
      <alignment horizontal="right"/>
    </xf>
    <xf numFmtId="1" fontId="60" fillId="0" borderId="0" xfId="0" applyNumberFormat="1" applyFont="1"/>
    <xf numFmtId="1" fontId="52" fillId="0" borderId="0" xfId="0" applyNumberFormat="1" applyFont="1" applyFill="1"/>
    <xf numFmtId="3" fontId="52" fillId="0" borderId="0" xfId="2" applyFont="1" applyFill="1" applyBorder="1" applyAlignment="1">
      <alignment horizontal="right"/>
    </xf>
    <xf numFmtId="164" fontId="52" fillId="0" borderId="4" xfId="11" applyNumberFormat="1" applyFont="1" applyFill="1" applyBorder="1" applyAlignment="1">
      <alignment horizontal="right"/>
    </xf>
    <xf numFmtId="164" fontId="52" fillId="0" borderId="4" xfId="11" applyNumberFormat="1" applyFont="1" applyBorder="1" applyAlignment="1">
      <alignment horizontal="right"/>
    </xf>
    <xf numFmtId="0" fontId="52" fillId="0" borderId="0" xfId="0" applyFont="1"/>
    <xf numFmtId="1" fontId="52" fillId="0" borderId="0" xfId="0" applyNumberFormat="1" applyFont="1" applyFill="1" applyAlignment="1">
      <alignment horizontal="right"/>
    </xf>
    <xf numFmtId="164" fontId="52" fillId="0" borderId="0" xfId="0" applyNumberFormat="1" applyFont="1" applyAlignment="1">
      <alignment horizontal="right"/>
    </xf>
    <xf numFmtId="164" fontId="52" fillId="0" borderId="0" xfId="11" applyNumberFormat="1" applyFont="1" applyFill="1"/>
    <xf numFmtId="164" fontId="52" fillId="0" borderId="0" xfId="11" applyNumberFormat="1" applyFont="1" applyAlignment="1">
      <alignment horizontal="right"/>
    </xf>
    <xf numFmtId="1" fontId="52" fillId="0" borderId="0" xfId="0" applyNumberFormat="1" applyFont="1" applyBorder="1" applyAlignment="1">
      <alignment horizontal="right"/>
    </xf>
    <xf numFmtId="164" fontId="52" fillId="0" borderId="7" xfId="0" applyNumberFormat="1" applyFont="1" applyBorder="1"/>
    <xf numFmtId="166" fontId="52" fillId="0" borderId="0" xfId="58" applyFont="1"/>
    <xf numFmtId="1" fontId="56" fillId="0" borderId="0" xfId="0" applyNumberFormat="1" applyFont="1" applyAlignment="1">
      <alignment horizontal="centerContinuous"/>
    </xf>
    <xf numFmtId="1" fontId="62" fillId="0" borderId="3" xfId="0" applyNumberFormat="1" applyFont="1" applyBorder="1"/>
    <xf numFmtId="1" fontId="56" fillId="0" borderId="3" xfId="0" applyNumberFormat="1" applyFont="1" applyBorder="1"/>
    <xf numFmtId="1" fontId="56" fillId="0" borderId="5" xfId="0" applyNumberFormat="1" applyFont="1" applyBorder="1"/>
    <xf numFmtId="1" fontId="62" fillId="0" borderId="5" xfId="0" applyNumberFormat="1" applyFont="1" applyBorder="1"/>
    <xf numFmtId="166" fontId="62" fillId="0" borderId="0" xfId="58" applyFont="1" applyBorder="1"/>
    <xf numFmtId="166" fontId="62" fillId="0" borderId="0" xfId="58" applyFont="1" applyAlignment="1">
      <alignment horizontal="right"/>
    </xf>
    <xf numFmtId="3" fontId="62" fillId="3" borderId="0" xfId="0" applyNumberFormat="1" applyFont="1" applyFill="1" applyBorder="1" applyAlignment="1">
      <alignment horizontal="right"/>
    </xf>
    <xf numFmtId="3" fontId="52" fillId="0" borderId="4" xfId="0" applyNumberFormat="1" applyFont="1" applyBorder="1" applyAlignment="1">
      <alignment horizontal="right"/>
    </xf>
    <xf numFmtId="3" fontId="52" fillId="0" borderId="4" xfId="0" applyNumberFormat="1" applyFont="1" applyFill="1" applyBorder="1" applyAlignment="1">
      <alignment horizontal="right"/>
    </xf>
    <xf numFmtId="166" fontId="52" fillId="0" borderId="0" xfId="0" applyNumberFormat="1" applyFont="1" applyAlignment="1">
      <alignment horizontal="right"/>
    </xf>
    <xf numFmtId="3" fontId="52" fillId="0" borderId="8" xfId="0" applyNumberFormat="1" applyFont="1" applyBorder="1" applyAlignment="1">
      <alignment horizontal="right"/>
    </xf>
    <xf numFmtId="3" fontId="52" fillId="0" borderId="4" xfId="1" applyNumberFormat="1" applyFont="1" applyBorder="1" applyAlignment="1">
      <alignment horizontal="right"/>
    </xf>
    <xf numFmtId="3" fontId="52" fillId="0" borderId="8" xfId="1" applyNumberFormat="1" applyFont="1" applyBorder="1" applyAlignment="1">
      <alignment horizontal="right"/>
    </xf>
    <xf numFmtId="3" fontId="52" fillId="0" borderId="8" xfId="0" applyNumberFormat="1" applyFont="1" applyBorder="1"/>
    <xf numFmtId="3" fontId="52" fillId="0" borderId="0" xfId="1" applyNumberFormat="1" applyFont="1" applyFill="1" applyBorder="1" applyAlignment="1">
      <alignment horizontal="right"/>
    </xf>
    <xf numFmtId="1" fontId="57" fillId="0" borderId="0" xfId="0" applyNumberFormat="1" applyFont="1" applyFill="1"/>
    <xf numFmtId="164" fontId="0" fillId="0" borderId="0" xfId="0" applyNumberFormat="1" applyFill="1"/>
    <xf numFmtId="0" fontId="31" fillId="0" borderId="0" xfId="0" applyFont="1" applyFill="1"/>
    <xf numFmtId="164" fontId="8" fillId="0" borderId="4" xfId="12" applyFont="1" applyFill="1" applyBorder="1"/>
    <xf numFmtId="164" fontId="14" fillId="0" borderId="4" xfId="12" applyFont="1" applyFill="1" applyBorder="1"/>
    <xf numFmtId="164" fontId="52" fillId="0" borderId="4" xfId="12" applyFont="1" applyFill="1" applyBorder="1"/>
    <xf numFmtId="164" fontId="8" fillId="0" borderId="8" xfId="0" applyNumberFormat="1" applyFont="1" applyFill="1" applyBorder="1"/>
    <xf numFmtId="164" fontId="52" fillId="0" borderId="8" xfId="0" applyNumberFormat="1" applyFont="1" applyFill="1" applyBorder="1"/>
    <xf numFmtId="0" fontId="32" fillId="0" borderId="0" xfId="0" applyFont="1" applyFill="1"/>
    <xf numFmtId="164" fontId="14" fillId="0" borderId="8" xfId="0" applyNumberFormat="1" applyFont="1" applyFill="1" applyBorder="1"/>
    <xf numFmtId="164" fontId="14" fillId="0" borderId="8" xfId="11" applyNumberFormat="1" applyFont="1" applyFill="1" applyBorder="1"/>
    <xf numFmtId="164" fontId="52" fillId="0" borderId="8" xfId="11" applyNumberFormat="1" applyFont="1" applyFill="1" applyBorder="1"/>
    <xf numFmtId="164" fontId="14" fillId="0" borderId="8" xfId="0" applyNumberFormat="1" applyFont="1" applyFill="1" applyBorder="1" applyAlignment="1">
      <alignment horizontal="right"/>
    </xf>
    <xf numFmtId="166" fontId="52" fillId="0" borderId="4" xfId="58" applyFont="1" applyBorder="1"/>
    <xf numFmtId="164" fontId="52" fillId="0" borderId="0" xfId="11" applyNumberFormat="1" applyFont="1" applyAlignment="1"/>
    <xf numFmtId="3" fontId="52" fillId="0" borderId="0" xfId="1" applyNumberFormat="1" applyFont="1" applyAlignment="1"/>
    <xf numFmtId="164" fontId="52" fillId="0" borderId="4" xfId="11" applyNumberFormat="1" applyFont="1" applyBorder="1" applyAlignment="1"/>
    <xf numFmtId="166" fontId="52" fillId="0" borderId="0" xfId="58" applyFont="1" applyAlignment="1">
      <alignment horizontal="right"/>
    </xf>
    <xf numFmtId="1" fontId="52" fillId="0" borderId="0" xfId="11" applyNumberFormat="1" applyFont="1" applyAlignment="1"/>
    <xf numFmtId="0" fontId="52" fillId="3" borderId="0" xfId="0" applyFont="1" applyFill="1" applyAlignment="1">
      <alignment horizontal="right"/>
    </xf>
    <xf numFmtId="166" fontId="52" fillId="0" borderId="8" xfId="58" applyFont="1" applyBorder="1"/>
    <xf numFmtId="166" fontId="52" fillId="0" borderId="0" xfId="58" applyFont="1" applyFill="1"/>
    <xf numFmtId="166" fontId="52" fillId="0" borderId="0" xfId="58" applyFont="1" applyFill="1" applyAlignment="1">
      <alignment horizontal="right"/>
    </xf>
    <xf numFmtId="0" fontId="52" fillId="0" borderId="0" xfId="11" applyNumberFormat="1" applyFont="1" applyAlignment="1">
      <alignment horizontal="right"/>
    </xf>
    <xf numFmtId="0" fontId="60" fillId="0" borderId="0" xfId="0" applyFont="1"/>
    <xf numFmtId="3" fontId="52" fillId="0" borderId="0" xfId="2" applyFont="1"/>
    <xf numFmtId="3" fontId="65" fillId="0" borderId="0" xfId="0" applyNumberFormat="1" applyFont="1"/>
    <xf numFmtId="1" fontId="65" fillId="0" borderId="0" xfId="0" applyNumberFormat="1" applyFont="1" applyAlignment="1">
      <alignment horizontal="right"/>
    </xf>
    <xf numFmtId="3" fontId="52" fillId="0" borderId="0" xfId="0" applyNumberFormat="1" applyFont="1" applyFill="1" applyAlignment="1">
      <alignment horizontal="right"/>
    </xf>
    <xf numFmtId="166" fontId="52" fillId="0" borderId="7" xfId="58" applyFont="1" applyBorder="1"/>
    <xf numFmtId="1" fontId="60" fillId="0" borderId="0" xfId="0" applyNumberFormat="1" applyFont="1" applyBorder="1" applyAlignment="1"/>
    <xf numFmtId="166" fontId="65" fillId="0" borderId="0" xfId="58" applyFont="1"/>
    <xf numFmtId="166" fontId="52" fillId="0" borderId="0" xfId="59" applyFont="1" applyAlignment="1">
      <alignment horizontal="right"/>
    </xf>
    <xf numFmtId="1" fontId="65" fillId="0" borderId="3" xfId="0" applyNumberFormat="1" applyFont="1" applyBorder="1"/>
    <xf numFmtId="164" fontId="52" fillId="0" borderId="8" xfId="11" applyNumberFormat="1" applyFont="1" applyBorder="1" applyAlignment="1"/>
    <xf numFmtId="164" fontId="52" fillId="0" borderId="0" xfId="11" quotePrefix="1" applyNumberFormat="1" applyFont="1" applyAlignment="1">
      <alignment horizontal="right"/>
    </xf>
    <xf numFmtId="164" fontId="52" fillId="0" borderId="8" xfId="11" applyNumberFormat="1" applyFont="1" applyBorder="1" applyAlignment="1">
      <alignment horizontal="right"/>
    </xf>
    <xf numFmtId="164" fontId="52" fillId="0" borderId="0" xfId="0" applyNumberFormat="1" applyFont="1"/>
    <xf numFmtId="164" fontId="52" fillId="0" borderId="2" xfId="11" applyNumberFormat="1" applyFont="1" applyBorder="1" applyAlignment="1">
      <alignment horizontal="right"/>
    </xf>
    <xf numFmtId="164" fontId="52" fillId="0" borderId="5" xfId="11" applyNumberFormat="1" applyFont="1" applyBorder="1" applyAlignment="1"/>
    <xf numFmtId="164" fontId="52" fillId="0" borderId="6" xfId="11" applyNumberFormat="1" applyFont="1" applyBorder="1" applyAlignment="1"/>
    <xf numFmtId="1" fontId="65" fillId="0" borderId="0" xfId="0" applyNumberFormat="1" applyFont="1" applyFill="1"/>
    <xf numFmtId="1" fontId="60" fillId="0" borderId="0" xfId="0" applyNumberFormat="1" applyFont="1" applyFill="1"/>
    <xf numFmtId="3" fontId="60" fillId="4" borderId="0" xfId="1" applyNumberFormat="1" applyFont="1" applyFill="1" applyBorder="1"/>
    <xf numFmtId="1" fontId="8" fillId="0" borderId="4" xfId="0" applyNumberFormat="1" applyFont="1" applyBorder="1" applyAlignment="1">
      <alignment horizontal="right"/>
    </xf>
    <xf numFmtId="164" fontId="8" fillId="0" borderId="4" xfId="11" applyNumberFormat="1" applyFont="1" applyBorder="1" applyAlignment="1">
      <alignment horizontal="right"/>
    </xf>
    <xf numFmtId="164" fontId="52" fillId="0" borderId="0" xfId="11" applyNumberFormat="1" applyFont="1"/>
    <xf numFmtId="3" fontId="8" fillId="0" borderId="4" xfId="1" quotePrefix="1" applyNumberFormat="1" applyFont="1" applyBorder="1" applyAlignment="1">
      <alignment horizontal="right"/>
    </xf>
    <xf numFmtId="1" fontId="0" fillId="0" borderId="5" xfId="0" applyNumberFormat="1" applyBorder="1"/>
    <xf numFmtId="164" fontId="52" fillId="0" borderId="0" xfId="11" applyNumberFormat="1" applyFont="1" applyBorder="1" applyAlignment="1"/>
    <xf numFmtId="7" fontId="13" fillId="0" borderId="0" xfId="11" quotePrefix="1" applyNumberFormat="1" applyFont="1" applyAlignment="1">
      <alignment horizontal="right"/>
    </xf>
    <xf numFmtId="1" fontId="26" fillId="0" borderId="0" xfId="0" applyNumberFormat="1" applyFont="1" applyBorder="1" applyAlignment="1">
      <alignment horizontal="center"/>
    </xf>
    <xf numFmtId="3" fontId="52" fillId="0" borderId="0" xfId="1" quotePrefix="1" applyNumberFormat="1" applyFont="1" applyAlignment="1">
      <alignment horizontal="right"/>
    </xf>
    <xf numFmtId="0" fontId="8" fillId="0" borderId="0" xfId="0" applyFont="1" applyAlignment="1">
      <alignment horizontal="right"/>
    </xf>
    <xf numFmtId="3" fontId="52" fillId="3" borderId="0" xfId="1" applyNumberFormat="1" applyFont="1" applyFill="1" applyAlignment="1">
      <alignment horizontal="right"/>
    </xf>
    <xf numFmtId="1" fontId="5" fillId="0" borderId="0" xfId="0" applyNumberFormat="1" applyFont="1"/>
    <xf numFmtId="3" fontId="8" fillId="0" borderId="0" xfId="0" applyNumberFormat="1" applyFont="1" applyFill="1" applyBorder="1" applyAlignment="1">
      <alignment horizontal="right"/>
    </xf>
    <xf numFmtId="3" fontId="52" fillId="0" borderId="0" xfId="1" applyNumberFormat="1" applyFont="1" applyBorder="1" applyAlignment="1">
      <alignment horizontal="right"/>
    </xf>
    <xf numFmtId="3" fontId="43" fillId="0" borderId="5" xfId="1" applyNumberFormat="1" applyFont="1" applyBorder="1"/>
    <xf numFmtId="166" fontId="65" fillId="0" borderId="5" xfId="58" applyFont="1" applyBorder="1"/>
    <xf numFmtId="164" fontId="13" fillId="0" borderId="4" xfId="1" applyNumberFormat="1" applyFont="1" applyBorder="1"/>
    <xf numFmtId="164" fontId="14" fillId="0" borderId="4" xfId="1" applyNumberFormat="1" applyFont="1" applyBorder="1" applyAlignment="1"/>
    <xf numFmtId="164" fontId="14" fillId="0" borderId="4" xfId="11" applyNumberFormat="1" applyFont="1" applyBorder="1"/>
    <xf numFmtId="164" fontId="52" fillId="0" borderId="4" xfId="11" applyNumberFormat="1" applyFont="1" applyBorder="1"/>
    <xf numFmtId="1" fontId="54" fillId="0" borderId="3" xfId="0" applyNumberFormat="1" applyFont="1" applyBorder="1"/>
    <xf numFmtId="1" fontId="57" fillId="0" borderId="5" xfId="0" applyNumberFormat="1" applyFont="1" applyBorder="1"/>
    <xf numFmtId="1" fontId="57" fillId="0" borderId="0" xfId="0" applyNumberFormat="1" applyFont="1" applyBorder="1"/>
    <xf numFmtId="1" fontId="14" fillId="0" borderId="4" xfId="11" applyNumberFormat="1" applyFont="1" applyBorder="1" applyAlignment="1"/>
    <xf numFmtId="1" fontId="52" fillId="0" borderId="4" xfId="11" applyNumberFormat="1" applyFont="1" applyBorder="1" applyAlignment="1"/>
    <xf numFmtId="3" fontId="62" fillId="0" borderId="0" xfId="1" applyNumberFormat="1" applyFont="1" applyAlignment="1">
      <alignment horizontal="right"/>
    </xf>
    <xf numFmtId="166" fontId="63" fillId="0" borderId="0" xfId="58" applyFont="1"/>
    <xf numFmtId="1" fontId="62" fillId="0" borderId="0" xfId="0" applyNumberFormat="1" applyFont="1" applyFill="1" applyAlignment="1">
      <alignment horizontal="right"/>
    </xf>
    <xf numFmtId="3" fontId="62" fillId="0" borderId="0" xfId="1" applyNumberFormat="1" applyFont="1" applyFill="1" applyAlignment="1">
      <alignment horizontal="right"/>
    </xf>
    <xf numFmtId="1" fontId="62" fillId="0" borderId="0" xfId="0" applyNumberFormat="1" applyFont="1" applyAlignment="1">
      <alignment horizontal="right"/>
    </xf>
    <xf numFmtId="3" fontId="62" fillId="0" borderId="0" xfId="1" applyNumberFormat="1" applyFont="1" applyBorder="1" applyAlignment="1">
      <alignment horizontal="right"/>
    </xf>
    <xf numFmtId="3" fontId="52" fillId="0" borderId="8" xfId="1" applyNumberFormat="1" applyFont="1" applyFill="1" applyBorder="1" applyAlignment="1">
      <alignment horizontal="right"/>
    </xf>
    <xf numFmtId="1" fontId="60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45" fillId="0" borderId="3" xfId="0" applyNumberFormat="1" applyFont="1" applyBorder="1"/>
    <xf numFmtId="1" fontId="45" fillId="0" borderId="5" xfId="0" applyNumberFormat="1" applyFont="1" applyBorder="1"/>
    <xf numFmtId="164" fontId="45" fillId="0" borderId="0" xfId="11" applyNumberFormat="1" applyFont="1"/>
    <xf numFmtId="3" fontId="14" fillId="0" borderId="4" xfId="1" quotePrefix="1" applyNumberFormat="1" applyFont="1" applyBorder="1" applyAlignment="1">
      <alignment horizontal="right"/>
    </xf>
    <xf numFmtId="3" fontId="14" fillId="0" borderId="4" xfId="1" applyNumberFormat="1" applyFont="1" applyBorder="1"/>
    <xf numFmtId="164" fontId="14" fillId="0" borderId="8" xfId="11" applyNumberFormat="1" applyFont="1" applyBorder="1"/>
    <xf numFmtId="164" fontId="14" fillId="0" borderId="0" xfId="11" quotePrefix="1" applyNumberFormat="1" applyFont="1" applyAlignment="1">
      <alignment horizontal="right"/>
    </xf>
    <xf numFmtId="164" fontId="14" fillId="0" borderId="4" xfId="1" applyNumberFormat="1" applyFont="1" applyBorder="1"/>
    <xf numFmtId="3" fontId="14" fillId="0" borderId="0" xfId="1" quotePrefix="1" applyNumberFormat="1" applyFont="1" applyAlignment="1">
      <alignment horizontal="right"/>
    </xf>
    <xf numFmtId="1" fontId="14" fillId="0" borderId="0" xfId="0" applyNumberFormat="1" applyFont="1" applyAlignment="1">
      <alignment horizontal="centerContinuous"/>
    </xf>
    <xf numFmtId="1" fontId="14" fillId="0" borderId="3" xfId="0" applyNumberFormat="1" applyFont="1" applyBorder="1" applyAlignment="1">
      <alignment horizontal="centerContinuous"/>
    </xf>
    <xf numFmtId="1" fontId="14" fillId="0" borderId="5" xfId="0" applyNumberFormat="1" applyFont="1" applyBorder="1"/>
    <xf numFmtId="1" fontId="51" fillId="0" borderId="0" xfId="0" applyNumberFormat="1" applyFont="1" applyAlignment="1">
      <alignment horizontal="centerContinuous"/>
    </xf>
    <xf numFmtId="164" fontId="14" fillId="0" borderId="8" xfId="1" applyNumberFormat="1" applyFont="1" applyBorder="1"/>
    <xf numFmtId="1" fontId="14" fillId="0" borderId="3" xfId="0" applyNumberFormat="1" applyFont="1" applyBorder="1"/>
    <xf numFmtId="164" fontId="14" fillId="0" borderId="0" xfId="0" applyNumberFormat="1" applyFont="1"/>
    <xf numFmtId="1" fontId="45" fillId="0" borderId="2" xfId="0" applyNumberFormat="1" applyFont="1" applyBorder="1"/>
    <xf numFmtId="1" fontId="14" fillId="0" borderId="0" xfId="0" applyNumberFormat="1" applyFont="1" applyBorder="1" applyAlignment="1"/>
    <xf numFmtId="3" fontId="14" fillId="3" borderId="0" xfId="1" applyNumberFormat="1" applyFont="1" applyFill="1" applyBorder="1" applyAlignment="1"/>
    <xf numFmtId="1" fontId="14" fillId="0" borderId="0" xfId="0" applyNumberFormat="1" applyFont="1" applyBorder="1" applyAlignment="1">
      <alignment horizontal="center"/>
    </xf>
    <xf numFmtId="1" fontId="67" fillId="0" borderId="0" xfId="0" applyNumberFormat="1" applyFont="1" applyBorder="1"/>
    <xf numFmtId="3" fontId="14" fillId="3" borderId="0" xfId="1" applyNumberFormat="1" applyFont="1" applyFill="1" applyBorder="1" applyAlignment="1">
      <alignment horizontal="right"/>
    </xf>
    <xf numFmtId="164" fontId="52" fillId="0" borderId="4" xfId="1" applyNumberFormat="1" applyFont="1" applyBorder="1" applyAlignment="1"/>
    <xf numFmtId="3" fontId="52" fillId="3" borderId="0" xfId="1" applyNumberFormat="1" applyFont="1" applyFill="1" applyBorder="1" applyAlignment="1"/>
    <xf numFmtId="164" fontId="52" fillId="0" borderId="8" xfId="1" applyNumberFormat="1" applyFont="1" applyBorder="1" applyAlignment="1"/>
    <xf numFmtId="164" fontId="37" fillId="0" borderId="0" xfId="11" applyNumberFormat="1" applyFont="1"/>
    <xf numFmtId="164" fontId="68" fillId="0" borderId="0" xfId="11" applyNumberFormat="1" applyFont="1"/>
    <xf numFmtId="164" fontId="68" fillId="0" borderId="0" xfId="0" applyNumberFormat="1" applyFont="1"/>
    <xf numFmtId="3" fontId="68" fillId="0" borderId="0" xfId="0" applyNumberFormat="1" applyFont="1"/>
    <xf numFmtId="1" fontId="68" fillId="0" borderId="0" xfId="0" applyNumberFormat="1" applyFont="1"/>
    <xf numFmtId="164" fontId="68" fillId="0" borderId="0" xfId="0" applyNumberFormat="1" applyFont="1" applyAlignment="1">
      <alignment horizontal="right"/>
    </xf>
    <xf numFmtId="164" fontId="69" fillId="0" borderId="0" xfId="0" applyNumberFormat="1" applyFont="1" applyAlignment="1">
      <alignment horizontal="right"/>
    </xf>
    <xf numFmtId="164" fontId="70" fillId="0" borderId="0" xfId="0" applyNumberFormat="1" applyFont="1" applyAlignment="1">
      <alignment horizontal="right"/>
    </xf>
    <xf numFmtId="1" fontId="71" fillId="0" borderId="0" xfId="0" applyNumberFormat="1" applyFont="1"/>
    <xf numFmtId="1" fontId="73" fillId="0" borderId="3" xfId="0" applyNumberFormat="1" applyFont="1" applyBorder="1" applyAlignment="1">
      <alignment horizontal="centerContinuous"/>
    </xf>
    <xf numFmtId="3" fontId="52" fillId="0" borderId="0" xfId="0" applyNumberFormat="1" applyFont="1" applyFill="1"/>
    <xf numFmtId="164" fontId="54" fillId="0" borderId="0" xfId="0" applyNumberFormat="1" applyFont="1"/>
    <xf numFmtId="3" fontId="54" fillId="0" borderId="0" xfId="0" applyNumberFormat="1" applyFont="1"/>
    <xf numFmtId="3" fontId="60" fillId="0" borderId="0" xfId="1" applyNumberFormat="1" applyFont="1" applyFill="1" applyBorder="1"/>
    <xf numFmtId="166" fontId="65" fillId="0" borderId="0" xfId="58" applyFont="1" applyFill="1"/>
    <xf numFmtId="3" fontId="52" fillId="0" borderId="2" xfId="1" applyNumberFormat="1" applyFont="1" applyBorder="1"/>
    <xf numFmtId="1" fontId="57" fillId="0" borderId="5" xfId="0" applyNumberFormat="1" applyFont="1" applyFill="1" applyBorder="1"/>
    <xf numFmtId="166" fontId="52" fillId="0" borderId="0" xfId="0" applyNumberFormat="1" applyFont="1" applyFill="1" applyAlignment="1">
      <alignment horizontal="right"/>
    </xf>
    <xf numFmtId="3" fontId="52" fillId="0" borderId="8" xfId="0" applyNumberFormat="1" applyFont="1" applyFill="1" applyBorder="1" applyAlignment="1">
      <alignment horizontal="right"/>
    </xf>
    <xf numFmtId="3" fontId="52" fillId="0" borderId="4" xfId="1" applyNumberFormat="1" applyFont="1" applyFill="1" applyBorder="1" applyAlignment="1">
      <alignment horizontal="right"/>
    </xf>
    <xf numFmtId="3" fontId="54" fillId="0" borderId="0" xfId="0" applyNumberFormat="1" applyFont="1" applyFill="1" applyBorder="1" applyAlignment="1">
      <alignment horizontal="right"/>
    </xf>
    <xf numFmtId="3" fontId="54" fillId="0" borderId="0" xfId="1" applyNumberFormat="1" applyFont="1" applyFill="1" applyBorder="1" applyAlignment="1">
      <alignment horizontal="right"/>
    </xf>
    <xf numFmtId="3" fontId="52" fillId="0" borderId="8" xfId="0" applyNumberFormat="1" applyFont="1" applyFill="1" applyBorder="1"/>
    <xf numFmtId="3" fontId="63" fillId="0" borderId="0" xfId="1" applyNumberFormat="1" applyFont="1" applyFill="1"/>
    <xf numFmtId="166" fontId="63" fillId="0" borderId="0" xfId="58" applyFont="1" applyFill="1"/>
    <xf numFmtId="3" fontId="63" fillId="0" borderId="0" xfId="0" applyNumberFormat="1" applyFont="1" applyFill="1"/>
    <xf numFmtId="1" fontId="63" fillId="0" borderId="0" xfId="0" applyNumberFormat="1" applyFont="1" applyFill="1"/>
    <xf numFmtId="3" fontId="56" fillId="0" borderId="0" xfId="1" applyNumberFormat="1" applyFont="1" applyFill="1"/>
    <xf numFmtId="1" fontId="56" fillId="0" borderId="0" xfId="0" applyNumberFormat="1" applyFont="1" applyFill="1"/>
    <xf numFmtId="1" fontId="60" fillId="0" borderId="0" xfId="0" applyNumberFormat="1" applyFont="1" applyFill="1" applyBorder="1" applyAlignment="1"/>
    <xf numFmtId="1" fontId="61" fillId="0" borderId="0" xfId="0" applyNumberFormat="1" applyFont="1" applyFill="1" applyBorder="1"/>
    <xf numFmtId="1" fontId="57" fillId="0" borderId="0" xfId="0" applyNumberFormat="1" applyFont="1" applyFill="1" applyBorder="1"/>
    <xf numFmtId="164" fontId="52" fillId="0" borderId="0" xfId="11" applyNumberFormat="1" applyFont="1" applyFill="1" applyBorder="1"/>
    <xf numFmtId="1" fontId="54" fillId="0" borderId="0" xfId="0" applyNumberFormat="1" applyFont="1" applyFill="1"/>
    <xf numFmtId="3" fontId="52" fillId="0" borderId="0" xfId="1" applyNumberFormat="1" applyFont="1" applyFill="1" applyAlignment="1"/>
    <xf numFmtId="3" fontId="54" fillId="0" borderId="0" xfId="1" applyNumberFormat="1" applyFont="1" applyFill="1"/>
    <xf numFmtId="0" fontId="52" fillId="0" borderId="0" xfId="0" applyFont="1" applyFill="1" applyAlignment="1">
      <alignment horizontal="right"/>
    </xf>
    <xf numFmtId="0" fontId="52" fillId="0" borderId="0" xfId="0" applyFont="1" applyFill="1" applyBorder="1"/>
    <xf numFmtId="0" fontId="52" fillId="0" borderId="2" xfId="0" applyFont="1" applyFill="1" applyBorder="1" applyAlignment="1">
      <alignment horizontal="right"/>
    </xf>
    <xf numFmtId="167" fontId="52" fillId="0" borderId="4" xfId="0" applyNumberFormat="1" applyFont="1" applyFill="1" applyBorder="1"/>
    <xf numFmtId="3" fontId="54" fillId="0" borderId="0" xfId="1" applyNumberFormat="1" applyFont="1" applyFill="1" applyBorder="1"/>
    <xf numFmtId="164" fontId="52" fillId="0" borderId="4" xfId="11" applyNumberFormat="1" applyFont="1" applyFill="1" applyBorder="1"/>
    <xf numFmtId="1" fontId="54" fillId="0" borderId="0" xfId="0" applyNumberFormat="1" applyFont="1" applyFill="1" applyBorder="1"/>
    <xf numFmtId="164" fontId="52" fillId="0" borderId="8" xfId="0" applyNumberFormat="1" applyFont="1" applyFill="1" applyBorder="1" applyAlignment="1">
      <alignment horizontal="right"/>
    </xf>
    <xf numFmtId="3" fontId="52" fillId="0" borderId="0" xfId="1" applyNumberFormat="1" applyFont="1" applyFill="1" applyBorder="1" applyAlignment="1"/>
    <xf numFmtId="0" fontId="52" fillId="0" borderId="0" xfId="11" applyNumberFormat="1" applyFont="1" applyFill="1" applyAlignment="1">
      <alignment horizontal="right"/>
    </xf>
    <xf numFmtId="0" fontId="52" fillId="0" borderId="0" xfId="0" applyFont="1" applyFill="1"/>
    <xf numFmtId="164" fontId="54" fillId="0" borderId="0" xfId="0" applyNumberFormat="1" applyFont="1" applyFill="1" applyAlignment="1">
      <alignment horizontal="right"/>
    </xf>
    <xf numFmtId="1" fontId="52" fillId="0" borderId="0" xfId="0" applyNumberFormat="1" applyFont="1" applyFill="1" applyBorder="1" applyAlignment="1">
      <alignment horizontal="right"/>
    </xf>
    <xf numFmtId="164" fontId="52" fillId="0" borderId="0" xfId="0" applyNumberFormat="1" applyFont="1" applyFill="1" applyAlignment="1">
      <alignment horizontal="right"/>
    </xf>
    <xf numFmtId="1" fontId="72" fillId="0" borderId="0" xfId="0" applyNumberFormat="1" applyFont="1" applyFill="1"/>
    <xf numFmtId="164" fontId="52" fillId="0" borderId="4" xfId="0" applyNumberFormat="1" applyFont="1" applyFill="1" applyBorder="1"/>
    <xf numFmtId="164" fontId="52" fillId="0" borderId="7" xfId="0" applyNumberFormat="1" applyFont="1" applyFill="1" applyBorder="1"/>
    <xf numFmtId="166" fontId="54" fillId="0" borderId="0" xfId="58" applyFont="1" applyFill="1"/>
    <xf numFmtId="1" fontId="52" fillId="0" borderId="3" xfId="0" applyNumberFormat="1" applyFont="1" applyFill="1" applyBorder="1"/>
    <xf numFmtId="1" fontId="59" fillId="0" borderId="0" xfId="0" applyNumberFormat="1" applyFont="1" applyFill="1"/>
    <xf numFmtId="7" fontId="52" fillId="0" borderId="0" xfId="11" applyNumberFormat="1" applyFont="1" applyAlignment="1"/>
    <xf numFmtId="170" fontId="52" fillId="0" borderId="0" xfId="11" applyNumberFormat="1" applyFont="1" applyAlignment="1"/>
    <xf numFmtId="1" fontId="56" fillId="5" borderId="0" xfId="0" applyNumberFormat="1" applyFont="1" applyFill="1"/>
    <xf numFmtId="1" fontId="55" fillId="5" borderId="0" xfId="0" applyNumberFormat="1" applyFont="1" applyFill="1"/>
    <xf numFmtId="1" fontId="56" fillId="5" borderId="2" xfId="0" applyNumberFormat="1" applyFont="1" applyFill="1" applyBorder="1"/>
    <xf numFmtId="1" fontId="56" fillId="5" borderId="3" xfId="0" applyNumberFormat="1" applyFont="1" applyFill="1" applyBorder="1"/>
    <xf numFmtId="1" fontId="61" fillId="5" borderId="0" xfId="0" applyNumberFormat="1" applyFont="1" applyFill="1" applyAlignment="1">
      <alignment horizontal="right"/>
    </xf>
    <xf numFmtId="1" fontId="56" fillId="5" borderId="5" xfId="0" applyNumberFormat="1" applyFont="1" applyFill="1" applyBorder="1"/>
    <xf numFmtId="3" fontId="52" fillId="5" borderId="0" xfId="1" applyNumberFormat="1" applyFont="1" applyFill="1"/>
    <xf numFmtId="1" fontId="62" fillId="5" borderId="0" xfId="0" applyNumberFormat="1" applyFont="1" applyFill="1"/>
    <xf numFmtId="1" fontId="52" fillId="5" borderId="0" xfId="0" applyNumberFormat="1" applyFont="1" applyFill="1"/>
    <xf numFmtId="3" fontId="52" fillId="5" borderId="4" xfId="1" applyNumberFormat="1" applyFont="1" applyFill="1" applyBorder="1"/>
    <xf numFmtId="166" fontId="52" fillId="5" borderId="0" xfId="58" applyFont="1" applyFill="1" applyAlignment="1">
      <alignment horizontal="right"/>
    </xf>
    <xf numFmtId="3" fontId="52" fillId="5" borderId="8" xfId="1" applyNumberFormat="1" applyFont="1" applyFill="1" applyBorder="1"/>
    <xf numFmtId="164" fontId="62" fillId="5" borderId="0" xfId="0" applyNumberFormat="1" applyFont="1" applyFill="1"/>
    <xf numFmtId="3" fontId="62" fillId="5" borderId="0" xfId="1" applyNumberFormat="1" applyFont="1" applyFill="1" applyBorder="1"/>
    <xf numFmtId="1" fontId="62" fillId="5" borderId="0" xfId="0" applyNumberFormat="1" applyFont="1" applyFill="1" applyBorder="1"/>
    <xf numFmtId="1" fontId="70" fillId="5" borderId="0" xfId="0" applyNumberFormat="1" applyFont="1" applyFill="1"/>
    <xf numFmtId="3" fontId="52" fillId="5" borderId="7" xfId="1" applyNumberFormat="1" applyFont="1" applyFill="1" applyBorder="1"/>
    <xf numFmtId="1" fontId="63" fillId="5" borderId="0" xfId="0" applyNumberFormat="1" applyFont="1" applyFill="1"/>
    <xf numFmtId="166" fontId="63" fillId="5" borderId="0" xfId="58" applyFont="1" applyFill="1"/>
    <xf numFmtId="166" fontId="62" fillId="5" borderId="0" xfId="58" applyFont="1" applyFill="1"/>
    <xf numFmtId="0" fontId="52" fillId="0" borderId="0" xfId="0" applyFont="1" applyFill="1" applyBorder="1" applyAlignment="1">
      <alignment horizontal="right"/>
    </xf>
    <xf numFmtId="0" fontId="61" fillId="0" borderId="0" xfId="0" applyFont="1" applyFill="1"/>
    <xf numFmtId="1" fontId="52" fillId="4" borderId="0" xfId="0" applyNumberFormat="1" applyFont="1" applyFill="1" applyBorder="1"/>
    <xf numFmtId="168" fontId="52" fillId="0" borderId="0" xfId="78" applyNumberFormat="1" applyFont="1" applyBorder="1"/>
    <xf numFmtId="3" fontId="14" fillId="0" borderId="0" xfId="0" applyNumberFormat="1" applyFont="1" applyFill="1"/>
    <xf numFmtId="3" fontId="8" fillId="0" borderId="0" xfId="2" applyFont="1" applyFill="1"/>
    <xf numFmtId="1" fontId="28" fillId="0" borderId="0" xfId="0" applyNumberFormat="1" applyFont="1" applyFill="1"/>
    <xf numFmtId="3" fontId="8" fillId="0" borderId="0" xfId="0" applyNumberFormat="1" applyFont="1" applyFill="1"/>
    <xf numFmtId="3" fontId="8" fillId="0" borderId="0" xfId="1" applyNumberFormat="1" applyFont="1" applyFill="1" applyBorder="1" applyAlignment="1">
      <alignment horizontal="right"/>
    </xf>
    <xf numFmtId="164" fontId="52" fillId="0" borderId="4" xfId="0" applyNumberFormat="1" applyFont="1" applyBorder="1"/>
    <xf numFmtId="164" fontId="14" fillId="0" borderId="8" xfId="0" quotePrefix="1" applyNumberFormat="1" applyFont="1" applyFill="1" applyBorder="1" applyAlignment="1">
      <alignment horizontal="right"/>
    </xf>
    <xf numFmtId="164" fontId="52" fillId="0" borderId="8" xfId="0" quotePrefix="1" applyNumberFormat="1" applyFont="1" applyFill="1" applyBorder="1" applyAlignment="1">
      <alignment horizontal="right"/>
    </xf>
    <xf numFmtId="164" fontId="26" fillId="0" borderId="0" xfId="11" applyNumberFormat="1" applyFont="1"/>
    <xf numFmtId="164" fontId="13" fillId="0" borderId="6" xfId="11" quotePrefix="1" applyNumberFormat="1" applyFont="1" applyBorder="1" applyAlignment="1">
      <alignment horizontal="right"/>
    </xf>
    <xf numFmtId="164" fontId="13" fillId="0" borderId="6" xfId="11" applyNumberFormat="1" applyFont="1" applyBorder="1"/>
    <xf numFmtId="164" fontId="14" fillId="0" borderId="6" xfId="11" applyNumberFormat="1" applyFont="1" applyBorder="1"/>
    <xf numFmtId="164" fontId="14" fillId="0" borderId="6" xfId="11" applyNumberFormat="1" applyFont="1" applyBorder="1" applyAlignment="1"/>
    <xf numFmtId="166" fontId="52" fillId="0" borderId="6" xfId="58" applyFont="1" applyBorder="1"/>
    <xf numFmtId="3" fontId="52" fillId="5" borderId="6" xfId="1" applyNumberFormat="1" applyFont="1" applyFill="1" applyBorder="1"/>
    <xf numFmtId="3" fontId="59" fillId="0" borderId="0" xfId="1" applyNumberFormat="1" applyFont="1" applyAlignment="1">
      <alignment horizontal="right"/>
    </xf>
    <xf numFmtId="3" fontId="8" fillId="0" borderId="6" xfId="0" applyNumberFormat="1" applyFont="1" applyBorder="1"/>
    <xf numFmtId="3" fontId="8" fillId="0" borderId="6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52" fillId="0" borderId="6" xfId="0" applyNumberFormat="1" applyFont="1" applyBorder="1" applyAlignment="1">
      <alignment horizontal="right"/>
    </xf>
    <xf numFmtId="3" fontId="52" fillId="0" borderId="6" xfId="0" applyNumberFormat="1" applyFont="1" applyFill="1" applyBorder="1" applyAlignment="1">
      <alignment horizontal="right"/>
    </xf>
    <xf numFmtId="3" fontId="8" fillId="0" borderId="5" xfId="0" applyNumberFormat="1" applyFont="1" applyBorder="1"/>
    <xf numFmtId="3" fontId="8" fillId="0" borderId="5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52" fillId="0" borderId="5" xfId="0" applyNumberFormat="1" applyFont="1" applyBorder="1" applyAlignment="1">
      <alignment horizontal="right"/>
    </xf>
    <xf numFmtId="3" fontId="52" fillId="0" borderId="5" xfId="0" applyNumberFormat="1" applyFont="1" applyFill="1" applyBorder="1" applyAlignment="1">
      <alignment horizontal="right"/>
    </xf>
    <xf numFmtId="166" fontId="57" fillId="0" borderId="0" xfId="58" applyFont="1"/>
    <xf numFmtId="0" fontId="60" fillId="0" borderId="0" xfId="0" applyFont="1" applyFill="1"/>
    <xf numFmtId="1" fontId="66" fillId="0" borderId="0" xfId="0" applyNumberFormat="1" applyFont="1" applyFill="1"/>
    <xf numFmtId="1" fontId="19" fillId="0" borderId="2" xfId="0" quotePrefix="1" applyNumberFormat="1" applyFont="1" applyBorder="1" applyAlignment="1">
      <alignment horizontal="left"/>
    </xf>
    <xf numFmtId="1" fontId="0" fillId="0" borderId="2" xfId="0" applyNumberFormat="1" applyBorder="1"/>
    <xf numFmtId="1" fontId="8" fillId="0" borderId="2" xfId="0" applyNumberFormat="1" applyFont="1" applyBorder="1" applyAlignment="1">
      <alignment horizontal="centerContinuous"/>
    </xf>
    <xf numFmtId="1" fontId="7" fillId="0" borderId="2" xfId="0" applyNumberFormat="1" applyFont="1" applyBorder="1"/>
    <xf numFmtId="1" fontId="7" fillId="0" borderId="2" xfId="0" applyNumberFormat="1" applyFont="1" applyBorder="1" applyAlignment="1">
      <alignment horizontal="centerContinuous"/>
    </xf>
    <xf numFmtId="3" fontId="7" fillId="0" borderId="2" xfId="1" applyNumberFormat="1" applyFont="1" applyBorder="1" applyAlignment="1">
      <alignment horizontal="centerContinuous"/>
    </xf>
    <xf numFmtId="1" fontId="65" fillId="0" borderId="2" xfId="0" applyNumberFormat="1" applyFont="1" applyBorder="1"/>
    <xf numFmtId="1" fontId="56" fillId="0" borderId="2" xfId="0" applyNumberFormat="1" applyFont="1" applyBorder="1"/>
    <xf numFmtId="1" fontId="57" fillId="0" borderId="2" xfId="0" applyNumberFormat="1" applyFont="1" applyFill="1" applyBorder="1"/>
    <xf numFmtId="166" fontId="65" fillId="0" borderId="2" xfId="58" applyFont="1" applyBorder="1"/>
    <xf numFmtId="166" fontId="52" fillId="0" borderId="5" xfId="58" applyFont="1" applyBorder="1"/>
    <xf numFmtId="3" fontId="52" fillId="5" borderId="5" xfId="1" applyNumberFormat="1" applyFont="1" applyFill="1" applyBorder="1"/>
    <xf numFmtId="1" fontId="7" fillId="0" borderId="0" xfId="0" applyNumberFormat="1" applyFont="1" applyFill="1" applyBorder="1"/>
    <xf numFmtId="1" fontId="65" fillId="0" borderId="3" xfId="0" applyNumberFormat="1" applyFont="1" applyFill="1" applyBorder="1"/>
    <xf numFmtId="1" fontId="65" fillId="0" borderId="5" xfId="0" applyNumberFormat="1" applyFont="1" applyFill="1" applyBorder="1"/>
    <xf numFmtId="164" fontId="52" fillId="0" borderId="0" xfId="11" applyNumberFormat="1" applyFont="1" applyFill="1" applyAlignment="1"/>
    <xf numFmtId="164" fontId="52" fillId="0" borderId="4" xfId="11" applyNumberFormat="1" applyFont="1" applyFill="1" applyBorder="1" applyAlignment="1"/>
    <xf numFmtId="164" fontId="13" fillId="0" borderId="0" xfId="11" quotePrefix="1" applyNumberFormat="1" applyFont="1" applyFill="1" applyAlignment="1">
      <alignment horizontal="right"/>
    </xf>
    <xf numFmtId="1" fontId="52" fillId="0" borderId="0" xfId="11" applyNumberFormat="1" applyFont="1" applyFill="1" applyAlignment="1"/>
    <xf numFmtId="166" fontId="62" fillId="0" borderId="0" xfId="58" applyFont="1" applyFill="1"/>
    <xf numFmtId="164" fontId="14" fillId="0" borderId="0" xfId="0" applyNumberFormat="1" applyFont="1" applyFill="1" applyBorder="1" applyAlignment="1">
      <alignment horizontal="right"/>
    </xf>
    <xf numFmtId="3" fontId="52" fillId="4" borderId="0" xfId="1" applyNumberFormat="1" applyFont="1" applyFill="1"/>
    <xf numFmtId="164" fontId="52" fillId="4" borderId="4" xfId="12" applyFont="1" applyFill="1" applyBorder="1"/>
    <xf numFmtId="164" fontId="26" fillId="0" borderId="0" xfId="11" applyNumberFormat="1" applyFont="1" applyFill="1"/>
    <xf numFmtId="1" fontId="11" fillId="0" borderId="0" xfId="0" applyNumberFormat="1" applyFont="1" applyFill="1"/>
    <xf numFmtId="1" fontId="26" fillId="0" borderId="0" xfId="0" applyNumberFormat="1" applyFont="1" applyFill="1"/>
    <xf numFmtId="1" fontId="26" fillId="0" borderId="0" xfId="0" applyNumberFormat="1" applyFont="1" applyFill="1" applyBorder="1"/>
    <xf numFmtId="164" fontId="13" fillId="0" borderId="0" xfId="11" applyNumberFormat="1" applyFont="1" applyFill="1" applyBorder="1" applyAlignment="1">
      <alignment horizontal="right"/>
    </xf>
    <xf numFmtId="164" fontId="8" fillId="0" borderId="0" xfId="12" applyFont="1" applyFill="1"/>
    <xf numFmtId="164" fontId="8" fillId="0" borderId="4" xfId="0" applyNumberFormat="1" applyFont="1" applyFill="1" applyBorder="1"/>
    <xf numFmtId="168" fontId="52" fillId="0" borderId="0" xfId="78" applyNumberFormat="1" applyFont="1" applyFill="1" applyBorder="1"/>
    <xf numFmtId="3" fontId="8" fillId="0" borderId="0" xfId="0" applyNumberFormat="1" applyFont="1" applyFill="1" applyBorder="1"/>
    <xf numFmtId="3" fontId="59" fillId="0" borderId="0" xfId="1" applyNumberFormat="1" applyFont="1" applyFill="1" applyAlignment="1">
      <alignment horizontal="right"/>
    </xf>
    <xf numFmtId="166" fontId="59" fillId="0" borderId="0" xfId="58" applyFont="1" applyFill="1" applyAlignment="1">
      <alignment horizontal="right"/>
    </xf>
    <xf numFmtId="3" fontId="8" fillId="0" borderId="8" xfId="0" applyNumberFormat="1" applyFont="1" applyFill="1" applyBorder="1"/>
    <xf numFmtId="164" fontId="52" fillId="0" borderId="8" xfId="11" applyNumberFormat="1" applyFont="1" applyFill="1" applyBorder="1" applyAlignment="1"/>
    <xf numFmtId="7" fontId="52" fillId="0" borderId="0" xfId="11" applyNumberFormat="1" applyFont="1" applyFill="1" applyAlignment="1"/>
    <xf numFmtId="164" fontId="52" fillId="0" borderId="8" xfId="11" applyNumberFormat="1" applyFont="1" applyFill="1" applyBorder="1" applyAlignment="1">
      <alignment horizontal="right"/>
    </xf>
    <xf numFmtId="164" fontId="52" fillId="0" borderId="0" xfId="11" quotePrefix="1" applyNumberFormat="1" applyFont="1" applyFill="1" applyAlignment="1">
      <alignment horizontal="right"/>
    </xf>
    <xf numFmtId="164" fontId="52" fillId="0" borderId="0" xfId="11" applyNumberFormat="1" applyFont="1" applyFill="1" applyAlignment="1">
      <alignment horizontal="right"/>
    </xf>
    <xf numFmtId="164" fontId="52" fillId="0" borderId="0" xfId="0" applyNumberFormat="1" applyFont="1" applyFill="1"/>
    <xf numFmtId="7" fontId="13" fillId="0" borderId="0" xfId="11" quotePrefix="1" applyNumberFormat="1" applyFont="1" applyFill="1" applyAlignment="1">
      <alignment horizontal="right"/>
    </xf>
    <xf numFmtId="164" fontId="52" fillId="0" borderId="0" xfId="11" applyNumberFormat="1" applyFont="1" applyFill="1" applyBorder="1" applyAlignment="1"/>
    <xf numFmtId="3" fontId="52" fillId="0" borderId="0" xfId="1" quotePrefix="1" applyNumberFormat="1" applyFont="1" applyFill="1" applyAlignment="1">
      <alignment horizontal="right"/>
    </xf>
    <xf numFmtId="1" fontId="52" fillId="0" borderId="4" xfId="11" applyNumberFormat="1" applyFont="1" applyFill="1" applyBorder="1" applyAlignment="1"/>
    <xf numFmtId="1" fontId="45" fillId="0" borderId="0" xfId="0" applyNumberFormat="1" applyFont="1" applyFill="1"/>
    <xf numFmtId="164" fontId="52" fillId="0" borderId="2" xfId="11" applyNumberFormat="1" applyFont="1" applyFill="1" applyBorder="1" applyAlignment="1">
      <alignment horizontal="right"/>
    </xf>
    <xf numFmtId="164" fontId="52" fillId="0" borderId="5" xfId="11" applyNumberFormat="1" applyFont="1" applyFill="1" applyBorder="1" applyAlignment="1"/>
    <xf numFmtId="3" fontId="13" fillId="0" borderId="0" xfId="1" quotePrefix="1" applyNumberFormat="1" applyFont="1" applyFill="1" applyAlignment="1">
      <alignment horizontal="right"/>
    </xf>
    <xf numFmtId="164" fontId="52" fillId="0" borderId="6" xfId="11" applyNumberFormat="1" applyFont="1" applyFill="1" applyBorder="1" applyAlignment="1"/>
    <xf numFmtId="166" fontId="52" fillId="0" borderId="0" xfId="58" applyFont="1" applyFill="1" applyAlignment="1"/>
    <xf numFmtId="7" fontId="14" fillId="0" borderId="0" xfId="11" applyNumberFormat="1" applyFont="1" applyAlignment="1"/>
    <xf numFmtId="7" fontId="14" fillId="0" borderId="4" xfId="1" applyNumberFormat="1" applyFont="1" applyBorder="1" applyAlignment="1"/>
    <xf numFmtId="7" fontId="14" fillId="0" borderId="4" xfId="11" applyNumberFormat="1" applyFont="1" applyBorder="1" applyAlignment="1"/>
    <xf numFmtId="7" fontId="14" fillId="0" borderId="8" xfId="11" applyNumberFormat="1" applyFont="1" applyBorder="1" applyAlignment="1"/>
    <xf numFmtId="7" fontId="14" fillId="0" borderId="8" xfId="11" applyNumberFormat="1" applyFont="1" applyBorder="1" applyAlignment="1">
      <alignment horizontal="right"/>
    </xf>
    <xf numFmtId="7" fontId="14" fillId="0" borderId="4" xfId="11" applyNumberFormat="1" applyFont="1" applyBorder="1" applyAlignment="1">
      <alignment horizontal="right"/>
    </xf>
    <xf numFmtId="7" fontId="14" fillId="0" borderId="6" xfId="11" applyNumberFormat="1" applyFont="1" applyBorder="1" applyAlignment="1"/>
    <xf numFmtId="1" fontId="60" fillId="0" borderId="0" xfId="0" applyNumberFormat="1" applyFont="1" applyBorder="1" applyAlignment="1">
      <alignment horizontal="center"/>
    </xf>
    <xf numFmtId="1" fontId="60" fillId="5" borderId="0" xfId="0" applyNumberFormat="1" applyFont="1" applyFill="1" applyBorder="1" applyAlignment="1">
      <alignment horizontal="center"/>
    </xf>
    <xf numFmtId="1" fontId="27" fillId="0" borderId="0" xfId="0" applyNumberFormat="1" applyFont="1" applyFill="1"/>
    <xf numFmtId="166" fontId="27" fillId="0" borderId="0" xfId="58" applyFont="1" applyFill="1"/>
    <xf numFmtId="166" fontId="36" fillId="0" borderId="0" xfId="58" applyFont="1" applyFill="1"/>
    <xf numFmtId="166" fontId="14" fillId="0" borderId="0" xfId="58" applyFont="1" applyFill="1"/>
    <xf numFmtId="166" fontId="14" fillId="0" borderId="0" xfId="58" applyFont="1" applyFill="1" applyBorder="1" applyAlignment="1"/>
    <xf numFmtId="164" fontId="14" fillId="0" borderId="0" xfId="11" applyNumberFormat="1" applyFont="1" applyFill="1" applyAlignment="1"/>
    <xf numFmtId="1" fontId="55" fillId="0" borderId="0" xfId="0" applyNumberFormat="1" applyFont="1" applyFill="1"/>
    <xf numFmtId="3" fontId="27" fillId="0" borderId="0" xfId="0" applyNumberFormat="1" applyFont="1" applyFill="1"/>
    <xf numFmtId="1" fontId="29" fillId="0" borderId="0" xfId="0" applyNumberFormat="1" applyFont="1" applyFill="1"/>
    <xf numFmtId="169" fontId="14" fillId="0" borderId="0" xfId="0" applyNumberFormat="1" applyFont="1" applyFill="1"/>
    <xf numFmtId="0" fontId="29" fillId="0" borderId="0" xfId="0" applyFont="1" applyFill="1"/>
    <xf numFmtId="1" fontId="30" fillId="0" borderId="0" xfId="0" applyNumberFormat="1" applyFont="1" applyFill="1"/>
    <xf numFmtId="1" fontId="22" fillId="0" borderId="0" xfId="0" applyNumberFormat="1" applyFont="1" applyFill="1"/>
    <xf numFmtId="166" fontId="45" fillId="0" borderId="0" xfId="58" applyFont="1" applyFill="1"/>
    <xf numFmtId="1" fontId="36" fillId="0" borderId="0" xfId="0" applyNumberFormat="1" applyFont="1" applyFill="1"/>
    <xf numFmtId="166" fontId="59" fillId="0" borderId="0" xfId="58" applyFont="1" applyFill="1"/>
    <xf numFmtId="1" fontId="7" fillId="0" borderId="0" xfId="0" applyNumberFormat="1" applyFont="1" applyFill="1" applyAlignment="1">
      <alignment horizontal="right"/>
    </xf>
    <xf numFmtId="1" fontId="53" fillId="0" borderId="0" xfId="0" applyNumberFormat="1" applyFont="1" applyFill="1"/>
    <xf numFmtId="1" fontId="25" fillId="0" borderId="0" xfId="0" applyNumberFormat="1" applyFont="1" applyFill="1"/>
    <xf numFmtId="1" fontId="64" fillId="0" borderId="0" xfId="0" applyNumberFormat="1" applyFont="1" applyFill="1"/>
    <xf numFmtId="166" fontId="64" fillId="0" borderId="0" xfId="58" applyFont="1" applyFill="1"/>
    <xf numFmtId="166" fontId="28" fillId="0" borderId="0" xfId="58" applyFont="1" applyFill="1"/>
    <xf numFmtId="166" fontId="36" fillId="0" borderId="0" xfId="58" applyFont="1" applyFill="1" applyAlignment="1">
      <alignment horizontal="right"/>
    </xf>
    <xf numFmtId="1" fontId="42" fillId="0" borderId="0" xfId="0" applyNumberFormat="1" applyFont="1" applyFill="1" applyAlignment="1">
      <alignment horizontal="right"/>
    </xf>
    <xf numFmtId="3" fontId="44" fillId="0" borderId="0" xfId="1" applyNumberFormat="1" applyFont="1" applyFill="1" applyAlignment="1">
      <alignment horizontal="right"/>
    </xf>
    <xf numFmtId="166" fontId="53" fillId="0" borderId="0" xfId="58" applyFont="1" applyFill="1"/>
    <xf numFmtId="3" fontId="53" fillId="0" borderId="0" xfId="1" applyNumberFormat="1" applyFont="1" applyFill="1"/>
    <xf numFmtId="3" fontId="64" fillId="0" borderId="0" xfId="1" applyNumberFormat="1" applyFont="1" applyFill="1"/>
    <xf numFmtId="3" fontId="36" fillId="0" borderId="0" xfId="1" applyNumberFormat="1" applyFont="1" applyFill="1"/>
    <xf numFmtId="3" fontId="55" fillId="0" borderId="0" xfId="1" applyNumberFormat="1" applyFont="1" applyFill="1"/>
    <xf numFmtId="0" fontId="37" fillId="0" borderId="0" xfId="0" applyFont="1" applyFill="1"/>
    <xf numFmtId="3" fontId="64" fillId="0" borderId="0" xfId="0" applyNumberFormat="1" applyFont="1" applyFill="1"/>
    <xf numFmtId="4" fontId="14" fillId="0" borderId="0" xfId="1" applyFont="1" applyFill="1"/>
    <xf numFmtId="166" fontId="26" fillId="0" borderId="0" xfId="58" applyFont="1" applyFill="1"/>
    <xf numFmtId="4" fontId="29" fillId="0" borderId="0" xfId="1" applyFont="1" applyFill="1"/>
    <xf numFmtId="3" fontId="29" fillId="0" borderId="0" xfId="1" applyNumberFormat="1" applyFont="1" applyFill="1"/>
    <xf numFmtId="3" fontId="60" fillId="0" borderId="0" xfId="1" applyNumberFormat="1" applyFont="1" applyFill="1"/>
    <xf numFmtId="166" fontId="60" fillId="0" borderId="0" xfId="58" applyFont="1" applyFill="1"/>
    <xf numFmtId="3" fontId="26" fillId="0" borderId="0" xfId="0" applyNumberFormat="1" applyFont="1" applyFill="1"/>
    <xf numFmtId="166" fontId="29" fillId="0" borderId="0" xfId="58" applyFont="1" applyFill="1"/>
    <xf numFmtId="3" fontId="26" fillId="0" borderId="0" xfId="1" applyNumberFormat="1" applyFont="1" applyFill="1"/>
    <xf numFmtId="3" fontId="28" fillId="0" borderId="0" xfId="1" applyNumberFormat="1" applyFont="1" applyFill="1"/>
    <xf numFmtId="1" fontId="74" fillId="0" borderId="0" xfId="0" applyNumberFormat="1" applyFont="1" applyFill="1"/>
    <xf numFmtId="3" fontId="26" fillId="0" borderId="0" xfId="0" applyNumberFormat="1" applyFont="1" applyFill="1" applyBorder="1"/>
    <xf numFmtId="3" fontId="74" fillId="0" borderId="0" xfId="0" applyNumberFormat="1" applyFont="1" applyFill="1"/>
    <xf numFmtId="166" fontId="74" fillId="0" borderId="0" xfId="58" applyFont="1" applyFill="1"/>
    <xf numFmtId="3" fontId="29" fillId="0" borderId="0" xfId="0" applyNumberFormat="1" applyFont="1" applyFill="1"/>
    <xf numFmtId="3" fontId="7" fillId="0" borderId="0" xfId="1" applyNumberFormat="1" applyFont="1" applyFill="1"/>
    <xf numFmtId="3" fontId="0" fillId="0" borderId="0" xfId="1" applyNumberFormat="1" applyFont="1" applyFill="1"/>
    <xf numFmtId="3" fontId="65" fillId="0" borderId="0" xfId="1" applyNumberFormat="1" applyFont="1" applyFill="1"/>
  </cellXfs>
  <cellStyles count="84">
    <cellStyle name="Comma" xfId="1" builtinId="3"/>
    <cellStyle name="Comma 2" xfId="72"/>
    <cellStyle name="Comma 3" xfId="75"/>
    <cellStyle name="Comma 4" xfId="78"/>
    <cellStyle name="Comma0" xfId="2"/>
    <cellStyle name="Comma0 2" xfId="3"/>
    <cellStyle name="Comma0 2 2" xfId="4"/>
    <cellStyle name="Comma0 3" xfId="5"/>
    <cellStyle name="Comma0 3 2" xfId="6"/>
    <cellStyle name="Comma0 4" xfId="7"/>
    <cellStyle name="Comma0 4 2" xfId="8"/>
    <cellStyle name="Comma0 5" xfId="9"/>
    <cellStyle name="Comma0 5 2" xfId="10"/>
    <cellStyle name="Currency" xfId="11" builtinId="4"/>
    <cellStyle name="Currency 2" xfId="79"/>
    <cellStyle name="Currency 3" xfId="82"/>
    <cellStyle name="Currency0" xfId="12"/>
    <cellStyle name="Currency0 2" xfId="13"/>
    <cellStyle name="Currency0 2 2" xfId="14"/>
    <cellStyle name="Currency0 3" xfId="15"/>
    <cellStyle name="Currency0 3 2" xfId="16"/>
    <cellStyle name="Currency0 4" xfId="17"/>
    <cellStyle name="Currency0 4 2" xfId="18"/>
    <cellStyle name="Currency0 5" xfId="19"/>
    <cellStyle name="Currency0 5 2" xfId="20"/>
    <cellStyle name="Date" xfId="21"/>
    <cellStyle name="Date 2" xfId="22"/>
    <cellStyle name="Date 2 2" xfId="23"/>
    <cellStyle name="Date 3" xfId="24"/>
    <cellStyle name="Date 3 2" xfId="25"/>
    <cellStyle name="Date 4" xfId="26"/>
    <cellStyle name="Date 4 2" xfId="27"/>
    <cellStyle name="Date 5" xfId="28"/>
    <cellStyle name="Date 5 2" xfId="29"/>
    <cellStyle name="Fixed" xfId="30"/>
    <cellStyle name="Fixed 2" xfId="31"/>
    <cellStyle name="Fixed 2 2" xfId="32"/>
    <cellStyle name="Fixed 3" xfId="33"/>
    <cellStyle name="Fixed 3 2" xfId="34"/>
    <cellStyle name="Fixed 4" xfId="35"/>
    <cellStyle name="Fixed 4 2" xfId="36"/>
    <cellStyle name="Fixed 5" xfId="37"/>
    <cellStyle name="Fixed 5 2" xfId="38"/>
    <cellStyle name="Heading 1" xfId="39" builtinId="16" customBuiltin="1"/>
    <cellStyle name="Heading 1 2" xfId="40"/>
    <cellStyle name="Heading 1 2 2" xfId="41"/>
    <cellStyle name="Heading 1 3" xfId="42"/>
    <cellStyle name="Heading 1 3 2" xfId="43"/>
    <cellStyle name="Heading 1 4" xfId="44"/>
    <cellStyle name="Heading 1 4 2" xfId="45"/>
    <cellStyle name="Heading 1 5" xfId="46"/>
    <cellStyle name="Heading 1 5 2" xfId="47"/>
    <cellStyle name="Heading 2" xfId="48" builtinId="17" customBuiltin="1"/>
    <cellStyle name="Heading 2 2" xfId="49"/>
    <cellStyle name="Heading 2 2 2" xfId="50"/>
    <cellStyle name="Heading 2 3" xfId="51"/>
    <cellStyle name="Heading 2 3 2" xfId="52"/>
    <cellStyle name="Heading 2 4" xfId="53"/>
    <cellStyle name="Heading 2 4 2" xfId="54"/>
    <cellStyle name="Heading 2 5" xfId="55"/>
    <cellStyle name="Heading 2 5 2" xfId="56"/>
    <cellStyle name="Normal" xfId="0" builtinId="0"/>
    <cellStyle name="Normal 2" xfId="57"/>
    <cellStyle name="Normal 3" xfId="71"/>
    <cellStyle name="Normal 4" xfId="74"/>
    <cellStyle name="Normal 5" xfId="77"/>
    <cellStyle name="Normal 6" xfId="81"/>
    <cellStyle name="Percent" xfId="58" builtinId="5"/>
    <cellStyle name="Percent 2" xfId="73"/>
    <cellStyle name="Percent 3" xfId="59"/>
    <cellStyle name="Percent 3 2" xfId="60"/>
    <cellStyle name="Percent 4" xfId="76"/>
    <cellStyle name="Percent 5" xfId="80"/>
    <cellStyle name="Percent 6" xfId="83"/>
    <cellStyle name="Percent_TA3LONG" xfId="61"/>
    <cellStyle name="Total" xfId="62" builtinId="25" customBuiltin="1"/>
    <cellStyle name="Total 2" xfId="63"/>
    <cellStyle name="Total 2 2" xfId="64"/>
    <cellStyle name="Total 3" xfId="65"/>
    <cellStyle name="Total 3 2" xfId="66"/>
    <cellStyle name="Total 4" xfId="67"/>
    <cellStyle name="Total 4 2" xfId="68"/>
    <cellStyle name="Total 5" xfId="69"/>
    <cellStyle name="Total 5 2" xfId="70"/>
  </cellStyles>
  <dxfs count="0"/>
  <tableStyles count="1" defaultTableStyle="TableStyleMedium9" defaultPivotStyle="PivotStyleLight16">
    <tableStyle name="PivotTable Style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Regulatory Spending, 1992 $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5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90-429C-A510-D39EF14338D7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90-429C-A510-D39EF14338D7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Depth val="100"/>
        <c:axId val="67891200"/>
        <c:axId val="68954944"/>
        <c:axId val="0"/>
      </c:area3DChart>
      <c:catAx>
        <c:axId val="678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54944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68954944"/>
        <c:scaling>
          <c:orientation val="minMax"/>
        </c:scaling>
        <c:delete val="0"/>
        <c:axPos val="l"/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1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4" r="0.750000000000004" t="1" header="0.5" footer="0.5"/>
    <c:pageSetup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Regulatory Spending, 1992 $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6"/>
      <c:rotY val="20"/>
      <c:depthPercent val="5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CA-4E97-A68E-04224F6C015D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CA-4E97-A68E-04224F6C015D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Depth val="100"/>
        <c:axId val="67893248"/>
        <c:axId val="68956672"/>
        <c:axId val="0"/>
      </c:area3DChart>
      <c:catAx>
        <c:axId val="678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56672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68956672"/>
        <c:scaling>
          <c:orientation val="minMax"/>
        </c:scaling>
        <c:delete val="0"/>
        <c:axPos val="l"/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3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4" r="0.750000000000004" t="1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251</xdr:row>
      <xdr:rowOff>0</xdr:rowOff>
    </xdr:from>
    <xdr:to>
      <xdr:col>4</xdr:col>
      <xdr:colOff>571500</xdr:colOff>
      <xdr:row>251</xdr:row>
      <xdr:rowOff>0</xdr:rowOff>
    </xdr:to>
    <xdr:graphicFrame macro="">
      <xdr:nvGraphicFramePr>
        <xdr:cNvPr id="12580" name="Chart 5">
          <a:extLst>
            <a:ext uri="{FF2B5EF4-FFF2-40B4-BE49-F238E27FC236}">
              <a16:creationId xmlns="" xmlns:a16="http://schemas.microsoft.com/office/drawing/2014/main" id="{00000000-0008-0000-0000-0000243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223</xdr:row>
      <xdr:rowOff>0</xdr:rowOff>
    </xdr:from>
    <xdr:to>
      <xdr:col>4</xdr:col>
      <xdr:colOff>571500</xdr:colOff>
      <xdr:row>223</xdr:row>
      <xdr:rowOff>0</xdr:rowOff>
    </xdr:to>
    <xdr:graphicFrame macro="">
      <xdr:nvGraphicFramePr>
        <xdr:cNvPr id="14628" name="Chart 1">
          <a:extLst>
            <a:ext uri="{FF2B5EF4-FFF2-40B4-BE49-F238E27FC236}">
              <a16:creationId xmlns="" xmlns:a16="http://schemas.microsoft.com/office/drawing/2014/main" id="{00000000-0008-0000-0100-0000243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1"/>
  <sheetViews>
    <sheetView zoomScale="90" zoomScaleNormal="90" zoomScaleSheetLayoutView="100" workbookViewId="0">
      <pane xSplit="1" ySplit="8" topLeftCell="B218" activePane="bottomRight" state="frozen"/>
      <selection pane="topRight" activeCell="B1" sqref="B1"/>
      <selection pane="bottomLeft" activeCell="A9" sqref="A9"/>
      <selection pane="bottomRight" activeCell="BI248" sqref="BI248"/>
    </sheetView>
  </sheetViews>
  <sheetFormatPr defaultRowHeight="15.6"/>
  <cols>
    <col min="1" max="1" width="46.19921875" style="3" customWidth="1"/>
    <col min="2" max="34" width="6.59765625" style="3" customWidth="1"/>
    <col min="35" max="35" width="7.19921875" style="3" customWidth="1"/>
    <col min="36" max="47" width="6.59765625" style="3" customWidth="1"/>
    <col min="48" max="48" width="6.59765625" style="77" customWidth="1"/>
    <col min="49" max="52" width="6.59765625" style="197" customWidth="1"/>
    <col min="53" max="53" width="6.09765625" style="350" customWidth="1"/>
    <col min="54" max="54" width="6.09765625" style="300" customWidth="1"/>
    <col min="55" max="55" width="6.09765625" style="331" customWidth="1"/>
    <col min="56" max="60" width="6" style="402" customWidth="1"/>
    <col min="61" max="62" width="8.5" style="300" customWidth="1"/>
    <col min="63" max="63" width="8.19921875" style="563" customWidth="1"/>
    <col min="64" max="64" width="9.09765625" style="564" customWidth="1"/>
    <col min="65" max="157" width="10" customWidth="1"/>
    <col min="158" max="158" width="1.69921875" customWidth="1"/>
  </cols>
  <sheetData>
    <row r="1" spans="1:71" ht="15.75" customHeight="1">
      <c r="A1" s="67" t="s">
        <v>28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2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BI1" s="386"/>
      <c r="BJ1" s="386"/>
    </row>
    <row r="2" spans="1:71" ht="15.75" customHeight="1">
      <c r="A2" s="61" t="s">
        <v>29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AN2"/>
      <c r="AO2"/>
      <c r="AP2"/>
      <c r="AQ2"/>
      <c r="AR2"/>
      <c r="AS2"/>
      <c r="AT2"/>
      <c r="AU2"/>
    </row>
    <row r="3" spans="1:71" ht="15.75" customHeight="1">
      <c r="A3" s="64" t="s">
        <v>69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71" ht="15.75" customHeight="1">
      <c r="B4" s="3" t="s">
        <v>79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>
        <v>31</v>
      </c>
      <c r="AG4" s="3">
        <v>32</v>
      </c>
      <c r="AH4" s="3">
        <v>33</v>
      </c>
      <c r="AI4" s="3">
        <v>34</v>
      </c>
      <c r="AJ4" s="3">
        <v>35</v>
      </c>
      <c r="AK4" s="3">
        <v>36</v>
      </c>
      <c r="AL4" s="3">
        <v>37</v>
      </c>
      <c r="AM4" s="3">
        <v>38</v>
      </c>
      <c r="AN4" s="3">
        <v>39</v>
      </c>
      <c r="AO4" s="3">
        <v>40</v>
      </c>
      <c r="AP4" s="3">
        <v>41</v>
      </c>
      <c r="AQ4" s="3">
        <v>42</v>
      </c>
      <c r="AR4" s="3">
        <v>43</v>
      </c>
      <c r="AS4" s="3">
        <v>44</v>
      </c>
      <c r="AT4" s="3">
        <v>45</v>
      </c>
      <c r="AU4" s="3">
        <v>46</v>
      </c>
      <c r="AV4" s="3">
        <v>47</v>
      </c>
      <c r="AW4" s="3">
        <v>48</v>
      </c>
      <c r="AX4" s="3">
        <v>49</v>
      </c>
      <c r="AY4" s="3">
        <v>50</v>
      </c>
      <c r="AZ4" s="3">
        <v>51</v>
      </c>
      <c r="BA4" s="3">
        <v>52</v>
      </c>
      <c r="BB4" s="3">
        <v>53</v>
      </c>
      <c r="BC4" s="350">
        <v>54</v>
      </c>
      <c r="BD4" s="443">
        <v>55</v>
      </c>
      <c r="BE4" s="443">
        <v>56</v>
      </c>
      <c r="BF4" s="443">
        <v>57</v>
      </c>
      <c r="BG4" s="443">
        <v>58</v>
      </c>
      <c r="BH4" s="443">
        <v>59</v>
      </c>
      <c r="BK4" s="565"/>
      <c r="BL4" s="565"/>
    </row>
    <row r="5" spans="1:71" ht="15.75" customHeight="1">
      <c r="A5" s="514"/>
      <c r="B5" s="23"/>
      <c r="C5" s="23"/>
      <c r="D5" s="23"/>
      <c r="E5" s="23"/>
      <c r="F5" s="23"/>
      <c r="G5" s="23"/>
      <c r="H5" s="23"/>
      <c r="I5" s="23"/>
      <c r="J5" s="23"/>
      <c r="K5" s="23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5"/>
      <c r="AA5" s="25"/>
      <c r="AB5" s="25"/>
      <c r="AC5" s="25"/>
      <c r="AD5" s="25"/>
      <c r="AE5" s="25"/>
      <c r="AF5" s="25"/>
      <c r="AG5" s="25"/>
      <c r="AH5" s="25"/>
      <c r="AI5" s="23"/>
      <c r="AJ5" s="23"/>
      <c r="AK5" s="25"/>
      <c r="AL5" s="25"/>
      <c r="AM5" s="23"/>
      <c r="AN5" s="23"/>
      <c r="AO5" s="23"/>
      <c r="AP5" s="41"/>
      <c r="AQ5" s="41"/>
      <c r="AR5" s="41"/>
      <c r="AS5" s="41"/>
      <c r="AT5" s="41"/>
      <c r="AU5" s="41"/>
      <c r="AV5" s="41"/>
      <c r="AW5" s="199"/>
      <c r="AX5" s="199"/>
      <c r="AY5" s="199"/>
      <c r="AZ5" s="199"/>
      <c r="BA5" s="352"/>
      <c r="BB5" s="387"/>
      <c r="BC5" s="466"/>
      <c r="BD5" s="559"/>
      <c r="BE5" s="559"/>
      <c r="BF5" s="559"/>
      <c r="BG5" s="559"/>
      <c r="BH5" s="559"/>
      <c r="BI5" s="388"/>
      <c r="BJ5" s="388"/>
      <c r="BK5" s="566"/>
      <c r="BL5" s="566"/>
    </row>
    <row r="6" spans="1:71" ht="11.1" customHeight="1">
      <c r="A6" s="313"/>
      <c r="B6" s="45"/>
      <c r="C6" s="45"/>
      <c r="D6" s="45"/>
      <c r="E6" s="45"/>
      <c r="F6" s="45"/>
      <c r="G6" s="45"/>
      <c r="H6" s="45"/>
      <c r="I6" s="45"/>
      <c r="J6" s="45"/>
      <c r="K6" s="4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07"/>
      <c r="AA6" s="107"/>
      <c r="AB6" s="107"/>
      <c r="AC6" s="107"/>
      <c r="AD6" s="107"/>
      <c r="AE6" s="107"/>
      <c r="AF6" s="107"/>
      <c r="AG6" s="107"/>
      <c r="AH6" s="107"/>
      <c r="AI6" s="45"/>
      <c r="AJ6" s="45"/>
      <c r="AK6" s="111"/>
      <c r="AL6" s="111"/>
      <c r="AM6" s="111"/>
      <c r="AN6" s="111"/>
      <c r="AO6" s="45"/>
      <c r="AP6" s="45"/>
      <c r="AQ6" s="45"/>
      <c r="AR6" s="45"/>
      <c r="AS6" s="112"/>
      <c r="AT6" s="116"/>
      <c r="AU6" s="116"/>
      <c r="AV6" s="188"/>
      <c r="AW6" s="218"/>
      <c r="AX6" s="187"/>
      <c r="BB6" s="350"/>
      <c r="BC6" s="350"/>
      <c r="BD6" s="443"/>
      <c r="BG6" s="534" t="s">
        <v>118</v>
      </c>
      <c r="BI6" s="674" t="s">
        <v>1</v>
      </c>
      <c r="BJ6" s="674"/>
      <c r="BK6" s="675" t="s">
        <v>86</v>
      </c>
      <c r="BL6" s="675"/>
    </row>
    <row r="7" spans="1:71" ht="11.1" customHeight="1">
      <c r="A7" s="188" t="s">
        <v>2</v>
      </c>
      <c r="B7" s="267">
        <v>1960</v>
      </c>
      <c r="C7" s="267">
        <v>1961</v>
      </c>
      <c r="D7" s="267">
        <v>1962</v>
      </c>
      <c r="E7" s="267">
        <v>1963</v>
      </c>
      <c r="F7" s="267">
        <v>1964</v>
      </c>
      <c r="G7" s="267">
        <v>1965</v>
      </c>
      <c r="H7" s="267">
        <v>1966</v>
      </c>
      <c r="I7" s="267">
        <v>1967</v>
      </c>
      <c r="J7" s="267">
        <v>1968</v>
      </c>
      <c r="K7" s="267">
        <v>1969</v>
      </c>
      <c r="L7" s="267">
        <v>1970</v>
      </c>
      <c r="M7" s="267">
        <v>1971</v>
      </c>
      <c r="N7" s="267">
        <v>1972</v>
      </c>
      <c r="O7" s="267">
        <v>1973</v>
      </c>
      <c r="P7" s="267">
        <v>1974</v>
      </c>
      <c r="Q7" s="267">
        <v>1975</v>
      </c>
      <c r="R7" s="267">
        <v>1976</v>
      </c>
      <c r="S7" s="267">
        <v>1977</v>
      </c>
      <c r="T7" s="267">
        <v>1978</v>
      </c>
      <c r="U7" s="267">
        <v>1979</v>
      </c>
      <c r="V7" s="267">
        <v>1980</v>
      </c>
      <c r="W7" s="267">
        <v>1981</v>
      </c>
      <c r="X7" s="267">
        <v>1982</v>
      </c>
      <c r="Y7" s="267">
        <v>1983</v>
      </c>
      <c r="Z7" s="267">
        <v>1984</v>
      </c>
      <c r="AA7" s="267">
        <v>1985</v>
      </c>
      <c r="AB7" s="267">
        <v>1986</v>
      </c>
      <c r="AC7" s="267">
        <v>1987</v>
      </c>
      <c r="AD7" s="267">
        <v>1988</v>
      </c>
      <c r="AE7" s="267">
        <v>1989</v>
      </c>
      <c r="AF7" s="267">
        <v>1990</v>
      </c>
      <c r="AG7" s="267">
        <v>1991</v>
      </c>
      <c r="AH7" s="267">
        <v>1992</v>
      </c>
      <c r="AI7" s="267">
        <v>1993</v>
      </c>
      <c r="AJ7" s="267">
        <v>1994</v>
      </c>
      <c r="AK7" s="267">
        <v>1995</v>
      </c>
      <c r="AL7" s="267">
        <v>1996</v>
      </c>
      <c r="AM7" s="267">
        <v>1997</v>
      </c>
      <c r="AN7" s="267">
        <v>1998</v>
      </c>
      <c r="AO7" s="267">
        <v>1999</v>
      </c>
      <c r="AP7" s="267">
        <v>2000</v>
      </c>
      <c r="AQ7" s="267">
        <v>2001</v>
      </c>
      <c r="AR7" s="267">
        <v>2002</v>
      </c>
      <c r="AS7" s="267">
        <v>2003</v>
      </c>
      <c r="AT7" s="267">
        <v>2004</v>
      </c>
      <c r="AU7" s="267">
        <v>2005</v>
      </c>
      <c r="AV7" s="267">
        <v>2006</v>
      </c>
      <c r="AW7" s="268">
        <v>2007</v>
      </c>
      <c r="AX7" s="269">
        <v>2008</v>
      </c>
      <c r="AY7" s="269">
        <v>2009</v>
      </c>
      <c r="AZ7" s="269">
        <v>2010</v>
      </c>
      <c r="BA7" s="353">
        <v>2011</v>
      </c>
      <c r="BB7" s="353">
        <v>2012</v>
      </c>
      <c r="BC7" s="353">
        <v>2013</v>
      </c>
      <c r="BD7" s="535">
        <v>2014</v>
      </c>
      <c r="BE7" s="535">
        <v>2015</v>
      </c>
      <c r="BF7" s="535">
        <v>2016</v>
      </c>
      <c r="BG7" s="535">
        <v>2017</v>
      </c>
      <c r="BH7" s="535">
        <v>2018</v>
      </c>
      <c r="BI7" s="322" t="s">
        <v>162</v>
      </c>
      <c r="BJ7" s="322" t="s">
        <v>165</v>
      </c>
      <c r="BK7" s="567" t="s">
        <v>162</v>
      </c>
      <c r="BL7" s="567" t="s">
        <v>165</v>
      </c>
    </row>
    <row r="8" spans="1:71" ht="15.75" customHeight="1" thickBot="1">
      <c r="A8" s="270"/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71"/>
      <c r="AL8" s="271"/>
      <c r="AM8" s="271"/>
      <c r="AN8" s="271"/>
      <c r="AO8" s="271"/>
      <c r="AP8" s="271"/>
      <c r="AQ8" s="271"/>
      <c r="AR8" s="271"/>
      <c r="AS8" s="271"/>
      <c r="AT8" s="271"/>
      <c r="AU8" s="271"/>
      <c r="AV8" s="272"/>
      <c r="AW8" s="273"/>
      <c r="AX8" s="273"/>
      <c r="AY8" s="273"/>
      <c r="AZ8" s="273"/>
      <c r="BA8" s="354"/>
      <c r="BB8" s="389"/>
      <c r="BC8" s="467"/>
      <c r="BD8" s="521"/>
      <c r="BE8" s="521"/>
      <c r="BF8" s="521"/>
      <c r="BG8" s="521"/>
      <c r="BH8" s="521"/>
      <c r="BI8" s="390"/>
      <c r="BJ8" s="390"/>
      <c r="BK8" s="568"/>
      <c r="BL8" s="568"/>
    </row>
    <row r="9" spans="1:71" ht="15.75" customHeight="1">
      <c r="A9" s="131" t="s">
        <v>7</v>
      </c>
      <c r="L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O9" s="45"/>
      <c r="AP9" s="45"/>
      <c r="AQ9" s="45"/>
      <c r="AR9" s="45"/>
      <c r="AS9" s="45"/>
      <c r="AT9" s="45"/>
      <c r="AU9" s="45"/>
      <c r="AV9" s="188"/>
      <c r="AW9" s="198"/>
      <c r="AX9" s="198"/>
      <c r="AY9" s="198"/>
      <c r="AZ9" s="198"/>
      <c r="BA9" s="351"/>
      <c r="BB9" s="301"/>
      <c r="BC9" s="468"/>
      <c r="BD9" s="536"/>
      <c r="BE9" s="536"/>
      <c r="BF9" s="536"/>
      <c r="BG9" s="536"/>
      <c r="BH9" s="536"/>
      <c r="BI9" s="325"/>
      <c r="BJ9" s="325"/>
    </row>
    <row r="10" spans="1:71" ht="11.1" customHeight="1">
      <c r="A10" s="165"/>
      <c r="L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O10" s="45"/>
      <c r="AP10" s="45"/>
      <c r="AQ10" s="45"/>
      <c r="AR10" s="45"/>
      <c r="AS10" s="45"/>
      <c r="AT10" s="45"/>
      <c r="AU10" s="45"/>
      <c r="AV10" s="188"/>
      <c r="AW10" s="198"/>
      <c r="AX10" s="198"/>
      <c r="AY10" s="198"/>
      <c r="AZ10" s="198"/>
      <c r="BA10" s="351"/>
      <c r="BB10" s="301"/>
      <c r="BC10" s="468"/>
      <c r="BD10" s="536"/>
      <c r="BE10" s="536"/>
      <c r="BF10" s="536"/>
      <c r="BG10" s="536"/>
      <c r="BH10" s="536"/>
      <c r="BI10" s="325"/>
      <c r="BJ10" s="325"/>
    </row>
    <row r="11" spans="1:71" ht="15.75" customHeight="1">
      <c r="A11" s="130" t="s">
        <v>8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V11" s="209"/>
      <c r="AW11" s="209"/>
      <c r="AX11" s="209"/>
      <c r="AY11" s="209"/>
      <c r="AZ11" s="209"/>
      <c r="BI11" s="325"/>
      <c r="BJ11" s="325"/>
    </row>
    <row r="12" spans="1:71" ht="6" customHeight="1">
      <c r="A12" s="12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U12" s="209"/>
      <c r="AV12" s="209"/>
      <c r="AW12" s="209"/>
      <c r="AX12" s="209"/>
      <c r="AY12" s="209"/>
      <c r="AZ12" s="209"/>
      <c r="BI12" s="327"/>
      <c r="BJ12" s="327"/>
      <c r="BL12" s="563"/>
    </row>
    <row r="13" spans="1:71" ht="11.1" customHeight="1">
      <c r="A13" s="125" t="s">
        <v>20</v>
      </c>
      <c r="B13" s="30" t="s">
        <v>3</v>
      </c>
      <c r="C13" s="30" t="s">
        <v>3</v>
      </c>
      <c r="D13" s="30" t="s">
        <v>3</v>
      </c>
      <c r="E13" s="30" t="s">
        <v>3</v>
      </c>
      <c r="F13" s="30" t="s">
        <v>3</v>
      </c>
      <c r="G13" s="30" t="s">
        <v>3</v>
      </c>
      <c r="H13" s="30" t="s">
        <v>3</v>
      </c>
      <c r="I13" s="30" t="s">
        <v>3</v>
      </c>
      <c r="J13" s="30" t="s">
        <v>3</v>
      </c>
      <c r="K13" s="30" t="s">
        <v>3</v>
      </c>
      <c r="L13" s="30" t="s">
        <v>3</v>
      </c>
      <c r="M13" s="30" t="s">
        <v>3</v>
      </c>
      <c r="N13" s="30" t="s">
        <v>3</v>
      </c>
      <c r="O13" s="19" t="s">
        <v>70</v>
      </c>
      <c r="P13" s="8">
        <v>19</v>
      </c>
      <c r="Q13" s="8">
        <v>34</v>
      </c>
      <c r="R13" s="8">
        <v>38</v>
      </c>
      <c r="S13" s="8">
        <v>40</v>
      </c>
      <c r="T13" s="8">
        <v>40</v>
      </c>
      <c r="U13" s="8">
        <v>39</v>
      </c>
      <c r="V13" s="8">
        <v>44</v>
      </c>
      <c r="W13" s="8">
        <v>41</v>
      </c>
      <c r="X13" s="8">
        <v>34</v>
      </c>
      <c r="Y13" s="8">
        <v>33</v>
      </c>
      <c r="Z13" s="8">
        <v>34</v>
      </c>
      <c r="AA13" s="8">
        <v>35</v>
      </c>
      <c r="AB13" s="8">
        <v>35</v>
      </c>
      <c r="AC13" s="8">
        <v>33</v>
      </c>
      <c r="AD13" s="8">
        <v>34</v>
      </c>
      <c r="AE13" s="8">
        <v>34</v>
      </c>
      <c r="AF13" s="8">
        <v>35</v>
      </c>
      <c r="AG13" s="8">
        <v>37</v>
      </c>
      <c r="AH13" s="8">
        <v>41</v>
      </c>
      <c r="AI13" s="8">
        <v>43</v>
      </c>
      <c r="AJ13" s="8">
        <v>46</v>
      </c>
      <c r="AK13" s="8">
        <v>43</v>
      </c>
      <c r="AL13" s="29">
        <v>43</v>
      </c>
      <c r="AM13" s="98">
        <v>43</v>
      </c>
      <c r="AN13" s="98">
        <v>45</v>
      </c>
      <c r="AO13" s="98">
        <v>49</v>
      </c>
      <c r="AP13" s="98">
        <v>51</v>
      </c>
      <c r="AQ13" s="98">
        <v>58</v>
      </c>
      <c r="AR13" s="98">
        <v>56</v>
      </c>
      <c r="AS13" s="98">
        <v>62</v>
      </c>
      <c r="AT13" s="98">
        <v>63</v>
      </c>
      <c r="AU13" s="98">
        <v>65</v>
      </c>
      <c r="AV13" s="98">
        <v>64</v>
      </c>
      <c r="AW13" s="98">
        <v>62</v>
      </c>
      <c r="AX13" s="98">
        <v>70</v>
      </c>
      <c r="AY13" s="214">
        <v>95</v>
      </c>
      <c r="AZ13" s="214">
        <v>105</v>
      </c>
      <c r="BA13" s="355">
        <v>141</v>
      </c>
      <c r="BB13" s="355">
        <v>120</v>
      </c>
      <c r="BC13" s="355">
        <v>113</v>
      </c>
      <c r="BD13" s="537">
        <v>110</v>
      </c>
      <c r="BE13" s="537">
        <v>123</v>
      </c>
      <c r="BF13" s="537">
        <v>124</v>
      </c>
      <c r="BG13" s="537">
        <v>131</v>
      </c>
      <c r="BH13" s="537">
        <v>127</v>
      </c>
      <c r="BI13" s="385">
        <f>(BG13-BF13)/BF13</f>
        <v>5.6451612903225805E-2</v>
      </c>
      <c r="BJ13" s="385">
        <f>(BH13-BG13)/BG13</f>
        <v>-3.0534351145038167E-2</v>
      </c>
      <c r="BK13" s="569">
        <f>BG13-BF13</f>
        <v>7</v>
      </c>
      <c r="BL13" s="569">
        <f>BH13-BG13</f>
        <v>-4</v>
      </c>
    </row>
    <row r="14" spans="1:71" ht="6" customHeight="1">
      <c r="A14" s="125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45"/>
      <c r="AJ14" s="45"/>
      <c r="AK14" s="45"/>
      <c r="AL14" s="45"/>
      <c r="AM14" s="96"/>
      <c r="AN14" s="96"/>
      <c r="AO14" s="96"/>
      <c r="AP14" s="96"/>
      <c r="AQ14" s="96"/>
      <c r="AR14" s="96"/>
      <c r="AS14" s="96"/>
      <c r="AT14" s="96"/>
      <c r="AU14" s="180"/>
      <c r="AV14" s="180"/>
      <c r="AW14" s="180"/>
      <c r="AX14" s="180"/>
      <c r="AY14" s="180"/>
      <c r="AZ14" s="302"/>
      <c r="BA14" s="319"/>
      <c r="BB14" s="325"/>
      <c r="BC14" s="302"/>
      <c r="BD14" s="316"/>
      <c r="BE14" s="547"/>
      <c r="BF14" s="547"/>
      <c r="BG14" s="316"/>
      <c r="BH14" s="316"/>
      <c r="BI14" s="329"/>
      <c r="BJ14" s="329"/>
      <c r="BK14" s="570"/>
      <c r="BL14" s="570"/>
    </row>
    <row r="15" spans="1:71" ht="11.1" customHeight="1">
      <c r="A15" s="126" t="s">
        <v>30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6"/>
      <c r="AJ15" s="106"/>
      <c r="AK15" s="106"/>
      <c r="AL15" s="106"/>
      <c r="AM15" s="96"/>
      <c r="AN15" s="96"/>
      <c r="AO15" s="96"/>
      <c r="AP15" s="96"/>
      <c r="AQ15" s="96"/>
      <c r="AR15" s="96"/>
      <c r="AS15" s="96"/>
      <c r="AT15" s="96"/>
      <c r="AU15" s="180"/>
      <c r="AV15" s="180"/>
      <c r="AW15" s="180"/>
      <c r="AX15" s="180"/>
      <c r="AY15" s="180"/>
      <c r="AZ15" s="302"/>
      <c r="BA15" s="319"/>
      <c r="BB15" s="325"/>
      <c r="BC15" s="302"/>
      <c r="BD15" s="316"/>
      <c r="BE15" s="547"/>
      <c r="BF15" s="547"/>
      <c r="BG15" s="316"/>
      <c r="BH15" s="316"/>
      <c r="BI15" s="329"/>
      <c r="BJ15" s="329"/>
      <c r="BK15" s="570"/>
      <c r="BL15" s="570"/>
    </row>
    <row r="16" spans="1:71" ht="11.1" customHeight="1">
      <c r="A16" s="125" t="s">
        <v>31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6"/>
      <c r="AJ16" s="6"/>
      <c r="AK16" s="6"/>
      <c r="AM16" s="26"/>
      <c r="AN16" s="26"/>
      <c r="AO16" s="26"/>
      <c r="AP16" s="26"/>
      <c r="AQ16" s="26"/>
      <c r="AR16" s="26"/>
      <c r="AS16" s="26"/>
      <c r="AT16" s="55"/>
      <c r="AU16" s="33"/>
      <c r="AV16" s="33"/>
      <c r="AW16" s="33"/>
      <c r="AX16" s="33"/>
      <c r="AY16" s="33"/>
      <c r="AZ16" s="303"/>
      <c r="BA16" s="356"/>
      <c r="BB16" s="356"/>
      <c r="BC16" s="303"/>
      <c r="BD16" s="367"/>
      <c r="BE16" s="540"/>
      <c r="BF16" s="540"/>
      <c r="BG16" s="367"/>
      <c r="BH16" s="367"/>
      <c r="BI16" s="385"/>
      <c r="BJ16" s="385"/>
      <c r="BK16" s="571"/>
      <c r="BL16" s="571"/>
      <c r="BM16" s="350"/>
      <c r="BN16" s="350"/>
      <c r="BO16" s="350"/>
      <c r="BP16" s="350"/>
      <c r="BQ16" s="350"/>
      <c r="BR16" s="350"/>
      <c r="BS16" s="350"/>
    </row>
    <row r="17" spans="1:256" ht="11.1" customHeight="1">
      <c r="A17" s="125" t="s">
        <v>65</v>
      </c>
      <c r="B17" s="104">
        <v>59</v>
      </c>
      <c r="C17" s="104">
        <v>67</v>
      </c>
      <c r="D17" s="104">
        <v>71</v>
      </c>
      <c r="E17" s="104">
        <v>76</v>
      </c>
      <c r="F17" s="104">
        <v>86</v>
      </c>
      <c r="G17" s="104">
        <v>70</v>
      </c>
      <c r="H17" s="104">
        <v>81</v>
      </c>
      <c r="I17" s="104">
        <v>87</v>
      </c>
      <c r="J17" s="104">
        <v>86</v>
      </c>
      <c r="K17" s="104">
        <v>92</v>
      </c>
      <c r="L17" s="40">
        <v>96</v>
      </c>
      <c r="M17" s="40">
        <v>105</v>
      </c>
      <c r="N17" s="40">
        <v>111</v>
      </c>
      <c r="O17" s="40">
        <v>335</v>
      </c>
      <c r="P17" s="40">
        <v>344</v>
      </c>
      <c r="Q17" s="40">
        <v>372</v>
      </c>
      <c r="R17" s="40">
        <v>407</v>
      </c>
      <c r="S17" s="40">
        <v>363</v>
      </c>
      <c r="T17" s="40">
        <v>209</v>
      </c>
      <c r="U17" s="40">
        <v>235</v>
      </c>
      <c r="V17" s="40">
        <v>257</v>
      </c>
      <c r="W17" s="40">
        <v>289</v>
      </c>
      <c r="X17" s="40">
        <v>324</v>
      </c>
      <c r="Y17" s="40">
        <v>252</v>
      </c>
      <c r="Z17" s="40">
        <v>372</v>
      </c>
      <c r="AA17" s="40">
        <v>342</v>
      </c>
      <c r="AB17" s="40">
        <v>308</v>
      </c>
      <c r="AC17" s="40">
        <v>347</v>
      </c>
      <c r="AD17" s="40">
        <v>367</v>
      </c>
      <c r="AE17" s="40">
        <v>391</v>
      </c>
      <c r="AF17" s="40">
        <v>406</v>
      </c>
      <c r="AG17" s="40">
        <v>431</v>
      </c>
      <c r="AH17" s="40">
        <v>477</v>
      </c>
      <c r="AI17" s="40">
        <v>514</v>
      </c>
      <c r="AJ17" s="40">
        <v>525</v>
      </c>
      <c r="AK17" s="40">
        <v>536</v>
      </c>
      <c r="AL17" s="40">
        <v>527</v>
      </c>
      <c r="AM17" s="97">
        <v>561</v>
      </c>
      <c r="AN17" s="97">
        <v>580</v>
      </c>
      <c r="AO17" s="97">
        <v>672</v>
      </c>
      <c r="AP17" s="104">
        <v>735</v>
      </c>
      <c r="AQ17" s="104">
        <v>966</v>
      </c>
      <c r="AR17" s="104">
        <v>836</v>
      </c>
      <c r="AS17" s="104">
        <v>1180</v>
      </c>
      <c r="AT17" s="104">
        <v>1100</v>
      </c>
      <c r="AU17" s="104">
        <v>1211</v>
      </c>
      <c r="AV17" s="104">
        <v>1623</v>
      </c>
      <c r="AW17" s="104">
        <v>1318</v>
      </c>
      <c r="AX17" s="104">
        <v>1294</v>
      </c>
      <c r="AY17" s="104">
        <v>1288</v>
      </c>
      <c r="AZ17" s="104">
        <v>1340</v>
      </c>
      <c r="BA17" s="357">
        <v>1334</v>
      </c>
      <c r="BB17" s="357">
        <v>1270</v>
      </c>
      <c r="BC17" s="357">
        <v>1226</v>
      </c>
      <c r="BD17" s="370">
        <v>1217</v>
      </c>
      <c r="BE17" s="370">
        <v>1891</v>
      </c>
      <c r="BF17" s="370">
        <v>1656</v>
      </c>
      <c r="BG17" s="370">
        <v>1628</v>
      </c>
      <c r="BH17" s="370">
        <v>1342</v>
      </c>
      <c r="BI17" s="385">
        <f t="shared" ref="BI17:BJ21" si="0">(BG17-BF17)/BF17</f>
        <v>-1.6908212560386472E-2</v>
      </c>
      <c r="BJ17" s="385">
        <f t="shared" si="0"/>
        <v>-0.17567567567567569</v>
      </c>
      <c r="BK17" s="569">
        <f t="shared" ref="BK17:BL21" si="1">BG17-BF17</f>
        <v>-28</v>
      </c>
      <c r="BL17" s="569">
        <f t="shared" si="1"/>
        <v>-286</v>
      </c>
      <c r="BM17" s="350"/>
      <c r="BN17" s="350"/>
      <c r="BO17" s="350"/>
      <c r="BP17" s="350"/>
      <c r="BQ17" s="350"/>
      <c r="BR17" s="350"/>
      <c r="BS17" s="350"/>
    </row>
    <row r="18" spans="1:256" ht="11.1" customHeight="1">
      <c r="A18" s="125" t="s">
        <v>66</v>
      </c>
      <c r="B18" s="170" t="s">
        <v>3</v>
      </c>
      <c r="C18" s="170" t="s">
        <v>3</v>
      </c>
      <c r="D18" s="170" t="s">
        <v>3</v>
      </c>
      <c r="E18" s="170" t="s">
        <v>3</v>
      </c>
      <c r="F18" s="170" t="s">
        <v>3</v>
      </c>
      <c r="G18" s="170" t="s">
        <v>3</v>
      </c>
      <c r="H18" s="170" t="s">
        <v>3</v>
      </c>
      <c r="I18" s="170" t="s">
        <v>3</v>
      </c>
      <c r="J18" s="170" t="s">
        <v>3</v>
      </c>
      <c r="K18" s="170" t="s">
        <v>3</v>
      </c>
      <c r="L18" s="91" t="s">
        <v>3</v>
      </c>
      <c r="M18" s="91" t="s">
        <v>3</v>
      </c>
      <c r="N18" s="91" t="s">
        <v>3</v>
      </c>
      <c r="O18" s="91" t="s">
        <v>3</v>
      </c>
      <c r="P18" s="91" t="s">
        <v>3</v>
      </c>
      <c r="Q18" s="91" t="s">
        <v>3</v>
      </c>
      <c r="R18" s="91" t="s">
        <v>3</v>
      </c>
      <c r="S18" s="91">
        <v>107</v>
      </c>
      <c r="T18" s="114">
        <v>335</v>
      </c>
      <c r="U18" s="114">
        <v>343</v>
      </c>
      <c r="V18" s="114">
        <v>393</v>
      </c>
      <c r="W18" s="114">
        <v>411</v>
      </c>
      <c r="X18" s="114">
        <v>352</v>
      </c>
      <c r="Y18" s="114">
        <v>359</v>
      </c>
      <c r="Z18" s="114">
        <v>375</v>
      </c>
      <c r="AA18" s="114">
        <v>400</v>
      </c>
      <c r="AB18" s="114">
        <v>390</v>
      </c>
      <c r="AC18" s="114">
        <v>417</v>
      </c>
      <c r="AD18" s="114">
        <v>439</v>
      </c>
      <c r="AE18" s="114">
        <v>453</v>
      </c>
      <c r="AF18" s="114">
        <v>475</v>
      </c>
      <c r="AG18" s="114">
        <v>497</v>
      </c>
      <c r="AH18" s="114">
        <v>527</v>
      </c>
      <c r="AI18" s="114">
        <v>572</v>
      </c>
      <c r="AJ18" s="114">
        <v>583</v>
      </c>
      <c r="AK18" s="114">
        <v>607</v>
      </c>
      <c r="AL18" s="114">
        <v>618</v>
      </c>
      <c r="AM18" s="173">
        <v>655</v>
      </c>
      <c r="AN18" s="173">
        <v>681</v>
      </c>
      <c r="AO18" s="173">
        <v>699</v>
      </c>
      <c r="AP18" s="96">
        <v>743</v>
      </c>
      <c r="AQ18" s="96">
        <v>794</v>
      </c>
      <c r="AR18" s="104">
        <v>819</v>
      </c>
      <c r="AS18" s="104">
        <v>841</v>
      </c>
      <c r="AT18" s="104">
        <v>888</v>
      </c>
      <c r="AU18" s="104">
        <v>923</v>
      </c>
      <c r="AV18" s="104">
        <f>968</f>
        <v>968</v>
      </c>
      <c r="AW18" s="104">
        <f>(953+8)</f>
        <v>961</v>
      </c>
      <c r="AX18" s="104">
        <v>1071</v>
      </c>
      <c r="AY18" s="104">
        <v>1111</v>
      </c>
      <c r="AZ18" s="104">
        <v>1169</v>
      </c>
      <c r="BA18" s="357">
        <v>1198</v>
      </c>
      <c r="BB18" s="357">
        <v>1164</v>
      </c>
      <c r="BC18" s="357">
        <v>1195</v>
      </c>
      <c r="BD18" s="370">
        <v>1170</v>
      </c>
      <c r="BE18" s="314">
        <v>1202</v>
      </c>
      <c r="BF18" s="314">
        <v>1247</v>
      </c>
      <c r="BG18" s="314">
        <v>1207</v>
      </c>
      <c r="BH18" s="314">
        <v>1246</v>
      </c>
      <c r="BI18" s="385">
        <f t="shared" si="0"/>
        <v>-3.2076984763432237E-2</v>
      </c>
      <c r="BJ18" s="385">
        <f t="shared" si="0"/>
        <v>3.2311516155758079E-2</v>
      </c>
      <c r="BK18" s="569">
        <f t="shared" si="1"/>
        <v>-40</v>
      </c>
      <c r="BL18" s="569">
        <f t="shared" si="1"/>
        <v>39</v>
      </c>
    </row>
    <row r="19" spans="1:256" ht="11.1" customHeight="1">
      <c r="A19" s="127" t="s">
        <v>67</v>
      </c>
      <c r="B19" s="170" t="s">
        <v>3</v>
      </c>
      <c r="C19" s="170" t="s">
        <v>3</v>
      </c>
      <c r="D19" s="170" t="s">
        <v>3</v>
      </c>
      <c r="E19" s="170" t="s">
        <v>3</v>
      </c>
      <c r="F19" s="170" t="s">
        <v>3</v>
      </c>
      <c r="G19" s="170" t="s">
        <v>3</v>
      </c>
      <c r="H19" s="104">
        <v>2</v>
      </c>
      <c r="I19" s="104">
        <v>2</v>
      </c>
      <c r="J19" s="104">
        <v>3</v>
      </c>
      <c r="K19" s="104">
        <v>3</v>
      </c>
      <c r="L19" s="114">
        <v>3</v>
      </c>
      <c r="M19" s="114">
        <v>4</v>
      </c>
      <c r="N19" s="114">
        <v>4</v>
      </c>
      <c r="O19" s="114">
        <v>4</v>
      </c>
      <c r="P19" s="114">
        <v>4</v>
      </c>
      <c r="Q19" s="114">
        <v>5</v>
      </c>
      <c r="R19" s="114">
        <v>5</v>
      </c>
      <c r="S19" s="170">
        <v>24</v>
      </c>
      <c r="T19" s="170">
        <v>42</v>
      </c>
      <c r="U19" s="170">
        <v>53</v>
      </c>
      <c r="V19" s="170">
        <v>66</v>
      </c>
      <c r="W19" s="170">
        <v>71</v>
      </c>
      <c r="X19" s="170">
        <v>60</v>
      </c>
      <c r="Y19" s="170">
        <v>47</v>
      </c>
      <c r="Z19" s="170">
        <v>42</v>
      </c>
      <c r="AA19" s="170">
        <v>46</v>
      </c>
      <c r="AB19" s="170">
        <v>46</v>
      </c>
      <c r="AC19" s="170">
        <v>42</v>
      </c>
      <c r="AD19" s="170">
        <v>43</v>
      </c>
      <c r="AE19" s="170">
        <v>51</v>
      </c>
      <c r="AF19" s="170">
        <v>50</v>
      </c>
      <c r="AG19" s="170">
        <v>52</v>
      </c>
      <c r="AH19" s="170">
        <v>51</v>
      </c>
      <c r="AI19" s="170">
        <v>58</v>
      </c>
      <c r="AJ19" s="170">
        <v>55</v>
      </c>
      <c r="AK19" s="114">
        <v>59</v>
      </c>
      <c r="AL19" s="114">
        <v>57</v>
      </c>
      <c r="AM19" s="173">
        <v>55</v>
      </c>
      <c r="AN19" s="173">
        <v>56</v>
      </c>
      <c r="AO19" s="173">
        <v>61</v>
      </c>
      <c r="AP19" s="100">
        <v>60</v>
      </c>
      <c r="AQ19" s="100">
        <v>69</v>
      </c>
      <c r="AR19" s="104">
        <v>67</v>
      </c>
      <c r="AS19" s="104">
        <v>66</v>
      </c>
      <c r="AT19" s="104">
        <v>68</v>
      </c>
      <c r="AU19" s="104">
        <v>74</v>
      </c>
      <c r="AV19" s="104">
        <f>38+38</f>
        <v>76</v>
      </c>
      <c r="AW19" s="104">
        <f>41+38</f>
        <v>79</v>
      </c>
      <c r="AX19" s="104">
        <v>79</v>
      </c>
      <c r="AY19" s="104">
        <v>83</v>
      </c>
      <c r="AZ19" s="104">
        <v>87</v>
      </c>
      <c r="BA19" s="357">
        <v>87</v>
      </c>
      <c r="BB19" s="357">
        <v>88</v>
      </c>
      <c r="BC19" s="357">
        <v>89</v>
      </c>
      <c r="BD19" s="370">
        <v>90</v>
      </c>
      <c r="BE19" s="370">
        <v>96</v>
      </c>
      <c r="BF19" s="370">
        <v>93</v>
      </c>
      <c r="BG19" s="370">
        <v>104</v>
      </c>
      <c r="BH19" s="370">
        <v>104</v>
      </c>
      <c r="BI19" s="385">
        <f t="shared" si="0"/>
        <v>0.11827956989247312</v>
      </c>
      <c r="BJ19" s="385">
        <f t="shared" si="0"/>
        <v>0</v>
      </c>
      <c r="BK19" s="569">
        <f t="shared" si="1"/>
        <v>11</v>
      </c>
      <c r="BL19" s="569">
        <f t="shared" si="1"/>
        <v>0</v>
      </c>
    </row>
    <row r="20" spans="1:256" ht="11.1" customHeight="1">
      <c r="A20" s="127" t="s">
        <v>84</v>
      </c>
      <c r="B20" s="46" t="s">
        <v>3</v>
      </c>
      <c r="C20" s="46" t="s">
        <v>3</v>
      </c>
      <c r="D20" s="46" t="s">
        <v>3</v>
      </c>
      <c r="E20" s="46" t="s">
        <v>3</v>
      </c>
      <c r="F20" s="46" t="s">
        <v>3</v>
      </c>
      <c r="G20" s="46" t="s">
        <v>3</v>
      </c>
      <c r="H20" s="46" t="s">
        <v>3</v>
      </c>
      <c r="I20" s="46" t="s">
        <v>3</v>
      </c>
      <c r="J20" s="46" t="s">
        <v>3</v>
      </c>
      <c r="K20" s="46" t="s">
        <v>3</v>
      </c>
      <c r="L20" s="46" t="s">
        <v>3</v>
      </c>
      <c r="M20" s="46" t="s">
        <v>3</v>
      </c>
      <c r="N20" s="46" t="s">
        <v>3</v>
      </c>
      <c r="O20" s="46" t="s">
        <v>3</v>
      </c>
      <c r="P20" s="46" t="s">
        <v>3</v>
      </c>
      <c r="Q20" s="46" t="s">
        <v>3</v>
      </c>
      <c r="R20" s="46" t="s">
        <v>3</v>
      </c>
      <c r="S20" s="46" t="s">
        <v>3</v>
      </c>
      <c r="T20" s="46" t="s">
        <v>3</v>
      </c>
      <c r="U20" s="46" t="s">
        <v>3</v>
      </c>
      <c r="V20" s="46" t="s">
        <v>3</v>
      </c>
      <c r="W20" s="46" t="s">
        <v>3</v>
      </c>
      <c r="X20" s="46" t="s">
        <v>3</v>
      </c>
      <c r="Y20" s="46" t="s">
        <v>3</v>
      </c>
      <c r="Z20" s="46" t="s">
        <v>3</v>
      </c>
      <c r="AA20" s="46" t="s">
        <v>3</v>
      </c>
      <c r="AB20" s="46" t="s">
        <v>3</v>
      </c>
      <c r="AC20" s="46" t="s">
        <v>3</v>
      </c>
      <c r="AD20" s="46" t="s">
        <v>3</v>
      </c>
      <c r="AE20" s="46" t="s">
        <v>3</v>
      </c>
      <c r="AF20" s="46" t="s">
        <v>3</v>
      </c>
      <c r="AG20" s="46" t="s">
        <v>3</v>
      </c>
      <c r="AH20" s="46" t="s">
        <v>3</v>
      </c>
      <c r="AI20" s="46" t="s">
        <v>3</v>
      </c>
      <c r="AJ20" s="46" t="s">
        <v>3</v>
      </c>
      <c r="AK20" s="46" t="s">
        <v>3</v>
      </c>
      <c r="AL20" s="55">
        <v>9</v>
      </c>
      <c r="AM20" s="55">
        <v>53</v>
      </c>
      <c r="AN20" s="55">
        <v>243</v>
      </c>
      <c r="AO20" s="55">
        <v>54</v>
      </c>
      <c r="AP20" s="55">
        <v>64</v>
      </c>
      <c r="AQ20" s="55">
        <v>84</v>
      </c>
      <c r="AR20" s="55">
        <v>85</v>
      </c>
      <c r="AS20" s="55">
        <v>77</v>
      </c>
      <c r="AT20" s="55">
        <v>71</v>
      </c>
      <c r="AU20" s="33">
        <v>67</v>
      </c>
      <c r="AV20" s="33">
        <v>74</v>
      </c>
      <c r="AW20" s="33">
        <v>79</v>
      </c>
      <c r="AX20" s="33">
        <v>76</v>
      </c>
      <c r="AY20" s="33">
        <v>73</v>
      </c>
      <c r="AZ20" s="33">
        <v>78</v>
      </c>
      <c r="BA20" s="356">
        <v>77</v>
      </c>
      <c r="BB20" s="356">
        <v>77</v>
      </c>
      <c r="BC20" s="356">
        <v>73</v>
      </c>
      <c r="BD20" s="367">
        <v>67</v>
      </c>
      <c r="BE20" s="367">
        <v>77</v>
      </c>
      <c r="BF20" s="367">
        <v>83</v>
      </c>
      <c r="BG20" s="367">
        <v>84</v>
      </c>
      <c r="BH20" s="367">
        <v>68</v>
      </c>
      <c r="BI20" s="385">
        <f t="shared" si="0"/>
        <v>1.2048192771084338E-2</v>
      </c>
      <c r="BJ20" s="385">
        <f t="shared" si="0"/>
        <v>-0.19047619047619047</v>
      </c>
      <c r="BK20" s="569">
        <f t="shared" si="1"/>
        <v>1</v>
      </c>
      <c r="BL20" s="569">
        <f t="shared" si="1"/>
        <v>-16</v>
      </c>
    </row>
    <row r="21" spans="1:256" ht="11.1" customHeight="1">
      <c r="A21" s="128" t="s">
        <v>32</v>
      </c>
      <c r="B21" s="137">
        <f>SUM(B16:B20)</f>
        <v>59</v>
      </c>
      <c r="C21" s="137">
        <f t="shared" ref="C21:AK21" si="2">SUM(C16:C20)</f>
        <v>67</v>
      </c>
      <c r="D21" s="137">
        <f t="shared" si="2"/>
        <v>71</v>
      </c>
      <c r="E21" s="137">
        <f t="shared" si="2"/>
        <v>76</v>
      </c>
      <c r="F21" s="137">
        <f t="shared" si="2"/>
        <v>86</v>
      </c>
      <c r="G21" s="137">
        <f t="shared" si="2"/>
        <v>70</v>
      </c>
      <c r="H21" s="137">
        <f t="shared" si="2"/>
        <v>83</v>
      </c>
      <c r="I21" s="137">
        <f t="shared" si="2"/>
        <v>89</v>
      </c>
      <c r="J21" s="137">
        <f t="shared" si="2"/>
        <v>89</v>
      </c>
      <c r="K21" s="137">
        <f t="shared" si="2"/>
        <v>95</v>
      </c>
      <c r="L21" s="137">
        <f t="shared" si="2"/>
        <v>99</v>
      </c>
      <c r="M21" s="137">
        <f t="shared" si="2"/>
        <v>109</v>
      </c>
      <c r="N21" s="137">
        <f t="shared" si="2"/>
        <v>115</v>
      </c>
      <c r="O21" s="137">
        <f t="shared" si="2"/>
        <v>339</v>
      </c>
      <c r="P21" s="137">
        <f t="shared" si="2"/>
        <v>348</v>
      </c>
      <c r="Q21" s="137">
        <f t="shared" si="2"/>
        <v>377</v>
      </c>
      <c r="R21" s="137">
        <f t="shared" si="2"/>
        <v>412</v>
      </c>
      <c r="S21" s="137">
        <f t="shared" si="2"/>
        <v>494</v>
      </c>
      <c r="T21" s="137">
        <f t="shared" si="2"/>
        <v>586</v>
      </c>
      <c r="U21" s="137">
        <f t="shared" si="2"/>
        <v>631</v>
      </c>
      <c r="V21" s="137">
        <f t="shared" si="2"/>
        <v>716</v>
      </c>
      <c r="W21" s="137">
        <f t="shared" si="2"/>
        <v>771</v>
      </c>
      <c r="X21" s="137">
        <f t="shared" si="2"/>
        <v>736</v>
      </c>
      <c r="Y21" s="137">
        <f t="shared" si="2"/>
        <v>658</v>
      </c>
      <c r="Z21" s="137">
        <f t="shared" si="2"/>
        <v>789</v>
      </c>
      <c r="AA21" s="137">
        <f t="shared" si="2"/>
        <v>788</v>
      </c>
      <c r="AB21" s="137">
        <f t="shared" si="2"/>
        <v>744</v>
      </c>
      <c r="AC21" s="137">
        <f t="shared" si="2"/>
        <v>806</v>
      </c>
      <c r="AD21" s="137">
        <f t="shared" si="2"/>
        <v>849</v>
      </c>
      <c r="AE21" s="137">
        <f t="shared" si="2"/>
        <v>895</v>
      </c>
      <c r="AF21" s="137">
        <f t="shared" si="2"/>
        <v>931</v>
      </c>
      <c r="AG21" s="137">
        <f t="shared" si="2"/>
        <v>980</v>
      </c>
      <c r="AH21" s="137">
        <f t="shared" si="2"/>
        <v>1055</v>
      </c>
      <c r="AI21" s="137">
        <f t="shared" si="2"/>
        <v>1144</v>
      </c>
      <c r="AJ21" s="137">
        <f t="shared" si="2"/>
        <v>1163</v>
      </c>
      <c r="AK21" s="137">
        <f t="shared" si="2"/>
        <v>1202</v>
      </c>
      <c r="AL21" s="208">
        <f t="shared" ref="AL21:BA21" si="3">SUM(AL17:AL20)</f>
        <v>1211</v>
      </c>
      <c r="AM21" s="208">
        <f t="shared" si="3"/>
        <v>1324</v>
      </c>
      <c r="AN21" s="208">
        <f t="shared" si="3"/>
        <v>1560</v>
      </c>
      <c r="AO21" s="208">
        <f t="shared" si="3"/>
        <v>1486</v>
      </c>
      <c r="AP21" s="208">
        <f t="shared" si="3"/>
        <v>1602</v>
      </c>
      <c r="AQ21" s="208">
        <f t="shared" si="3"/>
        <v>1913</v>
      </c>
      <c r="AR21" s="208">
        <f t="shared" si="3"/>
        <v>1807</v>
      </c>
      <c r="AS21" s="208">
        <f t="shared" si="3"/>
        <v>2164</v>
      </c>
      <c r="AT21" s="208">
        <f t="shared" si="3"/>
        <v>2127</v>
      </c>
      <c r="AU21" s="208">
        <f t="shared" si="3"/>
        <v>2275</v>
      </c>
      <c r="AV21" s="208">
        <f t="shared" si="3"/>
        <v>2741</v>
      </c>
      <c r="AW21" s="208">
        <f t="shared" si="3"/>
        <v>2437</v>
      </c>
      <c r="AX21" s="208">
        <f t="shared" si="3"/>
        <v>2520</v>
      </c>
      <c r="AY21" s="208">
        <f t="shared" si="3"/>
        <v>2555</v>
      </c>
      <c r="AZ21" s="208">
        <f t="shared" si="3"/>
        <v>2674</v>
      </c>
      <c r="BA21" s="358">
        <f t="shared" si="3"/>
        <v>2696</v>
      </c>
      <c r="BB21" s="358">
        <f t="shared" ref="BB21:BG21" si="4">SUM(BB17:BB20)</f>
        <v>2599</v>
      </c>
      <c r="BC21" s="358">
        <f t="shared" si="4"/>
        <v>2583</v>
      </c>
      <c r="BD21" s="407">
        <f t="shared" si="4"/>
        <v>2544</v>
      </c>
      <c r="BE21" s="407">
        <f t="shared" si="4"/>
        <v>3266</v>
      </c>
      <c r="BF21" s="407">
        <f t="shared" si="4"/>
        <v>3079</v>
      </c>
      <c r="BG21" s="407">
        <f t="shared" si="4"/>
        <v>3023</v>
      </c>
      <c r="BH21" s="407">
        <f t="shared" ref="BH21" si="5">SUM(BH17:BH20)</f>
        <v>2760</v>
      </c>
      <c r="BI21" s="415">
        <f t="shared" si="0"/>
        <v>-1.8187723286781421E-2</v>
      </c>
      <c r="BJ21" s="415">
        <f t="shared" si="0"/>
        <v>-8.6999669202778698E-2</v>
      </c>
      <c r="BK21" s="572">
        <f t="shared" si="1"/>
        <v>-56</v>
      </c>
      <c r="BL21" s="572">
        <f t="shared" si="1"/>
        <v>-263</v>
      </c>
    </row>
    <row r="22" spans="1:256" ht="6" customHeight="1">
      <c r="A22" s="12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83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K22" s="6"/>
      <c r="AL22" s="6"/>
      <c r="AM22" s="26"/>
      <c r="AN22" s="26"/>
      <c r="AO22" s="26"/>
      <c r="AP22" s="26"/>
      <c r="AQ22" s="26"/>
      <c r="AR22" s="26"/>
      <c r="AS22" s="26"/>
      <c r="AT22" s="26"/>
      <c r="AU22" s="161"/>
      <c r="AV22" s="161"/>
      <c r="AW22" s="161"/>
      <c r="AX22" s="161"/>
      <c r="AY22" s="161"/>
      <c r="AZ22" s="305"/>
      <c r="BA22" s="320"/>
      <c r="BB22" s="327"/>
      <c r="BC22" s="305"/>
      <c r="BD22" s="538"/>
      <c r="BE22" s="538"/>
      <c r="BF22" s="538"/>
      <c r="BG22" s="538"/>
      <c r="BH22" s="538"/>
      <c r="BI22" s="329"/>
      <c r="BJ22" s="329"/>
      <c r="BK22" s="570"/>
      <c r="BL22" s="570"/>
    </row>
    <row r="23" spans="1:256">
      <c r="A23" s="126" t="s">
        <v>33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628"/>
      <c r="BG23" s="628"/>
      <c r="BH23" s="628"/>
      <c r="BI23" s="329"/>
      <c r="BJ23" s="329"/>
      <c r="BK23" s="570"/>
      <c r="BL23" s="570"/>
    </row>
    <row r="24" spans="1:256" ht="11.25" customHeight="1">
      <c r="A24" s="125" t="s">
        <v>80</v>
      </c>
      <c r="B24" s="28">
        <v>16</v>
      </c>
      <c r="C24" s="28">
        <v>20</v>
      </c>
      <c r="D24" s="28">
        <v>25</v>
      </c>
      <c r="E24" s="28">
        <v>31</v>
      </c>
      <c r="F24" s="28">
        <v>39</v>
      </c>
      <c r="G24" s="28">
        <v>42</v>
      </c>
      <c r="H24" s="28">
        <v>47</v>
      </c>
      <c r="I24" s="28">
        <v>61</v>
      </c>
      <c r="J24" s="28">
        <v>71</v>
      </c>
      <c r="K24" s="28">
        <v>65</v>
      </c>
      <c r="L24" s="13">
        <v>72</v>
      </c>
      <c r="M24" s="13">
        <v>85</v>
      </c>
      <c r="N24" s="13">
        <v>105</v>
      </c>
      <c r="O24" s="13">
        <v>143</v>
      </c>
      <c r="P24" s="13">
        <v>165</v>
      </c>
      <c r="Q24" s="13">
        <v>201</v>
      </c>
      <c r="R24" s="13">
        <v>218</v>
      </c>
      <c r="S24" s="13">
        <v>245</v>
      </c>
      <c r="T24" s="13">
        <v>276</v>
      </c>
      <c r="U24" s="13">
        <v>300</v>
      </c>
      <c r="V24" s="13">
        <v>326</v>
      </c>
      <c r="W24" s="13">
        <v>337</v>
      </c>
      <c r="X24" s="13">
        <v>344</v>
      </c>
      <c r="Y24" s="13">
        <v>364</v>
      </c>
      <c r="Z24" s="13">
        <v>390</v>
      </c>
      <c r="AA24" s="13">
        <v>418</v>
      </c>
      <c r="AB24" s="13">
        <v>417</v>
      </c>
      <c r="AC24" s="13">
        <v>422</v>
      </c>
      <c r="AD24" s="13">
        <v>463</v>
      </c>
      <c r="AE24" s="13">
        <v>510</v>
      </c>
      <c r="AF24" s="13">
        <v>561</v>
      </c>
      <c r="AG24" s="13">
        <v>665</v>
      </c>
      <c r="AH24" s="13">
        <v>768</v>
      </c>
      <c r="AI24" s="13">
        <v>776</v>
      </c>
      <c r="AJ24" s="13">
        <v>870</v>
      </c>
      <c r="AK24" s="13">
        <v>954</v>
      </c>
      <c r="AL24" s="13">
        <v>979</v>
      </c>
      <c r="AM24" s="99">
        <v>997</v>
      </c>
      <c r="AN24" s="94">
        <v>1004</v>
      </c>
      <c r="AO24" s="94">
        <v>1119</v>
      </c>
      <c r="AP24" s="71">
        <v>1209</v>
      </c>
      <c r="AQ24" s="71">
        <v>1322</v>
      </c>
      <c r="AR24" s="71">
        <v>1455</v>
      </c>
      <c r="AS24" s="71">
        <v>1736</v>
      </c>
      <c r="AT24" s="71">
        <v>1776</v>
      </c>
      <c r="AU24" s="28">
        <v>1727</v>
      </c>
      <c r="AV24" s="28">
        <v>1905</v>
      </c>
      <c r="AW24" s="28">
        <f>1836+6</f>
        <v>1842</v>
      </c>
      <c r="AX24" s="344">
        <v>2043</v>
      </c>
      <c r="AY24" s="344">
        <v>2539</v>
      </c>
      <c r="AZ24" s="344">
        <f>3003+25</f>
        <v>3028</v>
      </c>
      <c r="BA24" s="357">
        <f>3260+1</f>
        <v>3261</v>
      </c>
      <c r="BB24" s="357">
        <f>3335+2</f>
        <v>3337</v>
      </c>
      <c r="BC24" s="417">
        <f>3430+38</f>
        <v>3468</v>
      </c>
      <c r="BD24" s="539">
        <v>3923</v>
      </c>
      <c r="BE24" s="539">
        <v>4381</v>
      </c>
      <c r="BF24" s="539">
        <v>4702</v>
      </c>
      <c r="BG24" s="539">
        <v>4653</v>
      </c>
      <c r="BH24" s="539">
        <v>5308</v>
      </c>
      <c r="BI24" s="385">
        <f>(BG24-BF24)/BF24</f>
        <v>-1.0421097405359422E-2</v>
      </c>
      <c r="BJ24" s="385">
        <f>(BH24-BG24)/BG24</f>
        <v>0.14076939608854502</v>
      </c>
      <c r="BK24" s="569">
        <f>BG24-BF24</f>
        <v>-49</v>
      </c>
      <c r="BL24" s="569">
        <f>BH24-BG24</f>
        <v>655</v>
      </c>
    </row>
    <row r="25" spans="1:256" ht="6" customHeight="1">
      <c r="A25" s="12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6"/>
      <c r="AN25" s="26"/>
      <c r="AO25" s="26"/>
      <c r="AP25" s="26"/>
      <c r="AQ25" s="26"/>
      <c r="AR25" s="26"/>
      <c r="AS25" s="26"/>
      <c r="AT25" s="26"/>
      <c r="AU25" s="26"/>
      <c r="AV25" s="161"/>
      <c r="AW25" s="161"/>
      <c r="AX25" s="33"/>
      <c r="AY25" s="33"/>
      <c r="AZ25" s="303"/>
      <c r="BA25" s="356"/>
      <c r="BB25" s="324"/>
      <c r="BC25" s="303"/>
      <c r="BD25" s="540"/>
      <c r="BE25" s="540"/>
      <c r="BF25" s="540"/>
      <c r="BG25" s="540"/>
      <c r="BH25" s="540"/>
      <c r="BI25" s="329"/>
      <c r="BJ25" s="329"/>
      <c r="BK25" s="570"/>
      <c r="BL25" s="570"/>
    </row>
    <row r="26" spans="1:256" ht="11.1" customHeight="1">
      <c r="A26" s="126" t="s">
        <v>34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6"/>
      <c r="AN26" s="26"/>
      <c r="AO26" s="26"/>
      <c r="AP26" s="26"/>
      <c r="AQ26" s="26"/>
      <c r="AR26" s="26"/>
      <c r="AS26" s="26"/>
      <c r="AT26" s="26"/>
      <c r="AU26" s="26"/>
      <c r="AV26" s="161"/>
      <c r="AW26" s="161"/>
      <c r="AX26" s="161"/>
      <c r="AY26" s="161"/>
      <c r="AZ26" s="305"/>
      <c r="BA26" s="320"/>
      <c r="BB26" s="327"/>
      <c r="BC26" s="305"/>
      <c r="BD26" s="538"/>
      <c r="BE26" s="538"/>
      <c r="BF26" s="538"/>
      <c r="BG26" s="538"/>
      <c r="BH26" s="538"/>
      <c r="BI26" s="329"/>
      <c r="BJ26" s="329"/>
      <c r="BK26" s="570"/>
      <c r="BL26" s="570"/>
    </row>
    <row r="27" spans="1:256" ht="11.1" customHeight="1">
      <c r="A27" s="125" t="s">
        <v>81</v>
      </c>
      <c r="B27" s="30" t="s">
        <v>3</v>
      </c>
      <c r="C27" s="30" t="s">
        <v>3</v>
      </c>
      <c r="D27" s="30" t="s">
        <v>3</v>
      </c>
      <c r="E27" s="30" t="s">
        <v>3</v>
      </c>
      <c r="F27" s="30" t="s">
        <v>3</v>
      </c>
      <c r="G27" s="30" t="s">
        <v>3</v>
      </c>
      <c r="H27" s="30" t="s">
        <v>3</v>
      </c>
      <c r="I27" s="30" t="s">
        <v>3</v>
      </c>
      <c r="J27" s="30" t="s">
        <v>3</v>
      </c>
      <c r="K27" s="30" t="s">
        <v>3</v>
      </c>
      <c r="L27" s="30" t="s">
        <v>3</v>
      </c>
      <c r="M27" s="30" t="s">
        <v>3</v>
      </c>
      <c r="N27" s="16" t="s">
        <v>10</v>
      </c>
      <c r="O27" s="16">
        <v>1</v>
      </c>
      <c r="P27" s="13">
        <v>1</v>
      </c>
      <c r="Q27" s="16">
        <v>2</v>
      </c>
      <c r="R27" s="16" t="s">
        <v>10</v>
      </c>
      <c r="S27" s="16" t="s">
        <v>10</v>
      </c>
      <c r="T27" s="16" t="s">
        <v>10</v>
      </c>
      <c r="U27" s="16">
        <v>1</v>
      </c>
      <c r="V27" s="13">
        <v>2</v>
      </c>
      <c r="W27" s="13">
        <v>5</v>
      </c>
      <c r="X27" s="13">
        <v>4</v>
      </c>
      <c r="Y27" s="13">
        <v>5</v>
      </c>
      <c r="Z27" s="13">
        <v>5</v>
      </c>
      <c r="AA27" s="13">
        <v>7</v>
      </c>
      <c r="AB27" s="13">
        <v>6</v>
      </c>
      <c r="AC27" s="13">
        <v>6</v>
      </c>
      <c r="AD27" s="13">
        <v>7</v>
      </c>
      <c r="AE27" s="13">
        <v>7</v>
      </c>
      <c r="AF27" s="13">
        <v>5</v>
      </c>
      <c r="AG27" s="13">
        <v>8</v>
      </c>
      <c r="AH27" s="16">
        <v>7</v>
      </c>
      <c r="AI27" s="16">
        <v>8</v>
      </c>
      <c r="AJ27" s="13">
        <v>9</v>
      </c>
      <c r="AK27" s="13">
        <v>10</v>
      </c>
      <c r="AL27" s="13">
        <v>12</v>
      </c>
      <c r="AM27" s="26">
        <v>13</v>
      </c>
      <c r="AN27" s="26">
        <v>16</v>
      </c>
      <c r="AO27" s="26">
        <v>15</v>
      </c>
      <c r="AP27" s="70">
        <v>14</v>
      </c>
      <c r="AQ27" s="70">
        <v>10</v>
      </c>
      <c r="AR27" s="70">
        <v>10</v>
      </c>
      <c r="AS27" s="70">
        <v>7</v>
      </c>
      <c r="AT27" s="70">
        <v>10</v>
      </c>
      <c r="AU27" s="70">
        <v>10</v>
      </c>
      <c r="AV27" s="70">
        <v>9</v>
      </c>
      <c r="AW27" s="210">
        <v>7</v>
      </c>
      <c r="AX27" s="210">
        <v>7</v>
      </c>
      <c r="AY27" s="210">
        <v>6</v>
      </c>
      <c r="AZ27" s="210">
        <v>6</v>
      </c>
      <c r="BA27" s="359">
        <v>7</v>
      </c>
      <c r="BB27" s="359">
        <v>7</v>
      </c>
      <c r="BC27" s="359">
        <v>7</v>
      </c>
      <c r="BD27" s="541">
        <v>8</v>
      </c>
      <c r="BE27" s="541">
        <v>9</v>
      </c>
      <c r="BF27" s="541">
        <v>12</v>
      </c>
      <c r="BG27" s="541">
        <v>12</v>
      </c>
      <c r="BH27" s="541">
        <v>12</v>
      </c>
      <c r="BI27" s="385">
        <f>(BG27-BF27)/BF27</f>
        <v>0</v>
      </c>
      <c r="BJ27" s="385">
        <f>(BH27-BG27)/BG27</f>
        <v>0</v>
      </c>
      <c r="BK27" s="569">
        <f>BG27-BF27</f>
        <v>0</v>
      </c>
      <c r="BL27" s="569">
        <f>BH27-BG27</f>
        <v>0</v>
      </c>
    </row>
    <row r="28" spans="1:256" s="350" customFormat="1" ht="11.1" customHeight="1">
      <c r="A28" s="426" t="s">
        <v>85</v>
      </c>
      <c r="B28" s="365" t="s">
        <v>3</v>
      </c>
      <c r="C28" s="365" t="s">
        <v>3</v>
      </c>
      <c r="D28" s="365" t="s">
        <v>3</v>
      </c>
      <c r="E28" s="365" t="s">
        <v>3</v>
      </c>
      <c r="F28" s="365" t="s">
        <v>3</v>
      </c>
      <c r="G28" s="365" t="s">
        <v>3</v>
      </c>
      <c r="H28" s="365" t="s">
        <v>3</v>
      </c>
      <c r="I28" s="365" t="s">
        <v>3</v>
      </c>
      <c r="J28" s="365" t="s">
        <v>3</v>
      </c>
      <c r="K28" s="365" t="s">
        <v>3</v>
      </c>
      <c r="L28" s="365" t="s">
        <v>3</v>
      </c>
      <c r="M28" s="365" t="s">
        <v>3</v>
      </c>
      <c r="N28" s="365" t="s">
        <v>3</v>
      </c>
      <c r="O28" s="365" t="s">
        <v>3</v>
      </c>
      <c r="P28" s="365" t="s">
        <v>3</v>
      </c>
      <c r="Q28" s="365" t="s">
        <v>3</v>
      </c>
      <c r="R28" s="365" t="s">
        <v>3</v>
      </c>
      <c r="S28" s="365" t="s">
        <v>3</v>
      </c>
      <c r="T28" s="365" t="s">
        <v>3</v>
      </c>
      <c r="U28" s="365" t="s">
        <v>3</v>
      </c>
      <c r="V28" s="365" t="s">
        <v>3</v>
      </c>
      <c r="W28" s="365" t="s">
        <v>3</v>
      </c>
      <c r="X28" s="365" t="s">
        <v>3</v>
      </c>
      <c r="Y28" s="365" t="s">
        <v>3</v>
      </c>
      <c r="Z28" s="365" t="s">
        <v>3</v>
      </c>
      <c r="AA28" s="365" t="s">
        <v>3</v>
      </c>
      <c r="AB28" s="365" t="s">
        <v>3</v>
      </c>
      <c r="AC28" s="365" t="s">
        <v>3</v>
      </c>
      <c r="AD28" s="365" t="s">
        <v>3</v>
      </c>
      <c r="AE28" s="365" t="s">
        <v>3</v>
      </c>
      <c r="AF28" s="365" t="s">
        <v>3</v>
      </c>
      <c r="AG28" s="365" t="s">
        <v>3</v>
      </c>
      <c r="AH28" s="365" t="s">
        <v>3</v>
      </c>
      <c r="AI28" s="365" t="s">
        <v>3</v>
      </c>
      <c r="AJ28" s="365" t="s">
        <v>3</v>
      </c>
      <c r="AK28" s="365" t="s">
        <v>3</v>
      </c>
      <c r="AL28" s="365" t="s">
        <v>3</v>
      </c>
      <c r="AM28" s="365" t="s">
        <v>3</v>
      </c>
      <c r="AN28" s="365" t="s">
        <v>3</v>
      </c>
      <c r="AO28" s="378">
        <v>2</v>
      </c>
      <c r="AP28" s="378">
        <v>95</v>
      </c>
      <c r="AQ28" s="378">
        <v>86</v>
      </c>
      <c r="AR28" s="378">
        <v>95</v>
      </c>
      <c r="AS28" s="378">
        <v>91</v>
      </c>
      <c r="AT28" s="378">
        <v>113</v>
      </c>
      <c r="AU28" s="378">
        <v>133</v>
      </c>
      <c r="AV28" s="378">
        <v>120</v>
      </c>
      <c r="AW28" s="378">
        <v>147</v>
      </c>
      <c r="AX28" s="378">
        <v>149</v>
      </c>
      <c r="AY28" s="378">
        <v>168</v>
      </c>
      <c r="AZ28" s="378">
        <v>179</v>
      </c>
      <c r="BA28" s="360">
        <v>174</v>
      </c>
      <c r="BB28" s="360">
        <v>148</v>
      </c>
      <c r="BC28" s="360">
        <v>125</v>
      </c>
      <c r="BD28" s="542">
        <v>122</v>
      </c>
      <c r="BE28" s="542">
        <v>112</v>
      </c>
      <c r="BF28" s="542">
        <v>95</v>
      </c>
      <c r="BG28" s="542">
        <v>101</v>
      </c>
      <c r="BH28" s="542">
        <v>101</v>
      </c>
      <c r="BI28" s="385">
        <f>(BG28-BF28)/BF28</f>
        <v>6.3157894736842107E-2</v>
      </c>
      <c r="BJ28" s="385">
        <f>(BH28-BG28)/BG28</f>
        <v>0</v>
      </c>
      <c r="BK28" s="569">
        <f>BG28-BF28</f>
        <v>6</v>
      </c>
      <c r="BL28" s="569">
        <f>BH28-BG28</f>
        <v>0</v>
      </c>
      <c r="BM28" s="426"/>
      <c r="BN28" s="426"/>
      <c r="BO28" s="426"/>
      <c r="BP28" s="426"/>
      <c r="BQ28" s="426"/>
      <c r="BR28" s="426"/>
      <c r="BS28" s="426"/>
      <c r="BT28" s="426"/>
      <c r="BU28" s="426"/>
      <c r="BV28" s="426"/>
      <c r="BW28" s="426"/>
      <c r="BX28" s="426"/>
      <c r="BY28" s="426"/>
      <c r="BZ28" s="426"/>
      <c r="CA28" s="426"/>
      <c r="CB28" s="426"/>
      <c r="CC28" s="426"/>
      <c r="CD28" s="426"/>
      <c r="CE28" s="426"/>
      <c r="CF28" s="426"/>
      <c r="CG28" s="426"/>
      <c r="CH28" s="426"/>
      <c r="CI28" s="426"/>
      <c r="CJ28" s="426"/>
      <c r="CK28" s="426"/>
      <c r="CL28" s="426"/>
      <c r="CM28" s="426"/>
      <c r="CN28" s="426"/>
      <c r="CO28" s="426"/>
      <c r="CP28" s="426"/>
      <c r="CQ28" s="426"/>
      <c r="CR28" s="426"/>
      <c r="CS28" s="426"/>
      <c r="CT28" s="426"/>
      <c r="CU28" s="426"/>
      <c r="CV28" s="426"/>
      <c r="CW28" s="426"/>
      <c r="CX28" s="426"/>
      <c r="CY28" s="426"/>
      <c r="CZ28" s="426"/>
      <c r="DA28" s="426"/>
      <c r="DB28" s="426"/>
      <c r="DC28" s="426"/>
      <c r="DD28" s="426"/>
      <c r="DE28" s="426"/>
      <c r="DF28" s="426"/>
      <c r="DG28" s="426"/>
      <c r="DH28" s="426"/>
      <c r="DI28" s="426"/>
      <c r="DJ28" s="426"/>
      <c r="DK28" s="426"/>
      <c r="DL28" s="426"/>
      <c r="DM28" s="426"/>
      <c r="DN28" s="426"/>
      <c r="DO28" s="426"/>
      <c r="DP28" s="426"/>
      <c r="DQ28" s="426"/>
      <c r="DR28" s="426"/>
      <c r="DS28" s="426"/>
      <c r="DT28" s="426"/>
      <c r="DU28" s="426"/>
      <c r="DV28" s="426"/>
      <c r="DW28" s="426"/>
      <c r="DX28" s="426"/>
      <c r="DY28" s="426"/>
      <c r="DZ28" s="426"/>
      <c r="EA28" s="426"/>
      <c r="EB28" s="426"/>
      <c r="EC28" s="426"/>
      <c r="ED28" s="426"/>
      <c r="EE28" s="426"/>
      <c r="EF28" s="426"/>
      <c r="EG28" s="426"/>
      <c r="EH28" s="426"/>
      <c r="EI28" s="426"/>
      <c r="EJ28" s="426"/>
      <c r="EK28" s="426"/>
      <c r="EL28" s="426"/>
      <c r="EM28" s="426"/>
      <c r="EN28" s="426"/>
      <c r="EO28" s="426"/>
      <c r="EP28" s="426"/>
      <c r="EQ28" s="426"/>
      <c r="ER28" s="426"/>
      <c r="ES28" s="426"/>
      <c r="ET28" s="426"/>
      <c r="EU28" s="426"/>
      <c r="EV28" s="426"/>
      <c r="EW28" s="426"/>
      <c r="EX28" s="426"/>
      <c r="EY28" s="426"/>
      <c r="EZ28" s="426"/>
      <c r="FA28" s="426"/>
      <c r="FB28" s="426"/>
      <c r="FC28" s="426"/>
      <c r="FD28" s="426"/>
      <c r="FE28" s="426"/>
      <c r="FF28" s="426"/>
      <c r="FG28" s="426"/>
      <c r="FH28" s="426"/>
      <c r="FI28" s="426"/>
      <c r="FJ28" s="426"/>
      <c r="FK28" s="426"/>
      <c r="FL28" s="426"/>
      <c r="FM28" s="426"/>
      <c r="FN28" s="426"/>
      <c r="FO28" s="426"/>
      <c r="FP28" s="426"/>
      <c r="FQ28" s="426"/>
      <c r="FR28" s="426"/>
      <c r="FS28" s="426"/>
      <c r="FT28" s="426"/>
      <c r="FU28" s="426"/>
      <c r="FV28" s="426"/>
      <c r="FW28" s="426"/>
      <c r="FX28" s="426"/>
      <c r="FY28" s="426"/>
      <c r="FZ28" s="426"/>
      <c r="GA28" s="426"/>
      <c r="GB28" s="426"/>
      <c r="GC28" s="426"/>
      <c r="GD28" s="426"/>
      <c r="GE28" s="426"/>
      <c r="GF28" s="426"/>
      <c r="GG28" s="426"/>
      <c r="GH28" s="426"/>
      <c r="GI28" s="426"/>
      <c r="GJ28" s="426"/>
      <c r="GK28" s="426"/>
      <c r="GL28" s="426"/>
      <c r="GM28" s="426"/>
      <c r="GN28" s="426"/>
      <c r="GO28" s="426"/>
      <c r="GP28" s="426"/>
      <c r="GQ28" s="426"/>
      <c r="GR28" s="426"/>
      <c r="GS28" s="426"/>
      <c r="GT28" s="426"/>
      <c r="GU28" s="426"/>
      <c r="GV28" s="426"/>
      <c r="GW28" s="426"/>
      <c r="GX28" s="426"/>
      <c r="GY28" s="426"/>
      <c r="GZ28" s="426"/>
      <c r="HA28" s="426"/>
      <c r="HB28" s="426"/>
      <c r="HC28" s="426"/>
      <c r="HD28" s="426"/>
      <c r="HE28" s="426"/>
      <c r="HF28" s="426"/>
      <c r="HG28" s="426"/>
      <c r="HH28" s="426"/>
      <c r="HI28" s="426"/>
      <c r="HJ28" s="426"/>
      <c r="HK28" s="426"/>
      <c r="HL28" s="426"/>
      <c r="HM28" s="426"/>
      <c r="HN28" s="426"/>
      <c r="HO28" s="426"/>
      <c r="HP28" s="426"/>
      <c r="HQ28" s="426"/>
      <c r="HR28" s="426"/>
      <c r="HS28" s="426"/>
      <c r="HT28" s="426"/>
      <c r="HU28" s="426"/>
      <c r="HV28" s="426"/>
      <c r="HW28" s="426"/>
      <c r="HX28" s="426"/>
      <c r="HY28" s="426"/>
      <c r="HZ28" s="426"/>
      <c r="IA28" s="426"/>
      <c r="IB28" s="426"/>
      <c r="IC28" s="426"/>
      <c r="ID28" s="426"/>
      <c r="IE28" s="426"/>
      <c r="IF28" s="426"/>
      <c r="IG28" s="426"/>
      <c r="IH28" s="426"/>
      <c r="II28" s="426"/>
      <c r="IJ28" s="426"/>
      <c r="IK28" s="426"/>
      <c r="IL28" s="426"/>
      <c r="IM28" s="426"/>
      <c r="IN28" s="426"/>
      <c r="IO28" s="426"/>
      <c r="IP28" s="426"/>
      <c r="IQ28" s="426"/>
      <c r="IR28" s="426"/>
      <c r="IS28" s="426"/>
      <c r="IT28" s="426"/>
      <c r="IU28" s="426"/>
      <c r="IV28" s="426"/>
    </row>
    <row r="29" spans="1:256" ht="11.1" customHeight="1">
      <c r="A29" s="129" t="s">
        <v>87</v>
      </c>
      <c r="B29" s="30" t="s">
        <v>3</v>
      </c>
      <c r="C29" s="30" t="s">
        <v>3</v>
      </c>
      <c r="D29" s="30" t="s">
        <v>3</v>
      </c>
      <c r="E29" s="30" t="s">
        <v>3</v>
      </c>
      <c r="F29" s="30" t="s">
        <v>3</v>
      </c>
      <c r="G29" s="30" t="s">
        <v>3</v>
      </c>
      <c r="H29" s="30" t="s">
        <v>3</v>
      </c>
      <c r="I29" s="30" t="s">
        <v>3</v>
      </c>
      <c r="J29" s="30" t="s">
        <v>3</v>
      </c>
      <c r="K29" s="30" t="s">
        <v>3</v>
      </c>
      <c r="L29" s="30" t="s">
        <v>3</v>
      </c>
      <c r="M29" s="30" t="s">
        <v>3</v>
      </c>
      <c r="N29" s="30" t="s">
        <v>3</v>
      </c>
      <c r="O29" s="30" t="s">
        <v>3</v>
      </c>
      <c r="P29" s="30" t="s">
        <v>3</v>
      </c>
      <c r="Q29" s="30" t="s">
        <v>3</v>
      </c>
      <c r="R29" s="30" t="s">
        <v>3</v>
      </c>
      <c r="S29" s="30" t="s">
        <v>3</v>
      </c>
      <c r="T29" s="30" t="s">
        <v>3</v>
      </c>
      <c r="U29" s="30" t="s">
        <v>3</v>
      </c>
      <c r="V29" s="30" t="s">
        <v>3</v>
      </c>
      <c r="W29" s="30" t="s">
        <v>3</v>
      </c>
      <c r="X29" s="30" t="s">
        <v>3</v>
      </c>
      <c r="Y29" s="30" t="s">
        <v>3</v>
      </c>
      <c r="Z29" s="30" t="s">
        <v>3</v>
      </c>
      <c r="AA29" s="30" t="s">
        <v>3</v>
      </c>
      <c r="AB29" s="30" t="s">
        <v>3</v>
      </c>
      <c r="AC29" s="30" t="s">
        <v>3</v>
      </c>
      <c r="AD29" s="30" t="s">
        <v>3</v>
      </c>
      <c r="AE29" s="30" t="s">
        <v>3</v>
      </c>
      <c r="AF29" s="30" t="s">
        <v>3</v>
      </c>
      <c r="AG29" s="30" t="s">
        <v>3</v>
      </c>
      <c r="AH29" s="16" t="s">
        <v>10</v>
      </c>
      <c r="AI29" s="16" t="s">
        <v>10</v>
      </c>
      <c r="AJ29" s="13">
        <v>5</v>
      </c>
      <c r="AK29" s="13">
        <v>11</v>
      </c>
      <c r="AL29" s="13">
        <v>14</v>
      </c>
      <c r="AM29" s="26">
        <v>17</v>
      </c>
      <c r="AN29" s="26">
        <v>16</v>
      </c>
      <c r="AO29" s="26">
        <v>16</v>
      </c>
      <c r="AP29" s="70">
        <v>18</v>
      </c>
      <c r="AQ29" s="70">
        <v>23</v>
      </c>
      <c r="AR29" s="70">
        <v>27</v>
      </c>
      <c r="AS29" s="70">
        <v>28</v>
      </c>
      <c r="AT29" s="70">
        <v>39</v>
      </c>
      <c r="AU29" s="70">
        <v>48</v>
      </c>
      <c r="AV29" s="70">
        <v>62</v>
      </c>
      <c r="AW29" s="70">
        <v>63</v>
      </c>
      <c r="AX29" s="274">
        <v>69</v>
      </c>
      <c r="AY29" s="275" t="s">
        <v>3</v>
      </c>
      <c r="AZ29" s="275" t="s">
        <v>3</v>
      </c>
      <c r="BA29" s="361" t="s">
        <v>3</v>
      </c>
      <c r="BB29" s="361" t="s">
        <v>3</v>
      </c>
      <c r="BC29" s="361" t="s">
        <v>3</v>
      </c>
      <c r="BD29" s="543" t="s">
        <v>3</v>
      </c>
      <c r="BE29" s="543" t="s">
        <v>3</v>
      </c>
      <c r="BF29" s="543" t="s">
        <v>3</v>
      </c>
      <c r="BG29" s="583" t="s">
        <v>3</v>
      </c>
      <c r="BH29" s="583" t="s">
        <v>3</v>
      </c>
      <c r="BI29" s="419" t="s">
        <v>9</v>
      </c>
      <c r="BJ29" s="419" t="s">
        <v>9</v>
      </c>
      <c r="BK29" s="573"/>
      <c r="BL29" s="573"/>
    </row>
    <row r="30" spans="1:256" ht="11.1" customHeight="1">
      <c r="A30" s="128" t="s">
        <v>32</v>
      </c>
      <c r="B30" s="446" t="s">
        <v>3</v>
      </c>
      <c r="C30" s="446" t="s">
        <v>3</v>
      </c>
      <c r="D30" s="446" t="s">
        <v>3</v>
      </c>
      <c r="E30" s="446" t="s">
        <v>3</v>
      </c>
      <c r="F30" s="446" t="s">
        <v>3</v>
      </c>
      <c r="G30" s="446" t="s">
        <v>3</v>
      </c>
      <c r="H30" s="446" t="s">
        <v>3</v>
      </c>
      <c r="I30" s="446" t="s">
        <v>3</v>
      </c>
      <c r="J30" s="446" t="s">
        <v>3</v>
      </c>
      <c r="K30" s="446" t="s">
        <v>3</v>
      </c>
      <c r="L30" s="446" t="s">
        <v>3</v>
      </c>
      <c r="M30" s="446" t="s">
        <v>3</v>
      </c>
      <c r="N30" s="446" t="s">
        <v>3</v>
      </c>
      <c r="O30" s="156">
        <f t="shared" ref="O30:BA30" si="6">SUM(O27:O29)</f>
        <v>1</v>
      </c>
      <c r="P30" s="156">
        <f t="shared" si="6"/>
        <v>1</v>
      </c>
      <c r="Q30" s="156">
        <f t="shared" si="6"/>
        <v>2</v>
      </c>
      <c r="R30" s="446" t="s">
        <v>3</v>
      </c>
      <c r="S30" s="446" t="s">
        <v>3</v>
      </c>
      <c r="T30" s="446" t="s">
        <v>3</v>
      </c>
      <c r="U30" s="156">
        <f>SUM(U27:U29)</f>
        <v>1</v>
      </c>
      <c r="V30" s="156">
        <f t="shared" si="6"/>
        <v>2</v>
      </c>
      <c r="W30" s="156">
        <f t="shared" si="6"/>
        <v>5</v>
      </c>
      <c r="X30" s="156">
        <f t="shared" si="6"/>
        <v>4</v>
      </c>
      <c r="Y30" s="156">
        <f t="shared" si="6"/>
        <v>5</v>
      </c>
      <c r="Z30" s="156">
        <f t="shared" si="6"/>
        <v>5</v>
      </c>
      <c r="AA30" s="156">
        <f t="shared" si="6"/>
        <v>7</v>
      </c>
      <c r="AB30" s="156">
        <f t="shared" si="6"/>
        <v>6</v>
      </c>
      <c r="AC30" s="156">
        <f t="shared" si="6"/>
        <v>6</v>
      </c>
      <c r="AD30" s="156">
        <f t="shared" si="6"/>
        <v>7</v>
      </c>
      <c r="AE30" s="156">
        <f t="shared" si="6"/>
        <v>7</v>
      </c>
      <c r="AF30" s="156">
        <f t="shared" si="6"/>
        <v>5</v>
      </c>
      <c r="AG30" s="156">
        <f t="shared" si="6"/>
        <v>8</v>
      </c>
      <c r="AH30" s="156">
        <f t="shared" si="6"/>
        <v>7</v>
      </c>
      <c r="AI30" s="156">
        <f t="shared" si="6"/>
        <v>8</v>
      </c>
      <c r="AJ30" s="156">
        <f t="shared" si="6"/>
        <v>14</v>
      </c>
      <c r="AK30" s="156">
        <f t="shared" si="6"/>
        <v>21</v>
      </c>
      <c r="AL30" s="156">
        <f t="shared" si="6"/>
        <v>26</v>
      </c>
      <c r="AM30" s="156">
        <f t="shared" si="6"/>
        <v>30</v>
      </c>
      <c r="AN30" s="156">
        <f t="shared" si="6"/>
        <v>32</v>
      </c>
      <c r="AO30" s="156">
        <f t="shared" si="6"/>
        <v>33</v>
      </c>
      <c r="AP30" s="156">
        <f t="shared" si="6"/>
        <v>127</v>
      </c>
      <c r="AQ30" s="156">
        <f t="shared" si="6"/>
        <v>119</v>
      </c>
      <c r="AR30" s="156">
        <f t="shared" si="6"/>
        <v>132</v>
      </c>
      <c r="AS30" s="156">
        <f t="shared" si="6"/>
        <v>126</v>
      </c>
      <c r="AT30" s="156">
        <f t="shared" si="6"/>
        <v>162</v>
      </c>
      <c r="AU30" s="156">
        <f>SUM(AU27:AU29)</f>
        <v>191</v>
      </c>
      <c r="AV30" s="211">
        <f>SUM(AV27:AV29)</f>
        <v>191</v>
      </c>
      <c r="AW30" s="211">
        <f>SUM(AW27:AW29)</f>
        <v>217</v>
      </c>
      <c r="AX30" s="211">
        <f>SUM(AX27:AX29)</f>
        <v>225</v>
      </c>
      <c r="AY30" s="211">
        <f t="shared" si="6"/>
        <v>174</v>
      </c>
      <c r="AZ30" s="211">
        <f t="shared" si="6"/>
        <v>185</v>
      </c>
      <c r="BA30" s="362">
        <f t="shared" si="6"/>
        <v>181</v>
      </c>
      <c r="BB30" s="362">
        <f t="shared" ref="BB30:BG30" si="7">SUM(BB27:BB29)</f>
        <v>155</v>
      </c>
      <c r="BC30" s="362">
        <f t="shared" si="7"/>
        <v>132</v>
      </c>
      <c r="BD30" s="544">
        <f t="shared" si="7"/>
        <v>130</v>
      </c>
      <c r="BE30" s="544">
        <f t="shared" si="7"/>
        <v>121</v>
      </c>
      <c r="BF30" s="544">
        <f t="shared" si="7"/>
        <v>107</v>
      </c>
      <c r="BG30" s="544">
        <f t="shared" si="7"/>
        <v>113</v>
      </c>
      <c r="BH30" s="544">
        <f t="shared" ref="BH30" si="8">SUM(BH27:BH29)</f>
        <v>113</v>
      </c>
      <c r="BI30" s="415">
        <f>(BG30-BF30)/BF30</f>
        <v>5.6074766355140186E-2</v>
      </c>
      <c r="BJ30" s="415">
        <f>(BH30-BG30)/BG30</f>
        <v>0</v>
      </c>
      <c r="BK30" s="572">
        <f>BG30-BF30</f>
        <v>6</v>
      </c>
      <c r="BL30" s="572">
        <f>BH30-BG30</f>
        <v>0</v>
      </c>
    </row>
    <row r="31" spans="1:256" ht="6" customHeight="1">
      <c r="A31" s="12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26"/>
      <c r="AN31" s="26"/>
      <c r="AO31" s="26"/>
      <c r="AP31" s="26"/>
      <c r="AQ31" s="26"/>
      <c r="AR31" s="26"/>
      <c r="AS31" s="26"/>
      <c r="AT31" s="26"/>
      <c r="AU31" s="26"/>
      <c r="AV31" s="161"/>
      <c r="AW31" s="161"/>
      <c r="AX31" s="161"/>
      <c r="AY31" s="161"/>
      <c r="AZ31" s="305"/>
      <c r="BA31" s="320"/>
      <c r="BB31" s="327"/>
      <c r="BC31" s="320"/>
      <c r="BD31" s="374"/>
      <c r="BE31" s="538"/>
      <c r="BF31" s="538"/>
      <c r="BG31" s="374"/>
      <c r="BH31" s="374"/>
      <c r="BI31" s="329"/>
      <c r="BJ31" s="329"/>
      <c r="BK31" s="570"/>
      <c r="BL31" s="570"/>
    </row>
    <row r="32" spans="1:256" ht="11.1" customHeight="1">
      <c r="A32" s="126" t="s">
        <v>35</v>
      </c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183"/>
      <c r="BG32" s="183"/>
      <c r="BH32" s="183"/>
      <c r="BI32" s="329"/>
      <c r="BJ32" s="329"/>
      <c r="BK32" s="570"/>
      <c r="BL32" s="570"/>
    </row>
    <row r="33" spans="1:64" ht="11.1" customHeight="1">
      <c r="A33" s="125" t="s">
        <v>88</v>
      </c>
      <c r="B33" s="30" t="s">
        <v>3</v>
      </c>
      <c r="C33" s="30" t="s">
        <v>3</v>
      </c>
      <c r="D33" s="30" t="s">
        <v>3</v>
      </c>
      <c r="E33" s="30" t="s">
        <v>3</v>
      </c>
      <c r="F33" s="30" t="s">
        <v>3</v>
      </c>
      <c r="G33" s="30" t="s">
        <v>3</v>
      </c>
      <c r="H33" s="30" t="s">
        <v>3</v>
      </c>
      <c r="I33" s="30" t="s">
        <v>3</v>
      </c>
      <c r="J33" s="28">
        <v>1</v>
      </c>
      <c r="K33" s="28">
        <v>2</v>
      </c>
      <c r="L33" s="13">
        <v>2</v>
      </c>
      <c r="M33" s="13">
        <v>4</v>
      </c>
      <c r="N33" s="13">
        <v>7</v>
      </c>
      <c r="O33" s="13">
        <v>10</v>
      </c>
      <c r="P33" s="13">
        <v>7</v>
      </c>
      <c r="Q33" s="13">
        <v>12</v>
      </c>
      <c r="R33" s="13">
        <v>9</v>
      </c>
      <c r="S33" s="13">
        <v>9</v>
      </c>
      <c r="T33" s="13">
        <v>9</v>
      </c>
      <c r="U33" s="13">
        <v>13</v>
      </c>
      <c r="V33" s="13">
        <v>13</v>
      </c>
      <c r="W33" s="13">
        <v>13</v>
      </c>
      <c r="X33" s="13">
        <v>14</v>
      </c>
      <c r="Y33" s="13">
        <v>16</v>
      </c>
      <c r="Z33" s="13">
        <v>15</v>
      </c>
      <c r="AA33" s="13">
        <v>17</v>
      </c>
      <c r="AB33" s="13">
        <v>17</v>
      </c>
      <c r="AC33" s="13">
        <v>21</v>
      </c>
      <c r="AD33" s="13">
        <v>25</v>
      </c>
      <c r="AE33" s="13">
        <v>25</v>
      </c>
      <c r="AF33" s="13">
        <v>27</v>
      </c>
      <c r="AG33" s="13">
        <v>31</v>
      </c>
      <c r="AH33" s="13">
        <v>38</v>
      </c>
      <c r="AI33" s="13">
        <v>39</v>
      </c>
      <c r="AJ33" s="13">
        <v>46</v>
      </c>
      <c r="AK33" s="13">
        <v>43</v>
      </c>
      <c r="AL33" s="13">
        <v>55</v>
      </c>
      <c r="AM33" s="99">
        <v>56</v>
      </c>
      <c r="AN33" s="94">
        <v>60</v>
      </c>
      <c r="AO33" s="94">
        <v>63</v>
      </c>
      <c r="AP33" s="94">
        <v>74</v>
      </c>
      <c r="AQ33" s="94">
        <v>75</v>
      </c>
      <c r="AR33" s="94">
        <v>77</v>
      </c>
      <c r="AS33" s="94">
        <v>81</v>
      </c>
      <c r="AT33" s="94">
        <v>90</v>
      </c>
      <c r="AU33" s="94">
        <v>126</v>
      </c>
      <c r="AV33" s="33">
        <v>157</v>
      </c>
      <c r="AW33" s="33">
        <v>161</v>
      </c>
      <c r="AX33" s="33">
        <v>211</v>
      </c>
      <c r="AY33" s="33">
        <v>204</v>
      </c>
      <c r="AZ33" s="33">
        <v>250</v>
      </c>
      <c r="BA33" s="356">
        <v>262</v>
      </c>
      <c r="BB33" s="356">
        <v>292</v>
      </c>
      <c r="BC33" s="356">
        <v>301</v>
      </c>
      <c r="BD33" s="367">
        <v>323</v>
      </c>
      <c r="BE33" s="367">
        <v>319</v>
      </c>
      <c r="BF33" s="367">
        <v>345</v>
      </c>
      <c r="BG33" s="367">
        <v>413</v>
      </c>
      <c r="BH33" s="367">
        <v>432</v>
      </c>
      <c r="BI33" s="385">
        <f>(BG33-BF33)/BF33</f>
        <v>0.19710144927536233</v>
      </c>
      <c r="BJ33" s="385">
        <f>(BH33-BG33)/BG33</f>
        <v>4.6004842615012108E-2</v>
      </c>
      <c r="BK33" s="569">
        <f t="shared" ref="BK33:BL36" si="9">BG33-BF33</f>
        <v>68</v>
      </c>
      <c r="BL33" s="569">
        <f t="shared" si="9"/>
        <v>19</v>
      </c>
    </row>
    <row r="34" spans="1:64" ht="11.1" customHeight="1">
      <c r="A34" s="129" t="s">
        <v>117</v>
      </c>
      <c r="B34"/>
      <c r="C34"/>
      <c r="D34"/>
      <c r="E34"/>
      <c r="F34"/>
      <c r="G34"/>
      <c r="H34"/>
      <c r="I34"/>
      <c r="J34"/>
      <c r="K34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6"/>
      <c r="AM34" s="26"/>
      <c r="AN34" s="26"/>
      <c r="AO34" s="96"/>
      <c r="AP34" s="96"/>
      <c r="AQ34" s="96"/>
      <c r="AR34" s="96"/>
      <c r="AS34" s="96"/>
      <c r="AT34" s="96"/>
      <c r="AU34" s="96"/>
      <c r="AV34" s="104"/>
      <c r="AW34" s="104"/>
      <c r="AX34" s="104"/>
      <c r="AY34" s="104"/>
      <c r="AZ34" s="304"/>
      <c r="BA34" s="357"/>
      <c r="BB34" s="323"/>
      <c r="BC34" s="357"/>
      <c r="BD34" s="545"/>
      <c r="BE34" s="545"/>
      <c r="BF34" s="545"/>
      <c r="BG34" s="545"/>
      <c r="BH34" s="545"/>
      <c r="BI34" s="329"/>
      <c r="BJ34" s="329"/>
      <c r="BK34" s="569">
        <f t="shared" si="9"/>
        <v>0</v>
      </c>
      <c r="BL34" s="569">
        <f t="shared" si="9"/>
        <v>0</v>
      </c>
    </row>
    <row r="35" spans="1:64" ht="11.1" customHeight="1">
      <c r="A35" s="129" t="s">
        <v>89</v>
      </c>
      <c r="B35" s="28">
        <v>27</v>
      </c>
      <c r="C35" s="28">
        <v>29</v>
      </c>
      <c r="D35" s="28">
        <v>30</v>
      </c>
      <c r="E35" s="28">
        <v>32</v>
      </c>
      <c r="F35" s="28">
        <v>33</v>
      </c>
      <c r="G35" s="28">
        <v>33</v>
      </c>
      <c r="H35" s="28">
        <v>35</v>
      </c>
      <c r="I35" s="28">
        <v>37</v>
      </c>
      <c r="J35" s="28">
        <v>36</v>
      </c>
      <c r="K35" s="28">
        <v>41</v>
      </c>
      <c r="L35" s="27">
        <v>49</v>
      </c>
      <c r="M35" s="27">
        <v>58</v>
      </c>
      <c r="N35" s="27">
        <v>70</v>
      </c>
      <c r="O35" s="27">
        <v>70</v>
      </c>
      <c r="P35" s="27">
        <v>79</v>
      </c>
      <c r="Q35" s="27">
        <v>95</v>
      </c>
      <c r="R35" s="27">
        <v>104</v>
      </c>
      <c r="S35" s="27">
        <v>118</v>
      </c>
      <c r="T35" s="27">
        <v>129</v>
      </c>
      <c r="U35" s="27">
        <v>132</v>
      </c>
      <c r="V35" s="27">
        <v>147</v>
      </c>
      <c r="W35" s="27">
        <v>148</v>
      </c>
      <c r="X35" s="27">
        <v>138</v>
      </c>
      <c r="Y35" s="27">
        <v>145</v>
      </c>
      <c r="Z35" s="27">
        <v>160</v>
      </c>
      <c r="AA35" s="27">
        <v>170</v>
      </c>
      <c r="AB35" s="27">
        <v>167</v>
      </c>
      <c r="AC35" s="27">
        <v>180</v>
      </c>
      <c r="AD35" s="27">
        <v>214</v>
      </c>
      <c r="AE35" s="27">
        <v>238</v>
      </c>
      <c r="AF35" s="27">
        <v>273</v>
      </c>
      <c r="AG35" s="27">
        <v>316</v>
      </c>
      <c r="AH35" s="27">
        <v>351</v>
      </c>
      <c r="AI35" s="27">
        <v>394</v>
      </c>
      <c r="AJ35" s="27">
        <v>407</v>
      </c>
      <c r="AK35" s="27">
        <v>395</v>
      </c>
      <c r="AL35" s="27">
        <v>414</v>
      </c>
      <c r="AM35" s="96">
        <v>489</v>
      </c>
      <c r="AN35" s="96">
        <v>485</v>
      </c>
      <c r="AO35" s="96">
        <v>558</v>
      </c>
      <c r="AP35" s="96">
        <v>555</v>
      </c>
      <c r="AQ35" s="96">
        <v>700</v>
      </c>
      <c r="AR35" s="96">
        <v>785</v>
      </c>
      <c r="AS35" s="96">
        <v>828</v>
      </c>
      <c r="AT35" s="96">
        <v>892</v>
      </c>
      <c r="AU35" s="96">
        <v>903</v>
      </c>
      <c r="AV35" s="104">
        <v>972</v>
      </c>
      <c r="AW35" s="104">
        <v>1003</v>
      </c>
      <c r="AX35" s="104">
        <v>1011</v>
      </c>
      <c r="AY35" s="104">
        <v>1124</v>
      </c>
      <c r="AZ35" s="104">
        <v>1233</v>
      </c>
      <c r="BA35" s="357">
        <v>1220</v>
      </c>
      <c r="BB35" s="357">
        <v>1232</v>
      </c>
      <c r="BC35" s="357">
        <v>1225</v>
      </c>
      <c r="BD35" s="370">
        <v>1203</v>
      </c>
      <c r="BE35" s="370">
        <f>1291</f>
        <v>1291</v>
      </c>
      <c r="BF35" s="370">
        <v>1343</v>
      </c>
      <c r="BG35" s="370">
        <f>1348+14</f>
        <v>1362</v>
      </c>
      <c r="BH35" s="370">
        <f>1381+29</f>
        <v>1410</v>
      </c>
      <c r="BI35" s="385">
        <f>(BG35-BF35)/BF35</f>
        <v>1.4147431124348473E-2</v>
      </c>
      <c r="BJ35" s="385">
        <f>(BH35-BG35)/BG35</f>
        <v>3.5242290748898682E-2</v>
      </c>
      <c r="BK35" s="569">
        <f t="shared" si="9"/>
        <v>19</v>
      </c>
      <c r="BL35" s="569">
        <f t="shared" si="9"/>
        <v>48</v>
      </c>
    </row>
    <row r="36" spans="1:64" ht="11.1" customHeight="1">
      <c r="A36" s="128" t="s">
        <v>32</v>
      </c>
      <c r="B36" s="118">
        <f t="shared" ref="B36:AN36" si="10">SUM(B33:B35)</f>
        <v>27</v>
      </c>
      <c r="C36" s="118">
        <f t="shared" si="10"/>
        <v>29</v>
      </c>
      <c r="D36" s="118">
        <f t="shared" si="10"/>
        <v>30</v>
      </c>
      <c r="E36" s="118">
        <f t="shared" si="10"/>
        <v>32</v>
      </c>
      <c r="F36" s="118">
        <f t="shared" si="10"/>
        <v>33</v>
      </c>
      <c r="G36" s="118">
        <f t="shared" si="10"/>
        <v>33</v>
      </c>
      <c r="H36" s="118">
        <f t="shared" si="10"/>
        <v>35</v>
      </c>
      <c r="I36" s="118">
        <f t="shared" si="10"/>
        <v>37</v>
      </c>
      <c r="J36" s="118">
        <f t="shared" si="10"/>
        <v>37</v>
      </c>
      <c r="K36" s="118">
        <f t="shared" si="10"/>
        <v>43</v>
      </c>
      <c r="L36" s="118">
        <f t="shared" si="10"/>
        <v>51</v>
      </c>
      <c r="M36" s="118">
        <f t="shared" si="10"/>
        <v>62</v>
      </c>
      <c r="N36" s="118">
        <f t="shared" si="10"/>
        <v>77</v>
      </c>
      <c r="O36" s="118">
        <f t="shared" si="10"/>
        <v>80</v>
      </c>
      <c r="P36" s="118">
        <f t="shared" si="10"/>
        <v>86</v>
      </c>
      <c r="Q36" s="118">
        <f t="shared" si="10"/>
        <v>107</v>
      </c>
      <c r="R36" s="118">
        <f t="shared" si="10"/>
        <v>113</v>
      </c>
      <c r="S36" s="118">
        <f t="shared" si="10"/>
        <v>127</v>
      </c>
      <c r="T36" s="118">
        <f t="shared" si="10"/>
        <v>138</v>
      </c>
      <c r="U36" s="118">
        <f>SUM(U33:U35)</f>
        <v>145</v>
      </c>
      <c r="V36" s="118">
        <f t="shared" si="10"/>
        <v>160</v>
      </c>
      <c r="W36" s="118">
        <f t="shared" si="10"/>
        <v>161</v>
      </c>
      <c r="X36" s="118">
        <f t="shared" si="10"/>
        <v>152</v>
      </c>
      <c r="Y36" s="118">
        <f t="shared" si="10"/>
        <v>161</v>
      </c>
      <c r="Z36" s="118">
        <f t="shared" si="10"/>
        <v>175</v>
      </c>
      <c r="AA36" s="118">
        <f t="shared" si="10"/>
        <v>187</v>
      </c>
      <c r="AB36" s="118">
        <f t="shared" si="10"/>
        <v>184</v>
      </c>
      <c r="AC36" s="118">
        <f t="shared" si="10"/>
        <v>201</v>
      </c>
      <c r="AD36" s="118">
        <f t="shared" si="10"/>
        <v>239</v>
      </c>
      <c r="AE36" s="118">
        <f t="shared" si="10"/>
        <v>263</v>
      </c>
      <c r="AF36" s="118">
        <f>SUM(AF33:AF35)</f>
        <v>300</v>
      </c>
      <c r="AG36" s="118">
        <f t="shared" si="10"/>
        <v>347</v>
      </c>
      <c r="AH36" s="118">
        <f t="shared" si="10"/>
        <v>389</v>
      </c>
      <c r="AI36" s="118">
        <f t="shared" si="10"/>
        <v>433</v>
      </c>
      <c r="AJ36" s="118">
        <f t="shared" si="10"/>
        <v>453</v>
      </c>
      <c r="AK36" s="118">
        <f t="shared" si="10"/>
        <v>438</v>
      </c>
      <c r="AL36" s="118">
        <f t="shared" si="10"/>
        <v>469</v>
      </c>
      <c r="AM36" s="118">
        <f t="shared" si="10"/>
        <v>545</v>
      </c>
      <c r="AN36" s="118">
        <f t="shared" si="10"/>
        <v>545</v>
      </c>
      <c r="AO36" s="118">
        <f t="shared" ref="AO36:BA36" si="11">SUM(AO33:AO35)</f>
        <v>621</v>
      </c>
      <c r="AP36" s="118">
        <f t="shared" si="11"/>
        <v>629</v>
      </c>
      <c r="AQ36" s="118">
        <f t="shared" si="11"/>
        <v>775</v>
      </c>
      <c r="AR36" s="118">
        <f t="shared" si="11"/>
        <v>862</v>
      </c>
      <c r="AS36" s="118">
        <f t="shared" si="11"/>
        <v>909</v>
      </c>
      <c r="AT36" s="118">
        <f t="shared" si="11"/>
        <v>982</v>
      </c>
      <c r="AU36" s="118">
        <f>SUM(AU33:AU35)</f>
        <v>1029</v>
      </c>
      <c r="AV36" s="464">
        <f>SUM(AV33:AV35)</f>
        <v>1129</v>
      </c>
      <c r="AW36" s="464">
        <f>SUM(AW33:AW35)</f>
        <v>1164</v>
      </c>
      <c r="AX36" s="464">
        <f>SUM(AX33:AX35)</f>
        <v>1222</v>
      </c>
      <c r="AY36" s="464">
        <f t="shared" si="11"/>
        <v>1328</v>
      </c>
      <c r="AZ36" s="464">
        <f t="shared" si="11"/>
        <v>1483</v>
      </c>
      <c r="BA36" s="465">
        <f t="shared" si="11"/>
        <v>1482</v>
      </c>
      <c r="BB36" s="465">
        <f t="shared" ref="BB36:BG36" si="12">SUM(BB33:BB35)</f>
        <v>1524</v>
      </c>
      <c r="BC36" s="465">
        <f t="shared" si="12"/>
        <v>1526</v>
      </c>
      <c r="BD36" s="546">
        <f t="shared" si="12"/>
        <v>1526</v>
      </c>
      <c r="BE36" s="546">
        <f t="shared" si="12"/>
        <v>1610</v>
      </c>
      <c r="BF36" s="546">
        <f t="shared" si="12"/>
        <v>1688</v>
      </c>
      <c r="BG36" s="546">
        <f t="shared" si="12"/>
        <v>1775</v>
      </c>
      <c r="BH36" s="546">
        <f t="shared" ref="BH36" si="13">SUM(BH33:BH35)</f>
        <v>1842</v>
      </c>
      <c r="BI36" s="415">
        <f>(BG36-BF36)/BF36</f>
        <v>5.1540284360189571E-2</v>
      </c>
      <c r="BJ36" s="415">
        <f>(BH36-BG36)/BG36</f>
        <v>3.7746478873239439E-2</v>
      </c>
      <c r="BK36" s="572">
        <f t="shared" si="9"/>
        <v>87</v>
      </c>
      <c r="BL36" s="572">
        <f t="shared" si="9"/>
        <v>67</v>
      </c>
    </row>
    <row r="37" spans="1:64" ht="6" customHeight="1">
      <c r="A37" s="125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96"/>
      <c r="AN37" s="96"/>
      <c r="AO37" s="96"/>
      <c r="AP37" s="96"/>
      <c r="AQ37" s="96"/>
      <c r="AR37" s="96"/>
      <c r="AS37" s="96"/>
      <c r="AT37" s="96"/>
      <c r="AU37" s="96"/>
      <c r="AV37" s="180"/>
      <c r="AW37" s="180"/>
      <c r="AX37" s="180"/>
      <c r="AY37" s="180"/>
      <c r="AZ37" s="302"/>
      <c r="BA37" s="319"/>
      <c r="BB37" s="325"/>
      <c r="BC37" s="319"/>
      <c r="BD37" s="547"/>
      <c r="BE37" s="547"/>
      <c r="BF37" s="547"/>
      <c r="BG37" s="547"/>
      <c r="BH37" s="547"/>
      <c r="BI37" s="329"/>
      <c r="BJ37" s="329"/>
      <c r="BK37" s="570"/>
      <c r="BL37" s="570"/>
    </row>
    <row r="38" spans="1:64" ht="11.25" customHeight="1">
      <c r="A38" s="126" t="s">
        <v>74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587"/>
      <c r="BG38" s="587"/>
      <c r="BH38" s="587"/>
      <c r="BI38" s="329"/>
      <c r="BJ38" s="329"/>
      <c r="BK38" s="570"/>
      <c r="BL38" s="570"/>
    </row>
    <row r="39" spans="1:64" ht="11.25" customHeight="1">
      <c r="A39" s="129" t="s">
        <v>90</v>
      </c>
      <c r="B39" s="102" t="s">
        <v>3</v>
      </c>
      <c r="C39" s="102" t="s">
        <v>3</v>
      </c>
      <c r="D39" s="102" t="s">
        <v>3</v>
      </c>
      <c r="E39" s="102" t="s">
        <v>3</v>
      </c>
      <c r="F39" s="102" t="s">
        <v>3</v>
      </c>
      <c r="G39" s="102" t="s">
        <v>3</v>
      </c>
      <c r="H39" s="102" t="s">
        <v>3</v>
      </c>
      <c r="I39" s="102" t="s">
        <v>3</v>
      </c>
      <c r="J39" s="102" t="s">
        <v>3</v>
      </c>
      <c r="K39" s="102" t="s">
        <v>3</v>
      </c>
      <c r="L39" s="102" t="s">
        <v>3</v>
      </c>
      <c r="M39" s="102" t="s">
        <v>3</v>
      </c>
      <c r="N39" s="102" t="s">
        <v>3</v>
      </c>
      <c r="O39" s="102" t="s">
        <v>3</v>
      </c>
      <c r="P39" s="102" t="s">
        <v>3</v>
      </c>
      <c r="Q39" s="102" t="s">
        <v>3</v>
      </c>
      <c r="R39" s="102" t="s">
        <v>3</v>
      </c>
      <c r="S39" s="102" t="s">
        <v>3</v>
      </c>
      <c r="T39" s="102" t="s">
        <v>3</v>
      </c>
      <c r="U39" s="102" t="s">
        <v>3</v>
      </c>
      <c r="V39" s="102" t="s">
        <v>3</v>
      </c>
      <c r="W39" s="102" t="s">
        <v>3</v>
      </c>
      <c r="X39" s="102" t="s">
        <v>3</v>
      </c>
      <c r="Y39" s="102" t="s">
        <v>3</v>
      </c>
      <c r="Z39" s="102" t="s">
        <v>3</v>
      </c>
      <c r="AA39" s="102" t="s">
        <v>3</v>
      </c>
      <c r="AB39" s="102" t="s">
        <v>3</v>
      </c>
      <c r="AC39" s="102" t="s">
        <v>3</v>
      </c>
      <c r="AD39" s="102" t="s">
        <v>3</v>
      </c>
      <c r="AE39" s="102" t="s">
        <v>3</v>
      </c>
      <c r="AF39" s="102" t="s">
        <v>3</v>
      </c>
      <c r="AG39" s="102" t="s">
        <v>3</v>
      </c>
      <c r="AH39" s="102" t="s">
        <v>3</v>
      </c>
      <c r="AI39" s="102" t="s">
        <v>3</v>
      </c>
      <c r="AJ39" s="102" t="s">
        <v>3</v>
      </c>
      <c r="AK39" s="102" t="s">
        <v>3</v>
      </c>
      <c r="AL39" s="102" t="s">
        <v>3</v>
      </c>
      <c r="AM39" s="102" t="s">
        <v>3</v>
      </c>
      <c r="AN39" s="102" t="s">
        <v>3</v>
      </c>
      <c r="AO39" s="102" t="s">
        <v>3</v>
      </c>
      <c r="AP39" s="102" t="s">
        <v>3</v>
      </c>
      <c r="AQ39" s="102" t="s">
        <v>3</v>
      </c>
      <c r="AR39" s="96">
        <v>68</v>
      </c>
      <c r="AS39" s="96">
        <v>79</v>
      </c>
      <c r="AT39" s="96">
        <v>71</v>
      </c>
      <c r="AU39" s="96">
        <v>87</v>
      </c>
      <c r="AV39" s="180">
        <v>93</v>
      </c>
      <c r="AW39" s="180">
        <v>92</v>
      </c>
      <c r="AX39" s="180">
        <v>96</v>
      </c>
      <c r="AY39" s="180">
        <v>100</v>
      </c>
      <c r="AZ39" s="180">
        <v>103</v>
      </c>
      <c r="BA39" s="319">
        <v>105</v>
      </c>
      <c r="BB39" s="319">
        <v>108</v>
      </c>
      <c r="BC39" s="319">
        <v>103</v>
      </c>
      <c r="BD39" s="316">
        <v>102</v>
      </c>
      <c r="BE39" s="316">
        <v>104</v>
      </c>
      <c r="BF39" s="316">
        <v>110</v>
      </c>
      <c r="BG39" s="316">
        <v>113</v>
      </c>
      <c r="BH39" s="316">
        <v>107</v>
      </c>
      <c r="BI39" s="385">
        <f>(BG39-BF39)/BF39</f>
        <v>2.7272727272727271E-2</v>
      </c>
      <c r="BJ39" s="385">
        <f>(BH39-BG39)/BG39</f>
        <v>-5.3097345132743362E-2</v>
      </c>
      <c r="BK39" s="569">
        <f>BG39-BF39</f>
        <v>3</v>
      </c>
      <c r="BL39" s="569">
        <f>BH39-BG39</f>
        <v>-6</v>
      </c>
    </row>
    <row r="40" spans="1:64" ht="10.5" customHeight="1">
      <c r="A40" s="163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55"/>
      <c r="AT40" s="55"/>
      <c r="AU40" s="55"/>
      <c r="AV40" s="33"/>
      <c r="AW40" s="33"/>
      <c r="AX40" s="33"/>
      <c r="AY40" s="33"/>
      <c r="AZ40" s="303"/>
      <c r="BA40" s="356"/>
      <c r="BB40" s="324"/>
      <c r="BC40" s="303"/>
      <c r="BD40" s="540"/>
      <c r="BE40" s="540"/>
      <c r="BF40" s="540"/>
      <c r="BG40" s="540"/>
      <c r="BH40" s="540"/>
      <c r="BI40" s="329"/>
      <c r="BJ40" s="329"/>
      <c r="BK40" s="569"/>
      <c r="BL40" s="569"/>
    </row>
    <row r="41" spans="1:64" ht="10.5" customHeight="1">
      <c r="A41" s="297" t="s">
        <v>105</v>
      </c>
      <c r="B41" s="102" t="s">
        <v>3</v>
      </c>
      <c r="C41" s="102" t="s">
        <v>3</v>
      </c>
      <c r="D41" s="102" t="s">
        <v>3</v>
      </c>
      <c r="E41" s="102" t="s">
        <v>3</v>
      </c>
      <c r="F41" s="102" t="s">
        <v>3</v>
      </c>
      <c r="G41" s="102" t="s">
        <v>3</v>
      </c>
      <c r="H41" s="102" t="s">
        <v>3</v>
      </c>
      <c r="I41" s="102" t="s">
        <v>3</v>
      </c>
      <c r="J41" s="102" t="s">
        <v>3</v>
      </c>
      <c r="K41" s="102" t="s">
        <v>3</v>
      </c>
      <c r="L41" s="102" t="s">
        <v>3</v>
      </c>
      <c r="M41" s="102" t="s">
        <v>3</v>
      </c>
      <c r="N41" s="102" t="s">
        <v>3</v>
      </c>
      <c r="O41" s="102" t="s">
        <v>3</v>
      </c>
      <c r="P41" s="102" t="s">
        <v>3</v>
      </c>
      <c r="Q41" s="102" t="s">
        <v>3</v>
      </c>
      <c r="R41" s="102" t="s">
        <v>3</v>
      </c>
      <c r="S41" s="102" t="s">
        <v>3</v>
      </c>
      <c r="T41" s="102" t="s">
        <v>3</v>
      </c>
      <c r="U41" s="102" t="s">
        <v>3</v>
      </c>
      <c r="V41" s="102" t="s">
        <v>3</v>
      </c>
      <c r="W41" s="102" t="s">
        <v>3</v>
      </c>
      <c r="X41" s="102" t="s">
        <v>3</v>
      </c>
      <c r="Y41" s="102" t="s">
        <v>3</v>
      </c>
      <c r="Z41" s="102" t="s">
        <v>3</v>
      </c>
      <c r="AA41" s="102" t="s">
        <v>3</v>
      </c>
      <c r="AB41" s="102" t="s">
        <v>3</v>
      </c>
      <c r="AC41" s="102" t="s">
        <v>3</v>
      </c>
      <c r="AD41" s="102" t="s">
        <v>3</v>
      </c>
      <c r="AE41" s="102" t="s">
        <v>3</v>
      </c>
      <c r="AF41" s="102">
        <v>3</v>
      </c>
      <c r="AG41" s="102">
        <v>9</v>
      </c>
      <c r="AH41" s="102">
        <v>13</v>
      </c>
      <c r="AI41" s="102">
        <v>14</v>
      </c>
      <c r="AJ41" s="102">
        <v>16</v>
      </c>
      <c r="AK41" s="102">
        <v>16</v>
      </c>
      <c r="AL41" s="102">
        <v>17</v>
      </c>
      <c r="AM41" s="102">
        <v>16</v>
      </c>
      <c r="AN41" s="102">
        <v>17</v>
      </c>
      <c r="AO41" s="102">
        <v>17</v>
      </c>
      <c r="AP41" s="102">
        <v>17</v>
      </c>
      <c r="AQ41" s="102">
        <v>18</v>
      </c>
      <c r="AR41" s="102">
        <v>20</v>
      </c>
      <c r="AS41" s="55">
        <v>20</v>
      </c>
      <c r="AT41" s="55">
        <v>21</v>
      </c>
      <c r="AU41" s="55">
        <v>20</v>
      </c>
      <c r="AV41" s="33">
        <v>20</v>
      </c>
      <c r="AW41" s="33">
        <v>21</v>
      </c>
      <c r="AX41" s="33">
        <v>22</v>
      </c>
      <c r="AY41" s="33">
        <v>24</v>
      </c>
      <c r="AZ41" s="33">
        <v>25</v>
      </c>
      <c r="BA41" s="356">
        <v>27</v>
      </c>
      <c r="BB41" s="356">
        <v>27</v>
      </c>
      <c r="BC41" s="356">
        <v>28</v>
      </c>
      <c r="BD41" s="367">
        <v>25</v>
      </c>
      <c r="BE41" s="367">
        <v>26</v>
      </c>
      <c r="BF41" s="367">
        <v>28</v>
      </c>
      <c r="BG41" s="367">
        <v>29</v>
      </c>
      <c r="BH41" s="367">
        <v>30</v>
      </c>
      <c r="BI41" s="385">
        <f>(BG41-BF41)/BF41</f>
        <v>3.5714285714285712E-2</v>
      </c>
      <c r="BJ41" s="385">
        <f>(BH41-BG41)/BG41</f>
        <v>3.4482758620689655E-2</v>
      </c>
      <c r="BK41" s="569">
        <f>BG41-BF41</f>
        <v>1</v>
      </c>
      <c r="BL41" s="569">
        <f>BH41-BG41</f>
        <v>1</v>
      </c>
    </row>
    <row r="42" spans="1:64" ht="10.5" customHeight="1">
      <c r="A42" s="163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55"/>
      <c r="AT42" s="55"/>
      <c r="AU42" s="55"/>
      <c r="AV42" s="33"/>
      <c r="AW42" s="33"/>
      <c r="AX42" s="33"/>
      <c r="AY42" s="33"/>
      <c r="AZ42" s="303"/>
      <c r="BA42" s="356"/>
      <c r="BB42" s="324"/>
      <c r="BC42" s="356"/>
      <c r="BD42" s="540"/>
      <c r="BE42" s="540"/>
      <c r="BF42" s="540"/>
      <c r="BG42" s="540"/>
      <c r="BH42" s="540"/>
      <c r="BI42" s="329"/>
      <c r="BJ42" s="329"/>
      <c r="BK42" s="569"/>
      <c r="BL42" s="569"/>
    </row>
    <row r="43" spans="1:64" ht="10.5" customHeight="1">
      <c r="A43" s="129" t="s">
        <v>91</v>
      </c>
      <c r="B43" s="30" t="s">
        <v>3</v>
      </c>
      <c r="C43" s="30" t="s">
        <v>3</v>
      </c>
      <c r="D43" s="30" t="s">
        <v>3</v>
      </c>
      <c r="E43" s="30" t="s">
        <v>3</v>
      </c>
      <c r="F43" s="30" t="s">
        <v>3</v>
      </c>
      <c r="G43" s="30" t="s">
        <v>3</v>
      </c>
      <c r="H43" s="30" t="s">
        <v>3</v>
      </c>
      <c r="I43" s="30" t="s">
        <v>3</v>
      </c>
      <c r="J43" s="30" t="s">
        <v>3</v>
      </c>
      <c r="K43" s="30" t="s">
        <v>3</v>
      </c>
      <c r="L43" s="102" t="s">
        <v>3</v>
      </c>
      <c r="M43" s="102" t="s">
        <v>3</v>
      </c>
      <c r="N43" s="102" t="s">
        <v>3</v>
      </c>
      <c r="O43" s="102" t="s">
        <v>3</v>
      </c>
      <c r="P43" s="102" t="s">
        <v>3</v>
      </c>
      <c r="Q43" s="102" t="s">
        <v>3</v>
      </c>
      <c r="R43" s="102" t="s">
        <v>3</v>
      </c>
      <c r="S43" s="102" t="s">
        <v>3</v>
      </c>
      <c r="T43" s="102" t="s">
        <v>3</v>
      </c>
      <c r="U43" s="102" t="s">
        <v>3</v>
      </c>
      <c r="V43" s="102" t="s">
        <v>3</v>
      </c>
      <c r="W43" s="102" t="s">
        <v>3</v>
      </c>
      <c r="X43" s="102" t="s">
        <v>3</v>
      </c>
      <c r="Y43" s="102" t="s">
        <v>3</v>
      </c>
      <c r="Z43" s="102" t="s">
        <v>3</v>
      </c>
      <c r="AA43" s="102" t="s">
        <v>3</v>
      </c>
      <c r="AB43" s="102" t="s">
        <v>3</v>
      </c>
      <c r="AC43" s="102" t="s">
        <v>3</v>
      </c>
      <c r="AD43" s="102" t="s">
        <v>3</v>
      </c>
      <c r="AE43" s="102" t="s">
        <v>3</v>
      </c>
      <c r="AF43" s="102" t="s">
        <v>3</v>
      </c>
      <c r="AG43" s="102" t="s">
        <v>3</v>
      </c>
      <c r="AH43" s="102" t="s">
        <v>3</v>
      </c>
      <c r="AI43" s="102" t="s">
        <v>3</v>
      </c>
      <c r="AJ43" s="102" t="s">
        <v>3</v>
      </c>
      <c r="AK43" s="46" t="s">
        <v>10</v>
      </c>
      <c r="AL43" s="46" t="s">
        <v>3</v>
      </c>
      <c r="AM43" s="46" t="s">
        <v>3</v>
      </c>
      <c r="AN43" s="46">
        <v>2</v>
      </c>
      <c r="AO43" s="46">
        <v>5</v>
      </c>
      <c r="AP43" s="46">
        <v>8</v>
      </c>
      <c r="AQ43" s="46">
        <v>7</v>
      </c>
      <c r="AR43" s="46">
        <v>7</v>
      </c>
      <c r="AS43" s="46">
        <v>9</v>
      </c>
      <c r="AT43" s="46">
        <v>8</v>
      </c>
      <c r="AU43" s="46">
        <v>9</v>
      </c>
      <c r="AV43" s="212">
        <v>9</v>
      </c>
      <c r="AW43" s="212">
        <v>9</v>
      </c>
      <c r="AX43" s="212">
        <v>9</v>
      </c>
      <c r="AY43" s="212">
        <v>9</v>
      </c>
      <c r="AZ43" s="212">
        <v>10</v>
      </c>
      <c r="BA43" s="363">
        <v>11</v>
      </c>
      <c r="BB43" s="363">
        <v>11</v>
      </c>
      <c r="BC43" s="363">
        <v>10</v>
      </c>
      <c r="BD43" s="375">
        <v>10</v>
      </c>
      <c r="BE43" s="375">
        <v>12</v>
      </c>
      <c r="BF43" s="375">
        <v>10</v>
      </c>
      <c r="BG43" s="375">
        <v>11</v>
      </c>
      <c r="BH43" s="375">
        <v>9</v>
      </c>
      <c r="BI43" s="385">
        <f>(BG43-BF43)/BF43</f>
        <v>0.1</v>
      </c>
      <c r="BJ43" s="385">
        <f>(BH43-BG43)/BG43</f>
        <v>-0.18181818181818182</v>
      </c>
      <c r="BK43" s="569">
        <f>BG43-BF43</f>
        <v>1</v>
      </c>
      <c r="BL43" s="569">
        <f>BH43-BG43</f>
        <v>-2</v>
      </c>
    </row>
    <row r="44" spans="1:64" ht="10.5" customHeight="1">
      <c r="A44" s="12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26"/>
      <c r="AN44" s="26"/>
      <c r="AO44" s="26"/>
      <c r="AP44" s="26"/>
      <c r="AQ44" s="26"/>
      <c r="AR44" s="26"/>
      <c r="AS44" s="26"/>
      <c r="AT44" s="26"/>
      <c r="AU44" s="26"/>
      <c r="AV44" s="161"/>
      <c r="AW44" s="161"/>
      <c r="AX44" s="161"/>
      <c r="AY44" s="161"/>
      <c r="AZ44" s="305"/>
      <c r="BA44" s="320"/>
      <c r="BB44" s="327"/>
      <c r="BC44" s="305"/>
      <c r="BD44" s="538"/>
      <c r="BE44" s="538"/>
      <c r="BF44" s="538"/>
      <c r="BG44" s="538"/>
      <c r="BH44" s="538"/>
      <c r="BI44" s="329"/>
      <c r="BJ44" s="329"/>
      <c r="BK44" s="569"/>
      <c r="BL44" s="569"/>
    </row>
    <row r="45" spans="1:64" ht="11.25" customHeight="1">
      <c r="A45" s="125" t="s">
        <v>27</v>
      </c>
      <c r="B45" s="102" t="s">
        <v>3</v>
      </c>
      <c r="C45" s="102" t="s">
        <v>3</v>
      </c>
      <c r="D45" s="102" t="s">
        <v>3</v>
      </c>
      <c r="E45" s="102" t="s">
        <v>3</v>
      </c>
      <c r="F45" s="102" t="s">
        <v>3</v>
      </c>
      <c r="G45" s="102" t="s">
        <v>3</v>
      </c>
      <c r="H45" s="102" t="s">
        <v>3</v>
      </c>
      <c r="I45" s="102" t="s">
        <v>3</v>
      </c>
      <c r="J45" s="102" t="s">
        <v>3</v>
      </c>
      <c r="K45" s="102" t="s">
        <v>3</v>
      </c>
      <c r="L45" s="30" t="s">
        <v>3</v>
      </c>
      <c r="M45" s="30" t="s">
        <v>3</v>
      </c>
      <c r="N45" s="30" t="s">
        <v>3</v>
      </c>
      <c r="O45" s="30" t="s">
        <v>3</v>
      </c>
      <c r="P45" s="30" t="s">
        <v>3</v>
      </c>
      <c r="Q45" s="30" t="s">
        <v>3</v>
      </c>
      <c r="R45" s="30" t="s">
        <v>3</v>
      </c>
      <c r="S45" s="30" t="s">
        <v>3</v>
      </c>
      <c r="T45" s="13">
        <v>1</v>
      </c>
      <c r="U45" s="13">
        <v>3</v>
      </c>
      <c r="V45" s="13">
        <v>4</v>
      </c>
      <c r="W45" s="13">
        <v>4</v>
      </c>
      <c r="X45" s="13">
        <v>3</v>
      </c>
      <c r="Y45" s="13">
        <v>3</v>
      </c>
      <c r="Z45" s="13">
        <v>4</v>
      </c>
      <c r="AA45" s="13">
        <v>3</v>
      </c>
      <c r="AB45" s="13">
        <v>3</v>
      </c>
      <c r="AC45" s="13">
        <v>4</v>
      </c>
      <c r="AD45" s="13">
        <v>4</v>
      </c>
      <c r="AE45" s="13">
        <v>4</v>
      </c>
      <c r="AF45" s="13">
        <v>4</v>
      </c>
      <c r="AG45" s="13">
        <v>4</v>
      </c>
      <c r="AH45" s="13">
        <v>5</v>
      </c>
      <c r="AI45" s="13">
        <v>6</v>
      </c>
      <c r="AJ45" s="13">
        <v>6</v>
      </c>
      <c r="AK45" s="13">
        <v>6</v>
      </c>
      <c r="AL45" s="13">
        <v>6</v>
      </c>
      <c r="AM45" s="26">
        <v>6</v>
      </c>
      <c r="AN45" s="26">
        <v>6</v>
      </c>
      <c r="AO45" s="96">
        <v>5</v>
      </c>
      <c r="AP45" s="96">
        <v>7</v>
      </c>
      <c r="AQ45" s="96">
        <v>6</v>
      </c>
      <c r="AR45" s="96">
        <v>7</v>
      </c>
      <c r="AS45" s="96">
        <v>6</v>
      </c>
      <c r="AT45" s="96">
        <v>8</v>
      </c>
      <c r="AU45" s="96">
        <v>7</v>
      </c>
      <c r="AV45" s="180">
        <v>7</v>
      </c>
      <c r="AW45" s="180">
        <v>7</v>
      </c>
      <c r="AX45" s="180">
        <v>8</v>
      </c>
      <c r="AY45" s="180">
        <v>9</v>
      </c>
      <c r="AZ45" s="180">
        <v>10</v>
      </c>
      <c r="BA45" s="319">
        <v>13</v>
      </c>
      <c r="BB45" s="319">
        <v>14</v>
      </c>
      <c r="BC45" s="319">
        <v>17</v>
      </c>
      <c r="BD45" s="316">
        <v>16</v>
      </c>
      <c r="BE45" s="316">
        <v>17</v>
      </c>
      <c r="BF45" s="314">
        <v>16</v>
      </c>
      <c r="BG45" s="314">
        <v>17</v>
      </c>
      <c r="BH45" s="314">
        <v>17</v>
      </c>
      <c r="BI45" s="385">
        <f>(BG45-BF45)/BF45</f>
        <v>6.25E-2</v>
      </c>
      <c r="BJ45" s="385">
        <f>(BH45-BG45)/BG45</f>
        <v>0</v>
      </c>
      <c r="BK45" s="569">
        <f>BG45-BF45</f>
        <v>1</v>
      </c>
      <c r="BL45" s="569">
        <f>BH45-BG45</f>
        <v>0</v>
      </c>
    </row>
    <row r="46" spans="1:64" s="182" customFormat="1" ht="11.25" customHeight="1" thickBot="1">
      <c r="A46" s="404" t="s">
        <v>38</v>
      </c>
      <c r="B46" s="414">
        <f>B21+B24+B36</f>
        <v>102</v>
      </c>
      <c r="C46" s="414">
        <f t="shared" ref="C46:N46" si="14">C21+C24+C36</f>
        <v>116</v>
      </c>
      <c r="D46" s="414">
        <f t="shared" si="14"/>
        <v>126</v>
      </c>
      <c r="E46" s="414">
        <f t="shared" si="14"/>
        <v>139</v>
      </c>
      <c r="F46" s="414">
        <f t="shared" si="14"/>
        <v>158</v>
      </c>
      <c r="G46" s="414">
        <f t="shared" si="14"/>
        <v>145</v>
      </c>
      <c r="H46" s="414">
        <f t="shared" si="14"/>
        <v>165</v>
      </c>
      <c r="I46" s="414">
        <f t="shared" si="14"/>
        <v>187</v>
      </c>
      <c r="J46" s="414">
        <f t="shared" si="14"/>
        <v>197</v>
      </c>
      <c r="K46" s="414">
        <f t="shared" si="14"/>
        <v>203</v>
      </c>
      <c r="L46" s="414">
        <f t="shared" si="14"/>
        <v>222</v>
      </c>
      <c r="M46" s="414">
        <f t="shared" si="14"/>
        <v>256</v>
      </c>
      <c r="N46" s="414">
        <f t="shared" si="14"/>
        <v>297</v>
      </c>
      <c r="O46" s="414">
        <f>O21+O24+O36+O30</f>
        <v>563</v>
      </c>
      <c r="P46" s="414">
        <f>P13+P21+P24+P30+P36</f>
        <v>619</v>
      </c>
      <c r="Q46" s="414">
        <f>Q13+Q21+Q24+Q30+Q36</f>
        <v>721</v>
      </c>
      <c r="R46" s="414">
        <f>R13+R21+R24+R36</f>
        <v>781</v>
      </c>
      <c r="S46" s="414">
        <f>S13+S21+S24+S36</f>
        <v>906</v>
      </c>
      <c r="T46" s="414">
        <f>T13+T21+T24+T36+T45</f>
        <v>1041</v>
      </c>
      <c r="U46" s="414">
        <f t="shared" ref="U46:AE46" si="15">U13+U21+U24+U30+U36+U45</f>
        <v>1119</v>
      </c>
      <c r="V46" s="414">
        <f t="shared" si="15"/>
        <v>1252</v>
      </c>
      <c r="W46" s="414">
        <f t="shared" si="15"/>
        <v>1319</v>
      </c>
      <c r="X46" s="414">
        <f t="shared" si="15"/>
        <v>1273</v>
      </c>
      <c r="Y46" s="414">
        <f t="shared" si="15"/>
        <v>1224</v>
      </c>
      <c r="Z46" s="414">
        <f t="shared" si="15"/>
        <v>1397</v>
      </c>
      <c r="AA46" s="414">
        <f t="shared" si="15"/>
        <v>1438</v>
      </c>
      <c r="AB46" s="414">
        <f t="shared" si="15"/>
        <v>1389</v>
      </c>
      <c r="AC46" s="414">
        <f t="shared" si="15"/>
        <v>1472</v>
      </c>
      <c r="AD46" s="414">
        <f t="shared" si="15"/>
        <v>1596</v>
      </c>
      <c r="AE46" s="414">
        <f t="shared" si="15"/>
        <v>1713</v>
      </c>
      <c r="AF46" s="414">
        <f>AF13+AF21+AF24+AF30+AF36+AF41+AF45</f>
        <v>1839</v>
      </c>
      <c r="AG46" s="414">
        <f t="shared" ref="AG46:AM46" si="16">AG13+AG21+AG24+AG30+AG36+AG41+AG45</f>
        <v>2050</v>
      </c>
      <c r="AH46" s="414">
        <f t="shared" si="16"/>
        <v>2278</v>
      </c>
      <c r="AI46" s="414">
        <f t="shared" si="16"/>
        <v>2424</v>
      </c>
      <c r="AJ46" s="414">
        <f t="shared" si="16"/>
        <v>2568</v>
      </c>
      <c r="AK46" s="414">
        <f t="shared" si="16"/>
        <v>2680</v>
      </c>
      <c r="AL46" s="414">
        <f t="shared" si="16"/>
        <v>2751</v>
      </c>
      <c r="AM46" s="414">
        <f t="shared" si="16"/>
        <v>2961</v>
      </c>
      <c r="AN46" s="414">
        <f>AN13+AN21+AN24+AN30+AN36+AN41+AN43+AN45</f>
        <v>3211</v>
      </c>
      <c r="AO46" s="414">
        <f>AO13+AO21+AO24+AO30+AO36+AO41+AO43+AO45</f>
        <v>3335</v>
      </c>
      <c r="AP46" s="414">
        <f>AP13+AP21+AP24+AP30+AP36+AP41+AP43+AP45</f>
        <v>3650</v>
      </c>
      <c r="AQ46" s="414">
        <f>AQ13+AQ21+AQ24+AQ30+AQ36+AQ41+AQ43+AQ45</f>
        <v>4218</v>
      </c>
      <c r="AR46" s="414">
        <f>AR13+AR21+AR24+AR30+AR36+AR39+AR41+AR43+AR45</f>
        <v>4414</v>
      </c>
      <c r="AS46" s="414">
        <f t="shared" ref="AS46:BG46" si="17">AS13+AS21+AS24+AS30+AS36+AS39+AS41+AS43+AS45</f>
        <v>5111</v>
      </c>
      <c r="AT46" s="414">
        <f t="shared" si="17"/>
        <v>5218</v>
      </c>
      <c r="AU46" s="414">
        <f>AU13+AU21+AU24+AU30+AU36+AU39+AU41+AU43+AU45</f>
        <v>5410</v>
      </c>
      <c r="AV46" s="414">
        <f>AV13+AV21+AV24+AV30+AV36+AV39+AV41+AV43+AV45</f>
        <v>6159</v>
      </c>
      <c r="AW46" s="414">
        <f>AW13+AW21+AW24+AW30+AW36+AW39+AW41+AW43+AW45</f>
        <v>5851</v>
      </c>
      <c r="AX46" s="414">
        <f t="shared" si="17"/>
        <v>6215</v>
      </c>
      <c r="AY46" s="414">
        <f t="shared" si="17"/>
        <v>6833</v>
      </c>
      <c r="AZ46" s="414">
        <f t="shared" si="17"/>
        <v>7623</v>
      </c>
      <c r="BA46" s="414">
        <f t="shared" si="17"/>
        <v>7917</v>
      </c>
      <c r="BB46" s="414">
        <f t="shared" si="17"/>
        <v>7895</v>
      </c>
      <c r="BC46" s="414">
        <f t="shared" si="17"/>
        <v>7980</v>
      </c>
      <c r="BD46" s="548">
        <f t="shared" si="17"/>
        <v>8386</v>
      </c>
      <c r="BE46" s="548">
        <f t="shared" si="17"/>
        <v>9660</v>
      </c>
      <c r="BF46" s="548">
        <f t="shared" si="17"/>
        <v>9864</v>
      </c>
      <c r="BG46" s="548">
        <f t="shared" si="17"/>
        <v>9865</v>
      </c>
      <c r="BH46" s="548">
        <f t="shared" ref="BH46" si="18">BH13+BH21+BH24+BH30+BH36+BH39+BH41+BH43+BH45</f>
        <v>10313</v>
      </c>
      <c r="BI46" s="422">
        <f>(BG46-BF46)/BF46</f>
        <v>1.0137875101378751E-4</v>
      </c>
      <c r="BJ46" s="422">
        <f>(BH46-BG46)/BG46</f>
        <v>4.5413076533198177E-2</v>
      </c>
      <c r="BK46" s="574">
        <f>BG46-BF46</f>
        <v>1</v>
      </c>
      <c r="BL46" s="574">
        <f>BH46-BG46</f>
        <v>448</v>
      </c>
    </row>
    <row r="47" spans="1:64" ht="11.25" customHeight="1">
      <c r="A47" s="128"/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02"/>
      <c r="AO47" s="171"/>
      <c r="AP47" s="102"/>
      <c r="AQ47" s="102"/>
      <c r="AR47" s="102"/>
      <c r="AS47" s="102"/>
      <c r="AT47" s="102"/>
      <c r="AU47" s="102"/>
      <c r="AV47" s="195"/>
      <c r="AW47" s="203"/>
      <c r="AX47" s="203"/>
      <c r="AY47" s="203"/>
      <c r="AZ47" s="306"/>
      <c r="BA47" s="364"/>
      <c r="BB47" s="393"/>
      <c r="BC47" s="306"/>
      <c r="BD47" s="525"/>
      <c r="BE47" s="525"/>
      <c r="BF47" s="525"/>
      <c r="BG47" s="525"/>
      <c r="BH47" s="525"/>
      <c r="BI47" s="329"/>
      <c r="BJ47" s="329"/>
      <c r="BK47" s="570"/>
      <c r="BL47" s="570"/>
    </row>
    <row r="48" spans="1:64" ht="11.25" customHeight="1">
      <c r="A48" s="167" t="s">
        <v>72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636"/>
      <c r="BG48" s="636"/>
      <c r="BH48" s="636"/>
      <c r="BI48" s="329"/>
      <c r="BJ48" s="329"/>
      <c r="BK48" s="570"/>
      <c r="BL48" s="570"/>
    </row>
    <row r="49" spans="1:64" ht="11.25" customHeight="1">
      <c r="A49" s="128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95"/>
      <c r="AW49" s="204"/>
      <c r="AX49" s="204"/>
      <c r="AY49" s="204"/>
      <c r="AZ49" s="307"/>
      <c r="BA49" s="365"/>
      <c r="BB49" s="326"/>
      <c r="BC49" s="307"/>
      <c r="BD49" s="525"/>
      <c r="BE49" s="525"/>
      <c r="BF49" s="525"/>
      <c r="BG49" s="525"/>
      <c r="BH49" s="525"/>
      <c r="BI49" s="329"/>
      <c r="BJ49" s="329"/>
      <c r="BK49" s="570"/>
      <c r="BL49" s="570"/>
    </row>
    <row r="50" spans="1:64" s="111" customFormat="1" ht="11.25" customHeight="1">
      <c r="A50" s="132" t="s">
        <v>92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202"/>
      <c r="AX50" s="202"/>
      <c r="AY50" s="202"/>
      <c r="AZ50" s="302"/>
      <c r="BA50" s="319"/>
      <c r="BB50" s="325"/>
      <c r="BC50" s="302"/>
      <c r="BD50" s="547"/>
      <c r="BE50" s="547"/>
      <c r="BF50" s="547"/>
      <c r="BG50" s="547"/>
      <c r="BH50" s="547"/>
      <c r="BI50" s="329"/>
      <c r="BJ50" s="329"/>
      <c r="BK50" s="570"/>
      <c r="BL50" s="570"/>
    </row>
    <row r="51" spans="1:64" ht="12" customHeight="1">
      <c r="A51" s="121" t="s">
        <v>93</v>
      </c>
      <c r="B51" s="102" t="s">
        <v>3</v>
      </c>
      <c r="C51" s="102" t="s">
        <v>3</v>
      </c>
      <c r="D51" s="102" t="s">
        <v>3</v>
      </c>
      <c r="E51" s="102" t="s">
        <v>3</v>
      </c>
      <c r="F51" s="102" t="s">
        <v>3</v>
      </c>
      <c r="G51" s="102" t="s">
        <v>3</v>
      </c>
      <c r="H51" s="102" t="s">
        <v>3</v>
      </c>
      <c r="I51" s="102" t="s">
        <v>3</v>
      </c>
      <c r="J51" s="102" t="s">
        <v>3</v>
      </c>
      <c r="K51" s="102" t="s">
        <v>3</v>
      </c>
      <c r="L51" s="102" t="s">
        <v>3</v>
      </c>
      <c r="M51" s="102" t="s">
        <v>3</v>
      </c>
      <c r="N51" s="102" t="s">
        <v>3</v>
      </c>
      <c r="O51" s="102" t="s">
        <v>3</v>
      </c>
      <c r="P51" s="102" t="s">
        <v>3</v>
      </c>
      <c r="Q51" s="102" t="s">
        <v>3</v>
      </c>
      <c r="R51" s="102" t="s">
        <v>3</v>
      </c>
      <c r="S51" s="102" t="s">
        <v>3</v>
      </c>
      <c r="T51" s="102" t="s">
        <v>3</v>
      </c>
      <c r="U51" s="102" t="s">
        <v>3</v>
      </c>
      <c r="V51" s="102" t="s">
        <v>3</v>
      </c>
      <c r="W51" s="102" t="s">
        <v>3</v>
      </c>
      <c r="X51" s="102" t="s">
        <v>3</v>
      </c>
      <c r="Y51" s="102" t="s">
        <v>3</v>
      </c>
      <c r="Z51" s="102" t="s">
        <v>3</v>
      </c>
      <c r="AA51" s="102" t="s">
        <v>3</v>
      </c>
      <c r="AB51" s="102" t="s">
        <v>3</v>
      </c>
      <c r="AC51" s="102" t="s">
        <v>3</v>
      </c>
      <c r="AD51" s="102" t="s">
        <v>3</v>
      </c>
      <c r="AE51" s="102" t="s">
        <v>3</v>
      </c>
      <c r="AF51" s="102" t="s">
        <v>3</v>
      </c>
      <c r="AG51" s="102" t="s">
        <v>3</v>
      </c>
      <c r="AH51" s="102" t="s">
        <v>3</v>
      </c>
      <c r="AI51" s="102" t="s">
        <v>3</v>
      </c>
      <c r="AJ51" s="102" t="s">
        <v>3</v>
      </c>
      <c r="AK51" s="102" t="s">
        <v>3</v>
      </c>
      <c r="AL51" s="102" t="s">
        <v>3</v>
      </c>
      <c r="AM51" s="102" t="s">
        <v>3</v>
      </c>
      <c r="AN51" s="102" t="s">
        <v>3</v>
      </c>
      <c r="AO51" s="102" t="s">
        <v>3</v>
      </c>
      <c r="AP51" s="102" t="s">
        <v>3</v>
      </c>
      <c r="AQ51" s="102" t="s">
        <v>3</v>
      </c>
      <c r="AR51" s="102" t="s">
        <v>3</v>
      </c>
      <c r="AS51" s="102" t="s">
        <v>3</v>
      </c>
      <c r="AT51" s="102" t="s">
        <v>3</v>
      </c>
      <c r="AU51" s="55">
        <v>52</v>
      </c>
      <c r="AV51" s="68" t="s">
        <v>3</v>
      </c>
      <c r="AW51" s="68" t="s">
        <v>3</v>
      </c>
      <c r="AX51" s="68" t="s">
        <v>3</v>
      </c>
      <c r="AY51" s="68" t="s">
        <v>3</v>
      </c>
      <c r="AZ51" s="68" t="s">
        <v>3</v>
      </c>
      <c r="BA51" s="293" t="s">
        <v>3</v>
      </c>
      <c r="BB51" s="293" t="s">
        <v>3</v>
      </c>
      <c r="BC51" s="293" t="s">
        <v>3</v>
      </c>
      <c r="BD51" s="314" t="s">
        <v>3</v>
      </c>
      <c r="BE51" s="314" t="s">
        <v>3</v>
      </c>
      <c r="BF51" s="314" t="s">
        <v>3</v>
      </c>
      <c r="BG51" s="314" t="s">
        <v>3</v>
      </c>
      <c r="BH51" s="314" t="s">
        <v>3</v>
      </c>
      <c r="BI51" s="419" t="s">
        <v>9</v>
      </c>
      <c r="BJ51" s="419" t="s">
        <v>9</v>
      </c>
      <c r="BK51" s="573" t="s">
        <v>9</v>
      </c>
      <c r="BL51" s="573" t="s">
        <v>9</v>
      </c>
    </row>
    <row r="52" spans="1:64" ht="12" customHeight="1">
      <c r="A52" s="121" t="s">
        <v>94</v>
      </c>
      <c r="B52" s="332">
        <v>62</v>
      </c>
      <c r="C52" s="173">
        <v>68</v>
      </c>
      <c r="D52" s="144">
        <v>74</v>
      </c>
      <c r="E52" s="173">
        <v>80</v>
      </c>
      <c r="F52" s="173">
        <v>75</v>
      </c>
      <c r="G52" s="173">
        <v>80</v>
      </c>
      <c r="H52" s="173">
        <v>84.84</v>
      </c>
      <c r="I52" s="173">
        <v>87</v>
      </c>
      <c r="J52" s="173">
        <v>115.5</v>
      </c>
      <c r="K52" s="173">
        <v>144</v>
      </c>
      <c r="L52" s="173">
        <v>175.398</v>
      </c>
      <c r="M52" s="173">
        <v>218.03399999999999</v>
      </c>
      <c r="N52" s="173">
        <v>263.31099999999998</v>
      </c>
      <c r="O52" s="173">
        <v>344.20499999999998</v>
      </c>
      <c r="P52" s="173">
        <v>377.23599999999999</v>
      </c>
      <c r="Q52" s="173">
        <v>523.94299999999998</v>
      </c>
      <c r="R52" s="173">
        <v>716.20399999999995</v>
      </c>
      <c r="S52" s="173">
        <v>648.91099999999994</v>
      </c>
      <c r="T52" s="173">
        <v>687.97299999999996</v>
      </c>
      <c r="U52" s="173">
        <v>707.38599999999997</v>
      </c>
      <c r="V52" s="173">
        <v>836.56</v>
      </c>
      <c r="W52" s="173">
        <v>674.35699999999997</v>
      </c>
      <c r="X52" s="173">
        <v>663.14599999999996</v>
      </c>
      <c r="Y52" s="173">
        <v>717.62699999999995</v>
      </c>
      <c r="Z52" s="173">
        <v>763.50400000000002</v>
      </c>
      <c r="AA52" s="173">
        <v>811.08699999999999</v>
      </c>
      <c r="AB52" s="173">
        <v>893.73199999999997</v>
      </c>
      <c r="AC52" s="173">
        <v>1135.796</v>
      </c>
      <c r="AD52" s="173">
        <v>1459.6859999999999</v>
      </c>
      <c r="AE52" s="173">
        <v>1535.557</v>
      </c>
      <c r="AF52" s="173">
        <v>1664.1679999999999</v>
      </c>
      <c r="AG52" s="173">
        <v>1963.498</v>
      </c>
      <c r="AH52" s="173">
        <v>2240.549</v>
      </c>
      <c r="AI52" s="173">
        <v>1989.2639999999999</v>
      </c>
      <c r="AJ52" s="173">
        <v>2180.6460000000002</v>
      </c>
      <c r="AK52" s="173">
        <v>2139</v>
      </c>
      <c r="AL52" s="173">
        <v>2253</v>
      </c>
      <c r="AM52" s="173">
        <v>2177</v>
      </c>
      <c r="AN52" s="173">
        <v>2375</v>
      </c>
      <c r="AO52" s="173">
        <v>2601</v>
      </c>
      <c r="AP52" s="173">
        <v>2802</v>
      </c>
      <c r="AQ52" s="173">
        <v>3026</v>
      </c>
      <c r="AR52" s="173">
        <v>5398</v>
      </c>
      <c r="AS52" s="174">
        <v>5294</v>
      </c>
      <c r="AT52" s="174">
        <v>6471</v>
      </c>
      <c r="AU52" s="174">
        <v>6947</v>
      </c>
      <c r="AV52" s="173">
        <v>7416</v>
      </c>
      <c r="AW52" s="173">
        <v>8264</v>
      </c>
      <c r="AX52" s="144">
        <v>9470</v>
      </c>
      <c r="AY52" s="144">
        <v>10659</v>
      </c>
      <c r="AZ52" s="144">
        <f>9923+1023</f>
        <v>10946</v>
      </c>
      <c r="BA52" s="366">
        <f>10296+908</f>
        <v>11204</v>
      </c>
      <c r="BB52" s="366">
        <f>10676+1082</f>
        <v>11758</v>
      </c>
      <c r="BC52" s="366">
        <f>10332+1081</f>
        <v>11413</v>
      </c>
      <c r="BD52" s="549">
        <f>9587+1442</f>
        <v>11029</v>
      </c>
      <c r="BE52" s="549">
        <f>10212+1545</f>
        <v>11757</v>
      </c>
      <c r="BF52" s="549">
        <f>10906+1607</f>
        <v>12513</v>
      </c>
      <c r="BG52" s="549">
        <f>12424+1769</f>
        <v>14193</v>
      </c>
      <c r="BH52" s="549">
        <f>13963+1916</f>
        <v>15879</v>
      </c>
      <c r="BI52" s="385">
        <f t="shared" ref="BI52:BJ57" si="19">(BG52-BF52)/BF52</f>
        <v>0.13426036921601534</v>
      </c>
      <c r="BJ52" s="385">
        <f t="shared" si="19"/>
        <v>0.11879095328683154</v>
      </c>
      <c r="BK52" s="569">
        <f t="shared" ref="BK52:BL57" si="20">BG52-BF52</f>
        <v>1680</v>
      </c>
      <c r="BL52" s="569">
        <f t="shared" si="20"/>
        <v>1686</v>
      </c>
    </row>
    <row r="53" spans="1:64" ht="12" customHeight="1">
      <c r="A53" s="121" t="s">
        <v>95</v>
      </c>
      <c r="B53" s="102">
        <v>38</v>
      </c>
      <c r="C53" s="102">
        <v>40</v>
      </c>
      <c r="D53" s="170">
        <v>42</v>
      </c>
      <c r="E53" s="102">
        <v>44</v>
      </c>
      <c r="F53" s="102">
        <v>44</v>
      </c>
      <c r="G53" s="102">
        <v>48</v>
      </c>
      <c r="H53" s="102">
        <v>52</v>
      </c>
      <c r="I53" s="102">
        <v>50</v>
      </c>
      <c r="J53" s="102">
        <v>53</v>
      </c>
      <c r="K53" s="102">
        <v>56</v>
      </c>
      <c r="L53" s="102">
        <v>66</v>
      </c>
      <c r="M53" s="102">
        <v>82</v>
      </c>
      <c r="N53" s="26">
        <v>101</v>
      </c>
      <c r="O53" s="102">
        <v>104</v>
      </c>
      <c r="P53" s="102">
        <v>101</v>
      </c>
      <c r="Q53" s="102">
        <v>116</v>
      </c>
      <c r="R53" s="102">
        <v>174</v>
      </c>
      <c r="S53" s="102">
        <v>212</v>
      </c>
      <c r="T53" s="102">
        <v>224</v>
      </c>
      <c r="U53" s="102">
        <v>243</v>
      </c>
      <c r="V53" s="102">
        <v>254</v>
      </c>
      <c r="W53" s="102">
        <v>324</v>
      </c>
      <c r="X53" s="102">
        <v>310</v>
      </c>
      <c r="Y53" s="102">
        <v>353</v>
      </c>
      <c r="Z53" s="102">
        <v>340</v>
      </c>
      <c r="AA53" s="102">
        <v>372</v>
      </c>
      <c r="AB53" s="102">
        <v>392</v>
      </c>
      <c r="AC53" s="102">
        <v>507</v>
      </c>
      <c r="AD53" s="102">
        <v>618</v>
      </c>
      <c r="AE53" s="102">
        <v>859</v>
      </c>
      <c r="AF53" s="102">
        <v>786</v>
      </c>
      <c r="AG53" s="102">
        <v>958</v>
      </c>
      <c r="AH53" s="102">
        <v>1086</v>
      </c>
      <c r="AI53" s="102">
        <v>1292</v>
      </c>
      <c r="AJ53" s="55">
        <v>1230</v>
      </c>
      <c r="AK53" s="55">
        <v>1401</v>
      </c>
      <c r="AL53" s="55">
        <v>1631</v>
      </c>
      <c r="AM53" s="55">
        <v>2061</v>
      </c>
      <c r="AN53" s="55">
        <v>3130</v>
      </c>
      <c r="AO53" s="55">
        <v>2993</v>
      </c>
      <c r="AP53" s="55">
        <v>3355</v>
      </c>
      <c r="AQ53" s="55">
        <v>3195</v>
      </c>
      <c r="AR53" s="164">
        <v>2789</v>
      </c>
      <c r="AS53" s="55">
        <v>2218</v>
      </c>
      <c r="AT53" s="55">
        <v>3347</v>
      </c>
      <c r="AU53" s="55">
        <v>3258</v>
      </c>
      <c r="AV53" s="33">
        <v>3411</v>
      </c>
      <c r="AW53" s="33">
        <v>4058</v>
      </c>
      <c r="AX53" s="33">
        <v>4753</v>
      </c>
      <c r="AY53" s="33">
        <v>5372</v>
      </c>
      <c r="AZ53" s="33">
        <f>5458+192</f>
        <v>5650</v>
      </c>
      <c r="BA53" s="293">
        <f>5582+264</f>
        <v>5846</v>
      </c>
      <c r="BB53" s="293">
        <f>5909+255</f>
        <v>6164</v>
      </c>
      <c r="BC53" s="293">
        <f>5497+357</f>
        <v>5854</v>
      </c>
      <c r="BD53" s="314">
        <f>5431+344</f>
        <v>5775</v>
      </c>
      <c r="BE53" s="314">
        <f>5739+223</f>
        <v>5962</v>
      </c>
      <c r="BF53" s="314">
        <f>6153+378</f>
        <v>6531</v>
      </c>
      <c r="BG53" s="314">
        <f>5728+337</f>
        <v>6065</v>
      </c>
      <c r="BH53" s="314">
        <f>6911+341</f>
        <v>7252</v>
      </c>
      <c r="BI53" s="385">
        <f t="shared" si="19"/>
        <v>-7.1352013474199963E-2</v>
      </c>
      <c r="BJ53" s="385">
        <f t="shared" si="19"/>
        <v>0.19571310799670238</v>
      </c>
      <c r="BK53" s="569">
        <f t="shared" si="20"/>
        <v>-466</v>
      </c>
      <c r="BL53" s="569">
        <f t="shared" si="20"/>
        <v>1187</v>
      </c>
    </row>
    <row r="54" spans="1:64" s="615" customFormat="1" ht="11.25" customHeight="1">
      <c r="A54" s="614" t="s">
        <v>96</v>
      </c>
      <c r="B54" s="367">
        <v>45</v>
      </c>
      <c r="C54" s="367">
        <v>49</v>
      </c>
      <c r="D54" s="367">
        <v>51</v>
      </c>
      <c r="E54" s="367">
        <v>56</v>
      </c>
      <c r="F54" s="367">
        <v>59</v>
      </c>
      <c r="G54" s="367">
        <v>63</v>
      </c>
      <c r="H54" s="367">
        <v>70</v>
      </c>
      <c r="I54" s="367">
        <v>70</v>
      </c>
      <c r="J54" s="367">
        <v>72</v>
      </c>
      <c r="K54" s="367">
        <v>84</v>
      </c>
      <c r="L54" s="367">
        <v>94</v>
      </c>
      <c r="M54" s="367">
        <v>177</v>
      </c>
      <c r="N54" s="367">
        <v>222</v>
      </c>
      <c r="O54" s="367">
        <v>278</v>
      </c>
      <c r="P54" s="367">
        <v>278</v>
      </c>
      <c r="Q54" s="367">
        <v>284</v>
      </c>
      <c r="R54" s="367">
        <v>292</v>
      </c>
      <c r="S54" s="367">
        <v>333</v>
      </c>
      <c r="T54" s="367">
        <v>343</v>
      </c>
      <c r="U54" s="367">
        <v>403</v>
      </c>
      <c r="V54" s="367">
        <v>498</v>
      </c>
      <c r="W54" s="367">
        <v>512</v>
      </c>
      <c r="X54" s="367">
        <v>559</v>
      </c>
      <c r="Y54" s="367">
        <v>503</v>
      </c>
      <c r="Z54" s="367">
        <v>534</v>
      </c>
      <c r="AA54" s="367">
        <v>558</v>
      </c>
      <c r="AB54" s="367">
        <v>579</v>
      </c>
      <c r="AC54" s="367">
        <v>562</v>
      </c>
      <c r="AD54" s="367">
        <v>499</v>
      </c>
      <c r="AE54" s="367">
        <v>592</v>
      </c>
      <c r="AF54" s="367">
        <v>909</v>
      </c>
      <c r="AG54" s="367">
        <v>1012</v>
      </c>
      <c r="AH54" s="367">
        <v>1163</v>
      </c>
      <c r="AI54" s="367">
        <v>1239</v>
      </c>
      <c r="AJ54" s="367">
        <v>1249</v>
      </c>
      <c r="AK54" s="367">
        <v>1364</v>
      </c>
      <c r="AL54" s="367">
        <v>1434</v>
      </c>
      <c r="AM54" s="367">
        <v>1492</v>
      </c>
      <c r="AN54" s="367">
        <v>1540</v>
      </c>
      <c r="AO54" s="367">
        <v>1644</v>
      </c>
      <c r="AP54" s="367">
        <v>1716.6097041310543</v>
      </c>
      <c r="AQ54" s="367">
        <v>1922.5691169269671</v>
      </c>
      <c r="AR54" s="367">
        <v>2126.7749494268373</v>
      </c>
      <c r="AS54" s="367">
        <v>1680</v>
      </c>
      <c r="AT54" s="367">
        <v>1885</v>
      </c>
      <c r="AU54" s="367">
        <v>1948</v>
      </c>
      <c r="AV54" s="367">
        <v>2182</v>
      </c>
      <c r="AW54" s="367">
        <v>2142</v>
      </c>
      <c r="AX54" s="367">
        <v>2275</v>
      </c>
      <c r="AY54" s="367">
        <v>2378</v>
      </c>
      <c r="AZ54" s="367">
        <v>2476</v>
      </c>
      <c r="BA54" s="314">
        <v>2393</v>
      </c>
      <c r="BB54" s="314">
        <v>2506</v>
      </c>
      <c r="BC54" s="314">
        <v>2897</v>
      </c>
      <c r="BD54" s="314">
        <v>3505</v>
      </c>
      <c r="BE54" s="314">
        <v>2757</v>
      </c>
      <c r="BF54" s="314">
        <v>2984</v>
      </c>
      <c r="BG54" s="314">
        <v>2681</v>
      </c>
      <c r="BH54" s="314">
        <v>3016</v>
      </c>
      <c r="BI54" s="385">
        <f t="shared" ref="BI54" si="21">(BG54-BF54)/BF54</f>
        <v>-0.10154155495978552</v>
      </c>
      <c r="BJ54" s="385">
        <f t="shared" ref="BJ54" si="22">(BH54-BG54)/BG54</f>
        <v>0.12495337560611712</v>
      </c>
      <c r="BK54" s="367">
        <f t="shared" si="20"/>
        <v>-303</v>
      </c>
      <c r="BL54" s="367">
        <f t="shared" si="20"/>
        <v>335</v>
      </c>
    </row>
    <row r="55" spans="1:64" ht="10.5" customHeight="1">
      <c r="A55" s="125" t="s">
        <v>97</v>
      </c>
      <c r="B55" s="102" t="s">
        <v>3</v>
      </c>
      <c r="C55" s="102" t="s">
        <v>3</v>
      </c>
      <c r="D55" s="102" t="s">
        <v>3</v>
      </c>
      <c r="E55" s="102" t="s">
        <v>3</v>
      </c>
      <c r="F55" s="102" t="s">
        <v>3</v>
      </c>
      <c r="G55" s="102" t="s">
        <v>3</v>
      </c>
      <c r="H55" s="102" t="s">
        <v>3</v>
      </c>
      <c r="I55" s="102" t="s">
        <v>3</v>
      </c>
      <c r="J55" s="102" t="s">
        <v>3</v>
      </c>
      <c r="K55" s="102" t="s">
        <v>3</v>
      </c>
      <c r="L55" s="102" t="s">
        <v>3</v>
      </c>
      <c r="M55" s="102" t="s">
        <v>3</v>
      </c>
      <c r="N55" s="102" t="s">
        <v>3</v>
      </c>
      <c r="O55" s="102" t="s">
        <v>3</v>
      </c>
      <c r="P55" s="102" t="s">
        <v>3</v>
      </c>
      <c r="Q55" s="102" t="s">
        <v>3</v>
      </c>
      <c r="R55" s="102" t="s">
        <v>3</v>
      </c>
      <c r="S55" s="102" t="s">
        <v>3</v>
      </c>
      <c r="T55" s="102" t="s">
        <v>3</v>
      </c>
      <c r="U55" s="102" t="s">
        <v>3</v>
      </c>
      <c r="V55" s="102" t="s">
        <v>3</v>
      </c>
      <c r="W55" s="102" t="s">
        <v>3</v>
      </c>
      <c r="X55" s="102" t="s">
        <v>3</v>
      </c>
      <c r="Y55" s="102" t="s">
        <v>3</v>
      </c>
      <c r="Z55" s="102" t="s">
        <v>3</v>
      </c>
      <c r="AA55" s="102" t="s">
        <v>3</v>
      </c>
      <c r="AB55" s="102" t="s">
        <v>3</v>
      </c>
      <c r="AC55" s="102" t="s">
        <v>3</v>
      </c>
      <c r="AD55" s="102" t="s">
        <v>3</v>
      </c>
      <c r="AE55" s="102" t="s">
        <v>3</v>
      </c>
      <c r="AF55" s="102" t="s">
        <v>3</v>
      </c>
      <c r="AG55" s="102" t="s">
        <v>3</v>
      </c>
      <c r="AH55" s="102" t="s">
        <v>3</v>
      </c>
      <c r="AI55" s="102" t="s">
        <v>3</v>
      </c>
      <c r="AJ55" s="102" t="s">
        <v>3</v>
      </c>
      <c r="AK55" s="102" t="s">
        <v>3</v>
      </c>
      <c r="AL55" s="102" t="s">
        <v>3</v>
      </c>
      <c r="AM55" s="102" t="s">
        <v>3</v>
      </c>
      <c r="AN55" s="102" t="s">
        <v>3</v>
      </c>
      <c r="AO55" s="102" t="s">
        <v>3</v>
      </c>
      <c r="AP55" s="102" t="s">
        <v>3</v>
      </c>
      <c r="AQ55" s="102" t="s">
        <v>3</v>
      </c>
      <c r="AR55" s="102" t="s">
        <v>3</v>
      </c>
      <c r="AS55" s="287">
        <v>7</v>
      </c>
      <c r="AT55" s="287">
        <v>36</v>
      </c>
      <c r="AU55" s="287">
        <v>68</v>
      </c>
      <c r="AV55" s="287">
        <v>83</v>
      </c>
      <c r="AW55" s="287">
        <v>92</v>
      </c>
      <c r="AX55" s="290">
        <v>79</v>
      </c>
      <c r="AY55" s="290">
        <v>86</v>
      </c>
      <c r="AZ55" s="278">
        <v>84</v>
      </c>
      <c r="BA55" s="314">
        <v>92</v>
      </c>
      <c r="BB55" s="314">
        <v>79</v>
      </c>
      <c r="BC55" s="314">
        <v>60</v>
      </c>
      <c r="BD55" s="314">
        <v>71</v>
      </c>
      <c r="BE55" s="314">
        <v>73</v>
      </c>
      <c r="BF55" s="314">
        <v>77</v>
      </c>
      <c r="BG55" s="314">
        <v>72</v>
      </c>
      <c r="BH55" s="314">
        <v>54</v>
      </c>
      <c r="BI55" s="385">
        <f t="shared" si="19"/>
        <v>-6.4935064935064929E-2</v>
      </c>
      <c r="BJ55" s="385">
        <f t="shared" si="19"/>
        <v>-0.25</v>
      </c>
      <c r="BK55" s="569">
        <f t="shared" si="20"/>
        <v>-5</v>
      </c>
      <c r="BL55" s="569">
        <f t="shared" si="20"/>
        <v>-18</v>
      </c>
    </row>
    <row r="56" spans="1:64" ht="12" customHeight="1">
      <c r="A56" s="121" t="s">
        <v>98</v>
      </c>
      <c r="B56" s="136" t="s">
        <v>3</v>
      </c>
      <c r="C56" s="136" t="s">
        <v>3</v>
      </c>
      <c r="D56" s="136" t="s">
        <v>3</v>
      </c>
      <c r="E56" s="136" t="s">
        <v>3</v>
      </c>
      <c r="F56" s="136" t="s">
        <v>3</v>
      </c>
      <c r="G56" s="136" t="s">
        <v>3</v>
      </c>
      <c r="H56" s="136" t="s">
        <v>3</v>
      </c>
      <c r="I56" s="136" t="s">
        <v>3</v>
      </c>
      <c r="J56" s="136" t="s">
        <v>3</v>
      </c>
      <c r="K56" s="136" t="s">
        <v>3</v>
      </c>
      <c r="L56" s="136" t="s">
        <v>3</v>
      </c>
      <c r="M56" s="136" t="s">
        <v>3</v>
      </c>
      <c r="N56" s="136" t="s">
        <v>3</v>
      </c>
      <c r="O56" s="136" t="s">
        <v>3</v>
      </c>
      <c r="P56" s="136" t="s">
        <v>3</v>
      </c>
      <c r="Q56" s="136" t="s">
        <v>3</v>
      </c>
      <c r="R56" s="136" t="s">
        <v>3</v>
      </c>
      <c r="S56" s="136" t="s">
        <v>3</v>
      </c>
      <c r="T56" s="136" t="s">
        <v>3</v>
      </c>
      <c r="U56" s="136" t="s">
        <v>3</v>
      </c>
      <c r="V56" s="136" t="s">
        <v>3</v>
      </c>
      <c r="W56" s="136" t="s">
        <v>3</v>
      </c>
      <c r="X56" s="136" t="s">
        <v>3</v>
      </c>
      <c r="Y56" s="136" t="s">
        <v>3</v>
      </c>
      <c r="Z56" s="136" t="s">
        <v>3</v>
      </c>
      <c r="AA56" s="136" t="s">
        <v>3</v>
      </c>
      <c r="AB56" s="136" t="s">
        <v>3</v>
      </c>
      <c r="AC56" s="136" t="s">
        <v>3</v>
      </c>
      <c r="AD56" s="136" t="s">
        <v>3</v>
      </c>
      <c r="AE56" s="136" t="s">
        <v>3</v>
      </c>
      <c r="AF56" s="136" t="s">
        <v>3</v>
      </c>
      <c r="AG56" s="136" t="s">
        <v>3</v>
      </c>
      <c r="AH56" s="136" t="s">
        <v>3</v>
      </c>
      <c r="AI56" s="136" t="s">
        <v>3</v>
      </c>
      <c r="AJ56" s="136" t="s">
        <v>3</v>
      </c>
      <c r="AK56" s="136" t="s">
        <v>3</v>
      </c>
      <c r="AL56" s="136" t="s">
        <v>3</v>
      </c>
      <c r="AM56" s="136" t="s">
        <v>3</v>
      </c>
      <c r="AN56" s="136" t="s">
        <v>3</v>
      </c>
      <c r="AO56" s="136" t="s">
        <v>3</v>
      </c>
      <c r="AP56" s="136" t="s">
        <v>3</v>
      </c>
      <c r="AQ56" s="136" t="s">
        <v>3</v>
      </c>
      <c r="AR56" s="65">
        <v>1186</v>
      </c>
      <c r="AS56" s="65">
        <v>9666</v>
      </c>
      <c r="AT56" s="65">
        <v>4453</v>
      </c>
      <c r="AU56" s="65">
        <v>4746</v>
      </c>
      <c r="AV56" s="104">
        <v>4376</v>
      </c>
      <c r="AW56" s="104">
        <v>4625</v>
      </c>
      <c r="AX56" s="104">
        <v>4987</v>
      </c>
      <c r="AY56" s="104">
        <v>5245</v>
      </c>
      <c r="AZ56" s="104">
        <f>4922+116</f>
        <v>5038</v>
      </c>
      <c r="BA56" s="357">
        <f>5118+50</f>
        <v>5168</v>
      </c>
      <c r="BB56" s="357">
        <f>5233+46</f>
        <v>5279</v>
      </c>
      <c r="BC56" s="357">
        <f>5260+94</f>
        <v>5354</v>
      </c>
      <c r="BD56" s="370">
        <f>5008+201</f>
        <v>5209</v>
      </c>
      <c r="BE56" s="370">
        <f>5865+222</f>
        <v>6087</v>
      </c>
      <c r="BF56" s="370">
        <f>5882+16</f>
        <v>5898</v>
      </c>
      <c r="BG56" s="370">
        <f>6641+2</f>
        <v>6643</v>
      </c>
      <c r="BH56" s="370">
        <f>7512+5</f>
        <v>7517</v>
      </c>
      <c r="BI56" s="385">
        <f t="shared" si="19"/>
        <v>0.12631400474737198</v>
      </c>
      <c r="BJ56" s="385">
        <f t="shared" si="19"/>
        <v>0.13156706307391239</v>
      </c>
      <c r="BK56" s="569">
        <f t="shared" si="20"/>
        <v>745</v>
      </c>
      <c r="BL56" s="569">
        <f t="shared" si="20"/>
        <v>874</v>
      </c>
    </row>
    <row r="57" spans="1:64" s="182" customFormat="1" ht="12.6" customHeight="1" thickBot="1">
      <c r="A57" s="404" t="s">
        <v>73</v>
      </c>
      <c r="B57" s="593">
        <f>SUM(B52:B56)</f>
        <v>145</v>
      </c>
      <c r="C57" s="593">
        <f t="shared" ref="C57:BC57" si="23">SUM(C52:C56)</f>
        <v>157</v>
      </c>
      <c r="D57" s="593">
        <f t="shared" si="23"/>
        <v>167</v>
      </c>
      <c r="E57" s="593">
        <f t="shared" si="23"/>
        <v>180</v>
      </c>
      <c r="F57" s="593">
        <f t="shared" si="23"/>
        <v>178</v>
      </c>
      <c r="G57" s="593">
        <f t="shared" si="23"/>
        <v>191</v>
      </c>
      <c r="H57" s="593">
        <f t="shared" si="23"/>
        <v>206.84</v>
      </c>
      <c r="I57" s="593">
        <f t="shared" si="23"/>
        <v>207</v>
      </c>
      <c r="J57" s="593">
        <f t="shared" si="23"/>
        <v>240.5</v>
      </c>
      <c r="K57" s="593">
        <f t="shared" si="23"/>
        <v>284</v>
      </c>
      <c r="L57" s="593">
        <f t="shared" si="23"/>
        <v>335.39800000000002</v>
      </c>
      <c r="M57" s="593">
        <f t="shared" si="23"/>
        <v>477.03399999999999</v>
      </c>
      <c r="N57" s="593">
        <f t="shared" si="23"/>
        <v>586.31099999999992</v>
      </c>
      <c r="O57" s="593">
        <f t="shared" si="23"/>
        <v>726.20499999999993</v>
      </c>
      <c r="P57" s="593">
        <f t="shared" si="23"/>
        <v>756.23599999999999</v>
      </c>
      <c r="Q57" s="593">
        <f t="shared" si="23"/>
        <v>923.94299999999998</v>
      </c>
      <c r="R57" s="593">
        <f t="shared" si="23"/>
        <v>1182.204</v>
      </c>
      <c r="S57" s="593">
        <f t="shared" si="23"/>
        <v>1193.9110000000001</v>
      </c>
      <c r="T57" s="593">
        <f t="shared" si="23"/>
        <v>1254.973</v>
      </c>
      <c r="U57" s="593">
        <f t="shared" si="23"/>
        <v>1353.386</v>
      </c>
      <c r="V57" s="593">
        <f t="shared" si="23"/>
        <v>1588.56</v>
      </c>
      <c r="W57" s="593">
        <f t="shared" si="23"/>
        <v>1510.357</v>
      </c>
      <c r="X57" s="593">
        <f t="shared" si="23"/>
        <v>1532.146</v>
      </c>
      <c r="Y57" s="593">
        <f t="shared" si="23"/>
        <v>1573.627</v>
      </c>
      <c r="Z57" s="593">
        <f t="shared" si="23"/>
        <v>1637.5039999999999</v>
      </c>
      <c r="AA57" s="593">
        <f t="shared" si="23"/>
        <v>1741.087</v>
      </c>
      <c r="AB57" s="593">
        <f t="shared" si="23"/>
        <v>1864.732</v>
      </c>
      <c r="AC57" s="593">
        <f t="shared" si="23"/>
        <v>2204.7960000000003</v>
      </c>
      <c r="AD57" s="593">
        <f t="shared" si="23"/>
        <v>2576.6859999999997</v>
      </c>
      <c r="AE57" s="593">
        <f t="shared" si="23"/>
        <v>2986.5569999999998</v>
      </c>
      <c r="AF57" s="593">
        <f t="shared" si="23"/>
        <v>3359.1679999999997</v>
      </c>
      <c r="AG57" s="593">
        <f t="shared" si="23"/>
        <v>3933.498</v>
      </c>
      <c r="AH57" s="593">
        <f t="shared" si="23"/>
        <v>4489.549</v>
      </c>
      <c r="AI57" s="593">
        <f t="shared" si="23"/>
        <v>4520.2640000000001</v>
      </c>
      <c r="AJ57" s="593">
        <f t="shared" si="23"/>
        <v>4659.6460000000006</v>
      </c>
      <c r="AK57" s="593">
        <f t="shared" si="23"/>
        <v>4904</v>
      </c>
      <c r="AL57" s="593">
        <f t="shared" si="23"/>
        <v>5318</v>
      </c>
      <c r="AM57" s="593">
        <f t="shared" si="23"/>
        <v>5730</v>
      </c>
      <c r="AN57" s="593">
        <f t="shared" si="23"/>
        <v>7045</v>
      </c>
      <c r="AO57" s="593">
        <f t="shared" si="23"/>
        <v>7238</v>
      </c>
      <c r="AP57" s="593">
        <f t="shared" si="23"/>
        <v>7873.6097041310541</v>
      </c>
      <c r="AQ57" s="593">
        <f t="shared" si="23"/>
        <v>8143.5691169269667</v>
      </c>
      <c r="AR57" s="593">
        <f t="shared" si="23"/>
        <v>11499.774949426837</v>
      </c>
      <c r="AS57" s="593">
        <f t="shared" si="23"/>
        <v>18865</v>
      </c>
      <c r="AT57" s="593">
        <f t="shared" si="23"/>
        <v>16192</v>
      </c>
      <c r="AU57" s="593">
        <f>SUM(AU51:AU56)</f>
        <v>17019</v>
      </c>
      <c r="AV57" s="593">
        <f t="shared" si="23"/>
        <v>17468</v>
      </c>
      <c r="AW57" s="593">
        <f t="shared" si="23"/>
        <v>19181</v>
      </c>
      <c r="AX57" s="593">
        <f t="shared" si="23"/>
        <v>21564</v>
      </c>
      <c r="AY57" s="593">
        <f t="shared" si="23"/>
        <v>23740</v>
      </c>
      <c r="AZ57" s="593">
        <f t="shared" si="23"/>
        <v>24194</v>
      </c>
      <c r="BA57" s="594">
        <f t="shared" si="23"/>
        <v>24703</v>
      </c>
      <c r="BB57" s="594">
        <f t="shared" si="23"/>
        <v>25786</v>
      </c>
      <c r="BC57" s="594">
        <f t="shared" si="23"/>
        <v>25578</v>
      </c>
      <c r="BD57" s="594">
        <f>SUM(BD52:BD56)</f>
        <v>25589</v>
      </c>
      <c r="BE57" s="594">
        <f>SUM(BE52:BE56)</f>
        <v>26636</v>
      </c>
      <c r="BF57" s="594">
        <f>SUM(BF52:BF56)</f>
        <v>28003</v>
      </c>
      <c r="BG57" s="594">
        <f>SUM(BG52:BG56)</f>
        <v>29654</v>
      </c>
      <c r="BH57" s="594">
        <f>SUM(BH52:BH56)</f>
        <v>33718</v>
      </c>
      <c r="BI57" s="422">
        <f t="shared" si="19"/>
        <v>5.8957968789058318E-2</v>
      </c>
      <c r="BJ57" s="422">
        <f t="shared" si="19"/>
        <v>0.13704727861334054</v>
      </c>
      <c r="BK57" s="574">
        <f t="shared" si="20"/>
        <v>1651</v>
      </c>
      <c r="BL57" s="574">
        <f t="shared" si="20"/>
        <v>4064</v>
      </c>
    </row>
    <row r="58" spans="1:64" ht="11.1" customHeight="1">
      <c r="A58" s="125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231"/>
      <c r="BG58" s="231"/>
      <c r="BH58" s="231"/>
      <c r="BI58" s="329"/>
      <c r="BJ58" s="329"/>
      <c r="BK58" s="570"/>
      <c r="BL58" s="570"/>
    </row>
    <row r="59" spans="1:64" ht="11.1" customHeight="1">
      <c r="A59" s="130" t="s">
        <v>99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60"/>
      <c r="AB59" s="560"/>
      <c r="AC59" s="560"/>
      <c r="AD59" s="560"/>
      <c r="AE59" s="560"/>
      <c r="AF59" s="560"/>
      <c r="AG59" s="560"/>
      <c r="AH59" s="560"/>
      <c r="AI59" s="560"/>
      <c r="AJ59" s="560"/>
      <c r="AK59" s="560"/>
      <c r="AL59" s="560"/>
      <c r="AM59" s="560"/>
      <c r="AN59" s="560"/>
      <c r="AO59" s="560"/>
      <c r="AP59" s="560"/>
      <c r="AQ59" s="560"/>
      <c r="AR59" s="560"/>
      <c r="AS59" s="560"/>
      <c r="AT59" s="560"/>
      <c r="AU59" s="560"/>
      <c r="AV59" s="560"/>
      <c r="AW59" s="560"/>
      <c r="AX59" s="560"/>
      <c r="AY59" s="560"/>
      <c r="AZ59" s="560"/>
      <c r="BA59" s="560"/>
      <c r="BB59" s="560"/>
      <c r="BC59" s="560"/>
      <c r="BD59" s="560"/>
      <c r="BE59" s="560"/>
      <c r="BF59" s="560"/>
      <c r="BG59" s="560"/>
      <c r="BH59" s="560"/>
      <c r="BI59" s="329"/>
      <c r="BJ59" s="329"/>
      <c r="BK59" s="570"/>
      <c r="BL59" s="570"/>
    </row>
    <row r="60" spans="1:64" ht="6" customHeight="1">
      <c r="A60" s="125"/>
      <c r="B60" s="30"/>
      <c r="C60" s="30"/>
      <c r="D60" s="30"/>
      <c r="E60" s="30"/>
      <c r="F60" s="30"/>
      <c r="G60" s="30"/>
      <c r="H60" s="30"/>
      <c r="I60" s="30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00"/>
      <c r="AX60" s="200"/>
      <c r="AY60" s="200"/>
      <c r="AZ60" s="305"/>
      <c r="BA60" s="320"/>
      <c r="BB60" s="327"/>
      <c r="BC60" s="305"/>
      <c r="BD60" s="538"/>
      <c r="BE60" s="538"/>
      <c r="BF60" s="538"/>
      <c r="BG60" s="538"/>
      <c r="BH60" s="538"/>
      <c r="BI60" s="329"/>
      <c r="BJ60" s="329"/>
      <c r="BK60" s="570"/>
      <c r="BL60" s="570"/>
    </row>
    <row r="61" spans="1:64" ht="11.1" customHeight="1">
      <c r="A61" s="126" t="s">
        <v>36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00"/>
      <c r="AX61" s="200"/>
      <c r="AY61" s="200"/>
      <c r="AZ61" s="305"/>
      <c r="BA61" s="320"/>
      <c r="BB61" s="327"/>
      <c r="BC61" s="305"/>
      <c r="BD61" s="538"/>
      <c r="BE61" s="538"/>
      <c r="BF61" s="538"/>
      <c r="BG61" s="538"/>
      <c r="BH61" s="538"/>
      <c r="BI61" s="329"/>
      <c r="BJ61" s="329"/>
      <c r="BK61" s="570"/>
      <c r="BL61" s="570"/>
    </row>
    <row r="62" spans="1:64" ht="11.1" customHeight="1">
      <c r="A62" s="125" t="s">
        <v>100</v>
      </c>
      <c r="B62" s="28">
        <v>42</v>
      </c>
      <c r="C62" s="28">
        <v>63</v>
      </c>
      <c r="D62" s="28">
        <v>78</v>
      </c>
      <c r="E62" s="28">
        <v>89</v>
      </c>
      <c r="F62" s="28">
        <v>97</v>
      </c>
      <c r="G62" s="28">
        <v>105</v>
      </c>
      <c r="H62" s="28">
        <v>97</v>
      </c>
      <c r="I62" s="28">
        <v>94</v>
      </c>
      <c r="J62" s="28">
        <v>100</v>
      </c>
      <c r="K62" s="28">
        <v>106</v>
      </c>
      <c r="L62" s="13">
        <v>124</v>
      </c>
      <c r="M62" s="13">
        <v>160</v>
      </c>
      <c r="N62" s="13">
        <v>169</v>
      </c>
      <c r="O62" s="13">
        <v>184</v>
      </c>
      <c r="P62" s="13">
        <v>182</v>
      </c>
      <c r="Q62" s="13">
        <v>189</v>
      </c>
      <c r="R62" s="13">
        <v>212</v>
      </c>
      <c r="S62" s="13">
        <v>220</v>
      </c>
      <c r="T62" s="13">
        <v>232</v>
      </c>
      <c r="U62" s="13">
        <v>250</v>
      </c>
      <c r="V62" s="13">
        <v>283</v>
      </c>
      <c r="W62" s="13">
        <v>297</v>
      </c>
      <c r="X62" s="13">
        <v>265</v>
      </c>
      <c r="Y62" s="13">
        <v>336</v>
      </c>
      <c r="Z62" s="13">
        <v>296</v>
      </c>
      <c r="AA62" s="13">
        <v>227</v>
      </c>
      <c r="AB62" s="13">
        <v>304</v>
      </c>
      <c r="AC62" s="13">
        <v>334</v>
      </c>
      <c r="AD62" s="13">
        <v>378</v>
      </c>
      <c r="AE62" s="13">
        <v>416</v>
      </c>
      <c r="AF62" s="13">
        <v>477</v>
      </c>
      <c r="AG62" s="13">
        <v>523</v>
      </c>
      <c r="AH62" s="13">
        <v>584</v>
      </c>
      <c r="AI62" s="13">
        <v>594</v>
      </c>
      <c r="AJ62" s="13">
        <v>564</v>
      </c>
      <c r="AK62" s="13">
        <v>561</v>
      </c>
      <c r="AL62" s="13">
        <v>695</v>
      </c>
      <c r="AM62" s="99">
        <v>678</v>
      </c>
      <c r="AN62" s="110">
        <v>812</v>
      </c>
      <c r="AO62" s="110">
        <v>867</v>
      </c>
      <c r="AP62" s="110">
        <v>881</v>
      </c>
      <c r="AQ62" s="110">
        <v>932</v>
      </c>
      <c r="AR62" s="110">
        <v>1370</v>
      </c>
      <c r="AS62" s="110">
        <v>1144</v>
      </c>
      <c r="AT62" s="110">
        <v>1133</v>
      </c>
      <c r="AU62" s="110">
        <v>1083</v>
      </c>
      <c r="AV62" s="220">
        <v>1296</v>
      </c>
      <c r="AW62" s="220">
        <v>1318</v>
      </c>
      <c r="AX62" s="220">
        <v>1347</v>
      </c>
      <c r="AY62" s="220">
        <v>1501</v>
      </c>
      <c r="AZ62" s="317">
        <v>1622</v>
      </c>
      <c r="BA62" s="367">
        <v>1653</v>
      </c>
      <c r="BB62" s="367">
        <v>1608</v>
      </c>
      <c r="BC62" s="367">
        <v>1532</v>
      </c>
      <c r="BD62" s="367">
        <v>1457</v>
      </c>
      <c r="BE62" s="367">
        <v>1481</v>
      </c>
      <c r="BF62" s="367">
        <v>1484</v>
      </c>
      <c r="BG62" s="367">
        <v>1551</v>
      </c>
      <c r="BH62" s="367">
        <v>1547</v>
      </c>
      <c r="BI62" s="385">
        <f>(BG62-BF62)/BF62</f>
        <v>4.5148247978436661E-2</v>
      </c>
      <c r="BJ62" s="385">
        <f>(BH62-BG62)/BG62</f>
        <v>-2.5789813023855577E-3</v>
      </c>
      <c r="BK62" s="569">
        <f>BG62-BF62</f>
        <v>67</v>
      </c>
      <c r="BL62" s="569">
        <f>BH62-BG62</f>
        <v>-4</v>
      </c>
    </row>
    <row r="63" spans="1:64" ht="11.1" customHeight="1">
      <c r="A63" s="125" t="s">
        <v>101</v>
      </c>
      <c r="B63" s="30" t="s">
        <v>3</v>
      </c>
      <c r="C63" s="30" t="s">
        <v>3</v>
      </c>
      <c r="D63" s="30" t="s">
        <v>3</v>
      </c>
      <c r="E63" s="30" t="s">
        <v>3</v>
      </c>
      <c r="F63" s="30" t="s">
        <v>3</v>
      </c>
      <c r="G63" s="30" t="s">
        <v>3</v>
      </c>
      <c r="H63" s="28">
        <v>1</v>
      </c>
      <c r="I63" s="28">
        <v>4</v>
      </c>
      <c r="J63" s="28">
        <v>5</v>
      </c>
      <c r="K63" s="28">
        <v>4</v>
      </c>
      <c r="L63" s="27">
        <v>6</v>
      </c>
      <c r="M63" s="27">
        <v>6</v>
      </c>
      <c r="N63" s="27">
        <v>4</v>
      </c>
      <c r="O63" s="27">
        <v>24</v>
      </c>
      <c r="P63" s="27">
        <v>5</v>
      </c>
      <c r="Q63" s="27">
        <v>15</v>
      </c>
      <c r="R63" s="27">
        <v>10</v>
      </c>
      <c r="S63" s="27">
        <v>19</v>
      </c>
      <c r="T63" s="27">
        <v>18</v>
      </c>
      <c r="U63" s="27">
        <v>21</v>
      </c>
      <c r="V63" s="27">
        <v>20</v>
      </c>
      <c r="W63" s="27">
        <v>21</v>
      </c>
      <c r="X63" s="27">
        <v>21</v>
      </c>
      <c r="Y63" s="27">
        <v>23</v>
      </c>
      <c r="Z63" s="27">
        <v>27</v>
      </c>
      <c r="AA63" s="27">
        <v>33</v>
      </c>
      <c r="AB63" s="27">
        <v>37</v>
      </c>
      <c r="AC63" s="27">
        <v>75</v>
      </c>
      <c r="AD63" s="27">
        <v>81</v>
      </c>
      <c r="AE63" s="27">
        <v>93</v>
      </c>
      <c r="AF63" s="27">
        <v>98</v>
      </c>
      <c r="AG63" s="27">
        <v>109</v>
      </c>
      <c r="AH63" s="27">
        <v>120</v>
      </c>
      <c r="AI63" s="27">
        <v>133</v>
      </c>
      <c r="AJ63" s="27">
        <v>130</v>
      </c>
      <c r="AK63" s="27">
        <v>95</v>
      </c>
      <c r="AL63" s="27">
        <v>115</v>
      </c>
      <c r="AM63" s="82">
        <v>113</v>
      </c>
      <c r="AN63" s="108">
        <v>122</v>
      </c>
      <c r="AO63" s="108">
        <v>138</v>
      </c>
      <c r="AP63" s="108">
        <v>9</v>
      </c>
      <c r="AQ63" s="108">
        <v>12</v>
      </c>
      <c r="AR63" s="108">
        <v>16</v>
      </c>
      <c r="AS63" s="108">
        <v>17</v>
      </c>
      <c r="AT63" s="108">
        <v>17</v>
      </c>
      <c r="AU63" s="102" t="s">
        <v>3</v>
      </c>
      <c r="AV63" s="102" t="s">
        <v>3</v>
      </c>
      <c r="AW63" s="102" t="s">
        <v>3</v>
      </c>
      <c r="AX63" s="102" t="s">
        <v>3</v>
      </c>
      <c r="AY63" s="102" t="s">
        <v>3</v>
      </c>
      <c r="AZ63" s="102" t="s">
        <v>3</v>
      </c>
      <c r="BA63" s="365" t="s">
        <v>3</v>
      </c>
      <c r="BB63" s="365" t="s">
        <v>3</v>
      </c>
      <c r="BC63" s="365" t="s">
        <v>3</v>
      </c>
      <c r="BD63" s="315" t="s">
        <v>3</v>
      </c>
      <c r="BE63" s="315" t="s">
        <v>3</v>
      </c>
      <c r="BF63" s="315" t="s">
        <v>3</v>
      </c>
      <c r="BG63" s="315" t="s">
        <v>3</v>
      </c>
      <c r="BH63" s="315" t="s">
        <v>3</v>
      </c>
      <c r="BI63" s="419" t="s">
        <v>9</v>
      </c>
      <c r="BJ63" s="419" t="s">
        <v>9</v>
      </c>
      <c r="BK63" s="573" t="s">
        <v>9</v>
      </c>
      <c r="BL63" s="573" t="s">
        <v>9</v>
      </c>
    </row>
    <row r="64" spans="1:64" ht="11.1" customHeight="1">
      <c r="A64" s="125" t="s">
        <v>102</v>
      </c>
      <c r="B64" s="30" t="s">
        <v>3</v>
      </c>
      <c r="C64" s="30" t="s">
        <v>3</v>
      </c>
      <c r="D64" s="30" t="s">
        <v>3</v>
      </c>
      <c r="E64" s="30" t="s">
        <v>3</v>
      </c>
      <c r="F64" s="30" t="s">
        <v>3</v>
      </c>
      <c r="G64" s="30" t="s">
        <v>3</v>
      </c>
      <c r="H64" s="30" t="s">
        <v>3</v>
      </c>
      <c r="I64" s="30" t="s">
        <v>3</v>
      </c>
      <c r="J64" s="30" t="s">
        <v>3</v>
      </c>
      <c r="K64" s="30" t="s">
        <v>3</v>
      </c>
      <c r="L64" s="30" t="s">
        <v>3</v>
      </c>
      <c r="M64" s="30" t="s">
        <v>3</v>
      </c>
      <c r="N64" s="30" t="s">
        <v>3</v>
      </c>
      <c r="O64" s="30" t="s">
        <v>3</v>
      </c>
      <c r="P64" s="30" t="s">
        <v>3</v>
      </c>
      <c r="Q64" s="30" t="s">
        <v>3</v>
      </c>
      <c r="R64" s="30" t="s">
        <v>3</v>
      </c>
      <c r="S64" s="30" t="s">
        <v>3</v>
      </c>
      <c r="T64" s="30" t="s">
        <v>3</v>
      </c>
      <c r="U64" s="30" t="s">
        <v>3</v>
      </c>
      <c r="V64" s="30" t="s">
        <v>3</v>
      </c>
      <c r="W64" s="30" t="s">
        <v>3</v>
      </c>
      <c r="X64" s="30" t="s">
        <v>3</v>
      </c>
      <c r="Y64" s="30" t="s">
        <v>3</v>
      </c>
      <c r="Z64" s="30" t="s">
        <v>3</v>
      </c>
      <c r="AA64" s="30" t="s">
        <v>3</v>
      </c>
      <c r="AB64" s="30" t="s">
        <v>3</v>
      </c>
      <c r="AC64" s="30" t="s">
        <v>3</v>
      </c>
      <c r="AD64" s="30" t="s">
        <v>3</v>
      </c>
      <c r="AE64" s="30" t="s">
        <v>3</v>
      </c>
      <c r="AF64" s="30" t="s">
        <v>3</v>
      </c>
      <c r="AG64" s="30" t="s">
        <v>3</v>
      </c>
      <c r="AH64" s="30" t="s">
        <v>3</v>
      </c>
      <c r="AI64" s="30" t="s">
        <v>3</v>
      </c>
      <c r="AJ64" s="30" t="s">
        <v>3</v>
      </c>
      <c r="AK64" s="30" t="s">
        <v>3</v>
      </c>
      <c r="AL64" s="30" t="s">
        <v>3</v>
      </c>
      <c r="AM64" s="30" t="s">
        <v>3</v>
      </c>
      <c r="AN64" s="30" t="s">
        <v>3</v>
      </c>
      <c r="AO64" s="30" t="s">
        <v>3</v>
      </c>
      <c r="AP64" s="71">
        <v>163</v>
      </c>
      <c r="AQ64" s="71">
        <v>211</v>
      </c>
      <c r="AR64" s="71">
        <v>287</v>
      </c>
      <c r="AS64" s="71">
        <v>274</v>
      </c>
      <c r="AT64" s="71">
        <v>355</v>
      </c>
      <c r="AU64" s="71">
        <v>379</v>
      </c>
      <c r="AV64" s="28">
        <v>450</v>
      </c>
      <c r="AW64" s="28">
        <f>445+26+1</f>
        <v>472</v>
      </c>
      <c r="AX64" s="28">
        <v>528</v>
      </c>
      <c r="AY64" s="28">
        <v>522</v>
      </c>
      <c r="AZ64" s="28">
        <v>512</v>
      </c>
      <c r="BA64" s="368">
        <v>436</v>
      </c>
      <c r="BB64" s="368">
        <v>534</v>
      </c>
      <c r="BC64" s="368">
        <v>544</v>
      </c>
      <c r="BD64" s="515">
        <v>534</v>
      </c>
      <c r="BE64" s="515">
        <v>551</v>
      </c>
      <c r="BF64" s="515">
        <v>572</v>
      </c>
      <c r="BG64" s="515">
        <v>595</v>
      </c>
      <c r="BH64" s="515">
        <v>628</v>
      </c>
      <c r="BI64" s="385">
        <f t="shared" ref="BI64:BJ68" si="24">(BG64-BF64)/BF64</f>
        <v>4.0209790209790208E-2</v>
      </c>
      <c r="BJ64" s="385">
        <f t="shared" si="24"/>
        <v>5.5462184873949577E-2</v>
      </c>
      <c r="BK64" s="569">
        <f t="shared" ref="BK64:BL68" si="25">BG64-BF64</f>
        <v>23</v>
      </c>
      <c r="BL64" s="569">
        <f t="shared" si="25"/>
        <v>33</v>
      </c>
    </row>
    <row r="65" spans="1:65" ht="11.1" customHeight="1">
      <c r="A65" s="125" t="s">
        <v>13</v>
      </c>
      <c r="B65" s="43" t="s">
        <v>3</v>
      </c>
      <c r="C65" s="30" t="s">
        <v>3</v>
      </c>
      <c r="D65" s="30" t="s">
        <v>3</v>
      </c>
      <c r="E65" s="30" t="s">
        <v>3</v>
      </c>
      <c r="F65" s="30" t="s">
        <v>3</v>
      </c>
      <c r="G65" s="30" t="s">
        <v>3</v>
      </c>
      <c r="H65" s="28">
        <v>2</v>
      </c>
      <c r="I65" s="28">
        <v>7</v>
      </c>
      <c r="J65" s="28">
        <v>15</v>
      </c>
      <c r="K65" s="28">
        <v>16</v>
      </c>
      <c r="L65" s="13">
        <v>16</v>
      </c>
      <c r="M65" s="13">
        <v>30</v>
      </c>
      <c r="N65" s="13">
        <v>34</v>
      </c>
      <c r="O65" s="13">
        <v>51</v>
      </c>
      <c r="P65" s="13">
        <v>45</v>
      </c>
      <c r="Q65" s="13">
        <v>61</v>
      </c>
      <c r="R65" s="13">
        <v>64</v>
      </c>
      <c r="S65" s="13">
        <v>79</v>
      </c>
      <c r="T65" s="13">
        <v>87</v>
      </c>
      <c r="U65" s="13">
        <v>83</v>
      </c>
      <c r="V65" s="13">
        <v>92</v>
      </c>
      <c r="W65" s="13">
        <v>84</v>
      </c>
      <c r="X65" s="13">
        <v>62</v>
      </c>
      <c r="Y65" s="13">
        <v>44</v>
      </c>
      <c r="Z65" s="13">
        <v>43</v>
      </c>
      <c r="AA65" s="13">
        <v>44</v>
      </c>
      <c r="AB65" s="13">
        <v>44</v>
      </c>
      <c r="AC65" s="13">
        <v>40</v>
      </c>
      <c r="AD65" s="13">
        <v>46</v>
      </c>
      <c r="AE65" s="13">
        <v>43</v>
      </c>
      <c r="AF65" s="13">
        <v>52</v>
      </c>
      <c r="AG65" s="13">
        <v>52</v>
      </c>
      <c r="AH65" s="13">
        <v>60</v>
      </c>
      <c r="AI65" s="13">
        <v>62</v>
      </c>
      <c r="AJ65" s="13">
        <v>63</v>
      </c>
      <c r="AK65" s="13">
        <v>67</v>
      </c>
      <c r="AL65" s="13">
        <v>70</v>
      </c>
      <c r="AM65" s="55">
        <v>76</v>
      </c>
      <c r="AN65" s="40">
        <v>95</v>
      </c>
      <c r="AO65" s="40">
        <v>103</v>
      </c>
      <c r="AP65" s="71">
        <v>119</v>
      </c>
      <c r="AQ65" s="71">
        <v>122</v>
      </c>
      <c r="AR65" s="71">
        <v>150</v>
      </c>
      <c r="AS65" s="71">
        <v>154</v>
      </c>
      <c r="AT65" s="71">
        <v>158</v>
      </c>
      <c r="AU65" s="28">
        <v>161</v>
      </c>
      <c r="AV65" s="28">
        <v>210</v>
      </c>
      <c r="AW65" s="28">
        <f>(174+34)</f>
        <v>208</v>
      </c>
      <c r="AX65" s="28">
        <v>200</v>
      </c>
      <c r="AY65" s="28">
        <v>210</v>
      </c>
      <c r="AZ65" s="28">
        <v>228</v>
      </c>
      <c r="BA65" s="356">
        <v>214</v>
      </c>
      <c r="BB65" s="356">
        <v>302</v>
      </c>
      <c r="BC65" s="356">
        <v>274</v>
      </c>
      <c r="BD65" s="367">
        <v>240</v>
      </c>
      <c r="BE65" s="367">
        <v>257</v>
      </c>
      <c r="BF65" s="367">
        <v>240</v>
      </c>
      <c r="BG65" s="367">
        <v>244</v>
      </c>
      <c r="BH65" s="367">
        <v>267</v>
      </c>
      <c r="BI65" s="385">
        <f t="shared" si="24"/>
        <v>1.6666666666666666E-2</v>
      </c>
      <c r="BJ65" s="385">
        <f t="shared" si="24"/>
        <v>9.4262295081967207E-2</v>
      </c>
      <c r="BK65" s="569">
        <f t="shared" si="25"/>
        <v>4</v>
      </c>
      <c r="BL65" s="569">
        <f t="shared" si="25"/>
        <v>23</v>
      </c>
    </row>
    <row r="66" spans="1:65" ht="11.1" customHeight="1">
      <c r="A66" s="125" t="s">
        <v>62</v>
      </c>
      <c r="B66" s="102" t="s">
        <v>3</v>
      </c>
      <c r="C66" s="102" t="s">
        <v>3</v>
      </c>
      <c r="D66" s="102" t="s">
        <v>3</v>
      </c>
      <c r="E66" s="102" t="s">
        <v>3</v>
      </c>
      <c r="F66" s="102" t="s">
        <v>3</v>
      </c>
      <c r="G66" s="102" t="s">
        <v>3</v>
      </c>
      <c r="H66" s="102" t="s">
        <v>10</v>
      </c>
      <c r="I66" s="103">
        <v>2</v>
      </c>
      <c r="J66" s="103">
        <v>15</v>
      </c>
      <c r="K66" s="103">
        <v>22</v>
      </c>
      <c r="L66" s="27">
        <v>26</v>
      </c>
      <c r="M66" s="27">
        <v>40</v>
      </c>
      <c r="N66" s="27">
        <v>78</v>
      </c>
      <c r="O66" s="27">
        <v>97</v>
      </c>
      <c r="P66" s="27">
        <v>116</v>
      </c>
      <c r="Q66" s="27">
        <v>97</v>
      </c>
      <c r="R66" s="27">
        <v>88</v>
      </c>
      <c r="S66" s="27">
        <v>94</v>
      </c>
      <c r="T66" s="27">
        <v>94</v>
      </c>
      <c r="U66" s="27">
        <v>138</v>
      </c>
      <c r="V66" s="27">
        <v>137</v>
      </c>
      <c r="W66" s="27">
        <v>148</v>
      </c>
      <c r="X66" s="27">
        <v>109</v>
      </c>
      <c r="Y66" s="27">
        <v>111</v>
      </c>
      <c r="Z66" s="27">
        <v>108</v>
      </c>
      <c r="AA66" s="27">
        <v>113</v>
      </c>
      <c r="AB66" s="27">
        <v>112</v>
      </c>
      <c r="AC66" s="27">
        <v>134</v>
      </c>
      <c r="AD66" s="27">
        <v>124</v>
      </c>
      <c r="AE66" s="27">
        <v>84</v>
      </c>
      <c r="AF66" s="27">
        <v>148</v>
      </c>
      <c r="AG66" s="27">
        <v>153</v>
      </c>
      <c r="AH66" s="27">
        <v>160</v>
      </c>
      <c r="AI66" s="27">
        <v>159</v>
      </c>
      <c r="AJ66" s="27">
        <v>184</v>
      </c>
      <c r="AK66" s="27">
        <v>186</v>
      </c>
      <c r="AL66" s="27">
        <v>192</v>
      </c>
      <c r="AM66" s="74">
        <v>224</v>
      </c>
      <c r="AN66" s="96">
        <v>270</v>
      </c>
      <c r="AO66" s="96">
        <v>191</v>
      </c>
      <c r="AP66" s="96">
        <v>190</v>
      </c>
      <c r="AQ66" s="74">
        <v>245</v>
      </c>
      <c r="AR66" s="74">
        <v>271</v>
      </c>
      <c r="AS66" s="74">
        <v>258</v>
      </c>
      <c r="AT66" s="74">
        <v>168</v>
      </c>
      <c r="AU66" s="103">
        <v>192</v>
      </c>
      <c r="AV66" s="103">
        <v>388</v>
      </c>
      <c r="AW66" s="103">
        <v>490</v>
      </c>
      <c r="AX66" s="103">
        <v>488</v>
      </c>
      <c r="AY66" s="103">
        <v>587</v>
      </c>
      <c r="AZ66" s="103">
        <v>486</v>
      </c>
      <c r="BA66" s="357">
        <v>471</v>
      </c>
      <c r="BB66" s="357">
        <v>447</v>
      </c>
      <c r="BC66" s="357">
        <v>529</v>
      </c>
      <c r="BD66" s="515">
        <v>454</v>
      </c>
      <c r="BE66" s="515">
        <v>471</v>
      </c>
      <c r="BF66" s="515">
        <v>499</v>
      </c>
      <c r="BG66" s="515">
        <v>569</v>
      </c>
      <c r="BH66" s="515">
        <v>612</v>
      </c>
      <c r="BI66" s="385">
        <f t="shared" si="24"/>
        <v>0.14028056112224449</v>
      </c>
      <c r="BJ66" s="385">
        <f t="shared" si="24"/>
        <v>7.5571177504393669E-2</v>
      </c>
      <c r="BK66" s="569">
        <f t="shared" si="25"/>
        <v>70</v>
      </c>
      <c r="BL66" s="569">
        <f t="shared" si="25"/>
        <v>43</v>
      </c>
    </row>
    <row r="67" spans="1:65" ht="11.1" customHeight="1">
      <c r="A67" s="129" t="s">
        <v>119</v>
      </c>
      <c r="B67" s="102" t="s">
        <v>3</v>
      </c>
      <c r="C67" s="102" t="s">
        <v>3</v>
      </c>
      <c r="D67" s="102" t="s">
        <v>3</v>
      </c>
      <c r="E67" s="102" t="s">
        <v>3</v>
      </c>
      <c r="F67" s="102" t="s">
        <v>3</v>
      </c>
      <c r="G67" s="102" t="s">
        <v>3</v>
      </c>
      <c r="H67" s="102" t="s">
        <v>3</v>
      </c>
      <c r="I67" s="102" t="s">
        <v>3</v>
      </c>
      <c r="J67" s="102" t="s">
        <v>3</v>
      </c>
      <c r="K67" s="102" t="s">
        <v>3</v>
      </c>
      <c r="L67" s="102" t="s">
        <v>3</v>
      </c>
      <c r="M67" s="102" t="s">
        <v>3</v>
      </c>
      <c r="N67" s="102" t="s">
        <v>3</v>
      </c>
      <c r="O67" s="102" t="s">
        <v>3</v>
      </c>
      <c r="P67" s="102" t="s">
        <v>3</v>
      </c>
      <c r="Q67" s="102" t="s">
        <v>3</v>
      </c>
      <c r="R67" s="102" t="s">
        <v>3</v>
      </c>
      <c r="S67" s="102" t="s">
        <v>3</v>
      </c>
      <c r="T67" s="102" t="s">
        <v>3</v>
      </c>
      <c r="U67" s="102" t="s">
        <v>3</v>
      </c>
      <c r="V67" s="102" t="s">
        <v>3</v>
      </c>
      <c r="W67" s="102" t="s">
        <v>3</v>
      </c>
      <c r="X67" s="102" t="s">
        <v>3</v>
      </c>
      <c r="Y67" s="102" t="s">
        <v>3</v>
      </c>
      <c r="Z67" s="102" t="s">
        <v>3</v>
      </c>
      <c r="AA67" s="102" t="s">
        <v>3</v>
      </c>
      <c r="AB67" s="102" t="s">
        <v>3</v>
      </c>
      <c r="AC67" s="102" t="s">
        <v>3</v>
      </c>
      <c r="AD67" s="27">
        <v>5</v>
      </c>
      <c r="AE67" s="27">
        <v>10</v>
      </c>
      <c r="AF67" s="27">
        <v>9</v>
      </c>
      <c r="AG67" s="27">
        <v>9</v>
      </c>
      <c r="AH67" s="27">
        <v>12</v>
      </c>
      <c r="AI67" s="27">
        <v>14</v>
      </c>
      <c r="AJ67" s="27">
        <v>16</v>
      </c>
      <c r="AK67" s="27">
        <v>22</v>
      </c>
      <c r="AL67" s="27">
        <v>34</v>
      </c>
      <c r="AM67" s="74">
        <v>31</v>
      </c>
      <c r="AN67" s="96">
        <v>34</v>
      </c>
      <c r="AO67" s="96">
        <v>34</v>
      </c>
      <c r="AP67" s="96">
        <v>37</v>
      </c>
      <c r="AQ67" s="74">
        <v>30</v>
      </c>
      <c r="AR67" s="74">
        <v>43</v>
      </c>
      <c r="AS67" s="74">
        <v>61</v>
      </c>
      <c r="AT67" s="74">
        <v>61</v>
      </c>
      <c r="AU67" s="103">
        <v>67</v>
      </c>
      <c r="AV67" s="103">
        <v>74</v>
      </c>
      <c r="AW67" s="103">
        <v>76</v>
      </c>
      <c r="AX67" s="103">
        <v>74</v>
      </c>
      <c r="AY67" s="103">
        <v>82</v>
      </c>
      <c r="AZ67" s="103">
        <v>95</v>
      </c>
      <c r="BA67" s="357">
        <v>101</v>
      </c>
      <c r="BB67" s="357">
        <v>91</v>
      </c>
      <c r="BC67" s="357">
        <v>102</v>
      </c>
      <c r="BD67" s="370">
        <v>110</v>
      </c>
      <c r="BE67" s="370">
        <v>117</v>
      </c>
      <c r="BF67" s="370">
        <v>154</v>
      </c>
      <c r="BG67" s="370">
        <v>168</v>
      </c>
      <c r="BH67" s="370">
        <v>162</v>
      </c>
      <c r="BI67" s="385">
        <f t="shared" si="24"/>
        <v>9.0909090909090912E-2</v>
      </c>
      <c r="BJ67" s="385">
        <f t="shared" si="24"/>
        <v>-3.5714285714285712E-2</v>
      </c>
      <c r="BK67" s="569">
        <f t="shared" si="25"/>
        <v>14</v>
      </c>
      <c r="BL67" s="569">
        <f t="shared" si="25"/>
        <v>-6</v>
      </c>
    </row>
    <row r="68" spans="1:65" s="443" customFormat="1" ht="11.25" customHeight="1">
      <c r="A68" s="584" t="s">
        <v>37</v>
      </c>
      <c r="B68" s="407">
        <f t="shared" ref="B68:BD68" si="26">SUM(B62:B67)</f>
        <v>42</v>
      </c>
      <c r="C68" s="407">
        <f t="shared" si="26"/>
        <v>63</v>
      </c>
      <c r="D68" s="407">
        <f t="shared" si="26"/>
        <v>78</v>
      </c>
      <c r="E68" s="407">
        <f t="shared" si="26"/>
        <v>89</v>
      </c>
      <c r="F68" s="407">
        <f t="shared" si="26"/>
        <v>97</v>
      </c>
      <c r="G68" s="407">
        <f t="shared" si="26"/>
        <v>105</v>
      </c>
      <c r="H68" s="407">
        <f t="shared" si="26"/>
        <v>100</v>
      </c>
      <c r="I68" s="407">
        <f t="shared" si="26"/>
        <v>107</v>
      </c>
      <c r="J68" s="407">
        <f t="shared" si="26"/>
        <v>135</v>
      </c>
      <c r="K68" s="407">
        <f t="shared" si="26"/>
        <v>148</v>
      </c>
      <c r="L68" s="407">
        <f t="shared" si="26"/>
        <v>172</v>
      </c>
      <c r="M68" s="407">
        <f t="shared" si="26"/>
        <v>236</v>
      </c>
      <c r="N68" s="407">
        <f t="shared" si="26"/>
        <v>285</v>
      </c>
      <c r="O68" s="407">
        <f t="shared" si="26"/>
        <v>356</v>
      </c>
      <c r="P68" s="407">
        <f t="shared" si="26"/>
        <v>348</v>
      </c>
      <c r="Q68" s="407">
        <f t="shared" si="26"/>
        <v>362</v>
      </c>
      <c r="R68" s="407">
        <f t="shared" si="26"/>
        <v>374</v>
      </c>
      <c r="S68" s="407">
        <f t="shared" si="26"/>
        <v>412</v>
      </c>
      <c r="T68" s="407">
        <f t="shared" si="26"/>
        <v>431</v>
      </c>
      <c r="U68" s="407">
        <f t="shared" si="26"/>
        <v>492</v>
      </c>
      <c r="V68" s="407">
        <f t="shared" si="26"/>
        <v>532</v>
      </c>
      <c r="W68" s="407">
        <f t="shared" si="26"/>
        <v>550</v>
      </c>
      <c r="X68" s="407">
        <f t="shared" si="26"/>
        <v>457</v>
      </c>
      <c r="Y68" s="407">
        <f t="shared" si="26"/>
        <v>514</v>
      </c>
      <c r="Z68" s="407">
        <f t="shared" si="26"/>
        <v>474</v>
      </c>
      <c r="AA68" s="407">
        <f t="shared" si="26"/>
        <v>417</v>
      </c>
      <c r="AB68" s="407">
        <f t="shared" si="26"/>
        <v>497</v>
      </c>
      <c r="AC68" s="407">
        <f t="shared" si="26"/>
        <v>583</v>
      </c>
      <c r="AD68" s="407">
        <f t="shared" si="26"/>
        <v>634</v>
      </c>
      <c r="AE68" s="407">
        <f t="shared" si="26"/>
        <v>646</v>
      </c>
      <c r="AF68" s="407">
        <f t="shared" si="26"/>
        <v>784</v>
      </c>
      <c r="AG68" s="407">
        <f t="shared" si="26"/>
        <v>846</v>
      </c>
      <c r="AH68" s="407">
        <f t="shared" si="26"/>
        <v>936</v>
      </c>
      <c r="AI68" s="407">
        <f t="shared" si="26"/>
        <v>962</v>
      </c>
      <c r="AJ68" s="407">
        <f t="shared" si="26"/>
        <v>957</v>
      </c>
      <c r="AK68" s="407">
        <f t="shared" si="26"/>
        <v>931</v>
      </c>
      <c r="AL68" s="407">
        <f t="shared" si="26"/>
        <v>1106</v>
      </c>
      <c r="AM68" s="407">
        <f t="shared" si="26"/>
        <v>1122</v>
      </c>
      <c r="AN68" s="407">
        <f t="shared" si="26"/>
        <v>1333</v>
      </c>
      <c r="AO68" s="407">
        <f t="shared" si="26"/>
        <v>1333</v>
      </c>
      <c r="AP68" s="407">
        <f t="shared" si="26"/>
        <v>1399</v>
      </c>
      <c r="AQ68" s="407">
        <f t="shared" si="26"/>
        <v>1552</v>
      </c>
      <c r="AR68" s="407">
        <f t="shared" si="26"/>
        <v>2137</v>
      </c>
      <c r="AS68" s="407">
        <f t="shared" si="26"/>
        <v>1908</v>
      </c>
      <c r="AT68" s="407">
        <f t="shared" si="26"/>
        <v>1892</v>
      </c>
      <c r="AU68" s="407">
        <f t="shared" si="26"/>
        <v>1882</v>
      </c>
      <c r="AV68" s="407">
        <f t="shared" si="26"/>
        <v>2418</v>
      </c>
      <c r="AW68" s="407">
        <f t="shared" si="26"/>
        <v>2564</v>
      </c>
      <c r="AX68" s="407">
        <f t="shared" si="26"/>
        <v>2637</v>
      </c>
      <c r="AY68" s="407">
        <f t="shared" si="26"/>
        <v>2902</v>
      </c>
      <c r="AZ68" s="407">
        <f t="shared" si="26"/>
        <v>2943</v>
      </c>
      <c r="BA68" s="407">
        <f t="shared" si="26"/>
        <v>2875</v>
      </c>
      <c r="BB68" s="407">
        <f t="shared" si="26"/>
        <v>2982</v>
      </c>
      <c r="BC68" s="407">
        <f t="shared" si="26"/>
        <v>2981</v>
      </c>
      <c r="BD68" s="407">
        <f t="shared" si="26"/>
        <v>2795</v>
      </c>
      <c r="BE68" s="407">
        <f>SUM(BE62:BE67)</f>
        <v>2877</v>
      </c>
      <c r="BF68" s="407">
        <f t="shared" ref="BF68:BH68" si="27">SUM(BF62:BF67)</f>
        <v>2949</v>
      </c>
      <c r="BG68" s="407">
        <f t="shared" si="27"/>
        <v>3127</v>
      </c>
      <c r="BH68" s="407">
        <f t="shared" si="27"/>
        <v>3216</v>
      </c>
      <c r="BI68" s="415">
        <f t="shared" si="24"/>
        <v>6.0359443879281112E-2</v>
      </c>
      <c r="BJ68" s="415">
        <f t="shared" si="24"/>
        <v>2.8461784457946913E-2</v>
      </c>
      <c r="BK68" s="572">
        <f t="shared" si="25"/>
        <v>178</v>
      </c>
      <c r="BL68" s="572">
        <f t="shared" si="25"/>
        <v>89</v>
      </c>
    </row>
    <row r="69" spans="1:65" ht="12.75" customHeight="1">
      <c r="A69" s="125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183"/>
      <c r="BG69" s="183"/>
      <c r="BH69" s="183"/>
      <c r="BI69" s="385"/>
      <c r="BJ69" s="385"/>
      <c r="BK69" s="571"/>
      <c r="BL69" s="571"/>
    </row>
    <row r="70" spans="1:65" ht="11.1" customHeight="1">
      <c r="A70" s="129" t="s">
        <v>163</v>
      </c>
      <c r="B70" s="43" t="s">
        <v>3</v>
      </c>
      <c r="C70" s="43" t="s">
        <v>3</v>
      </c>
      <c r="D70" s="43" t="s">
        <v>3</v>
      </c>
      <c r="E70" s="43" t="s">
        <v>3</v>
      </c>
      <c r="F70" s="43" t="s">
        <v>3</v>
      </c>
      <c r="G70" s="43" t="s">
        <v>3</v>
      </c>
      <c r="H70" s="43" t="s">
        <v>3</v>
      </c>
      <c r="I70" s="43" t="s">
        <v>3</v>
      </c>
      <c r="J70" s="43" t="s">
        <v>3</v>
      </c>
      <c r="K70" s="43" t="s">
        <v>3</v>
      </c>
      <c r="L70" s="43" t="s">
        <v>3</v>
      </c>
      <c r="M70" s="43" t="s">
        <v>3</v>
      </c>
      <c r="N70" s="43" t="s">
        <v>3</v>
      </c>
      <c r="O70" s="43" t="s">
        <v>3</v>
      </c>
      <c r="P70" s="43" t="s">
        <v>3</v>
      </c>
      <c r="Q70" s="43" t="s">
        <v>3</v>
      </c>
      <c r="R70" s="43" t="s">
        <v>3</v>
      </c>
      <c r="S70" s="43" t="s">
        <v>3</v>
      </c>
      <c r="T70" s="43" t="s">
        <v>3</v>
      </c>
      <c r="U70" s="43" t="s">
        <v>3</v>
      </c>
      <c r="V70" s="43" t="s">
        <v>3</v>
      </c>
      <c r="W70" s="43" t="s">
        <v>3</v>
      </c>
      <c r="X70" s="43" t="s">
        <v>3</v>
      </c>
      <c r="Y70" s="43" t="s">
        <v>3</v>
      </c>
      <c r="Z70" s="43" t="s">
        <v>3</v>
      </c>
      <c r="AA70" s="43" t="s">
        <v>3</v>
      </c>
      <c r="AB70" s="43" t="s">
        <v>3</v>
      </c>
      <c r="AC70" s="43" t="s">
        <v>3</v>
      </c>
      <c r="AD70" s="43" t="s">
        <v>3</v>
      </c>
      <c r="AE70" s="43" t="s">
        <v>3</v>
      </c>
      <c r="AF70" s="43" t="s">
        <v>3</v>
      </c>
      <c r="AG70" s="43" t="s">
        <v>3</v>
      </c>
      <c r="AH70" s="43" t="s">
        <v>3</v>
      </c>
      <c r="AI70" s="43" t="s">
        <v>3</v>
      </c>
      <c r="AJ70" s="43" t="s">
        <v>3</v>
      </c>
      <c r="AK70" s="43" t="s">
        <v>3</v>
      </c>
      <c r="AL70" s="13">
        <v>14</v>
      </c>
      <c r="AM70" s="71">
        <v>18</v>
      </c>
      <c r="AN70" s="6">
        <v>16</v>
      </c>
      <c r="AO70" s="6">
        <v>15</v>
      </c>
      <c r="AP70" s="6">
        <v>17</v>
      </c>
      <c r="AQ70" s="6">
        <v>16</v>
      </c>
      <c r="AR70" s="6">
        <v>16</v>
      </c>
      <c r="AS70" s="6">
        <v>23</v>
      </c>
      <c r="AT70" s="6">
        <v>20</v>
      </c>
      <c r="AU70" s="161">
        <v>21</v>
      </c>
      <c r="AV70" s="161">
        <v>19</v>
      </c>
      <c r="AW70" s="161">
        <v>26</v>
      </c>
      <c r="AX70" s="161">
        <v>29</v>
      </c>
      <c r="AY70" s="161">
        <v>28</v>
      </c>
      <c r="AZ70" s="161">
        <v>30</v>
      </c>
      <c r="BA70" s="356">
        <v>29</v>
      </c>
      <c r="BB70" s="356">
        <v>29</v>
      </c>
      <c r="BC70" s="356">
        <v>29</v>
      </c>
      <c r="BD70" s="367">
        <v>29</v>
      </c>
      <c r="BE70" s="367">
        <v>31</v>
      </c>
      <c r="BF70" s="367">
        <v>29</v>
      </c>
      <c r="BG70" s="367">
        <v>31</v>
      </c>
      <c r="BH70" s="367">
        <v>36</v>
      </c>
      <c r="BI70" s="385">
        <f>(BG70-BF70)/BF70</f>
        <v>6.8965517241379309E-2</v>
      </c>
      <c r="BJ70" s="385">
        <f>(BH70-BG70)/BG70</f>
        <v>0.16129032258064516</v>
      </c>
      <c r="BK70" s="569">
        <f>BG70-BF70</f>
        <v>2</v>
      </c>
      <c r="BL70" s="569">
        <f>BH70-BG70</f>
        <v>5</v>
      </c>
    </row>
    <row r="71" spans="1:65" ht="6" customHeight="1">
      <c r="A71" s="125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6"/>
      <c r="AM71" s="26"/>
      <c r="AN71" s="26"/>
      <c r="AO71" s="96"/>
      <c r="AP71" s="96"/>
      <c r="AQ71" s="96"/>
      <c r="AR71" s="96"/>
      <c r="AS71" s="96"/>
      <c r="AT71" s="96"/>
      <c r="AU71" s="96"/>
      <c r="AV71" s="180"/>
      <c r="AW71" s="180"/>
      <c r="AX71" s="180"/>
      <c r="AY71" s="180"/>
      <c r="AZ71" s="302"/>
      <c r="BA71" s="357"/>
      <c r="BB71" s="357"/>
      <c r="BC71" s="357"/>
      <c r="BD71" s="545"/>
      <c r="BE71" s="545"/>
      <c r="BF71" s="545"/>
      <c r="BG71" s="545"/>
      <c r="BH71" s="545"/>
      <c r="BI71" s="385"/>
      <c r="BJ71" s="385"/>
      <c r="BK71" s="571"/>
      <c r="BL71" s="571"/>
    </row>
    <row r="72" spans="1:65" ht="11.1" customHeight="1">
      <c r="A72" s="125" t="s">
        <v>21</v>
      </c>
      <c r="B72" s="47" t="s">
        <v>3</v>
      </c>
      <c r="C72" s="47" t="s">
        <v>3</v>
      </c>
      <c r="D72" s="47" t="s">
        <v>3</v>
      </c>
      <c r="E72" s="47" t="s">
        <v>3</v>
      </c>
      <c r="F72" s="47" t="s">
        <v>3</v>
      </c>
      <c r="G72" s="47" t="s">
        <v>3</v>
      </c>
      <c r="H72" s="47" t="s">
        <v>3</v>
      </c>
      <c r="I72" s="47" t="s">
        <v>3</v>
      </c>
      <c r="J72" s="47" t="s">
        <v>3</v>
      </c>
      <c r="K72" s="47" t="s">
        <v>3</v>
      </c>
      <c r="L72" s="34">
        <v>5</v>
      </c>
      <c r="M72" s="34">
        <v>6</v>
      </c>
      <c r="N72" s="34">
        <v>7</v>
      </c>
      <c r="O72" s="34">
        <v>7</v>
      </c>
      <c r="P72" s="34">
        <v>8</v>
      </c>
      <c r="Q72" s="34">
        <v>9</v>
      </c>
      <c r="R72" s="34">
        <v>11</v>
      </c>
      <c r="S72" s="34">
        <v>13</v>
      </c>
      <c r="T72" s="34">
        <v>16</v>
      </c>
      <c r="U72" s="34">
        <v>15</v>
      </c>
      <c r="V72" s="34">
        <v>18</v>
      </c>
      <c r="W72" s="34">
        <v>18</v>
      </c>
      <c r="X72" s="34">
        <v>17</v>
      </c>
      <c r="Y72" s="34">
        <v>19</v>
      </c>
      <c r="Z72" s="34">
        <v>21</v>
      </c>
      <c r="AA72" s="34">
        <v>22</v>
      </c>
      <c r="AB72" s="34">
        <v>21</v>
      </c>
      <c r="AC72" s="34">
        <v>23</v>
      </c>
      <c r="AD72" s="34">
        <v>24</v>
      </c>
      <c r="AE72" s="34">
        <v>24</v>
      </c>
      <c r="AF72" s="34">
        <v>26</v>
      </c>
      <c r="AG72" s="34">
        <v>29</v>
      </c>
      <c r="AH72" s="34">
        <v>36</v>
      </c>
      <c r="AI72" s="34">
        <v>37</v>
      </c>
      <c r="AJ72" s="34">
        <v>37</v>
      </c>
      <c r="AK72" s="34">
        <v>37</v>
      </c>
      <c r="AL72" s="34">
        <v>38</v>
      </c>
      <c r="AM72" s="44">
        <v>45</v>
      </c>
      <c r="AN72" s="44">
        <v>59</v>
      </c>
      <c r="AO72" s="44">
        <v>60</v>
      </c>
      <c r="AP72" s="44">
        <v>77</v>
      </c>
      <c r="AQ72" s="44">
        <v>66</v>
      </c>
      <c r="AR72" s="44">
        <v>65</v>
      </c>
      <c r="AS72" s="44">
        <v>71</v>
      </c>
      <c r="AT72" s="44">
        <v>74</v>
      </c>
      <c r="AU72" s="213">
        <v>77</v>
      </c>
      <c r="AV72" s="213">
        <v>74</v>
      </c>
      <c r="AW72" s="104">
        <v>78</v>
      </c>
      <c r="AX72" s="277">
        <v>83</v>
      </c>
      <c r="AY72" s="277">
        <v>90</v>
      </c>
      <c r="AZ72" s="277">
        <v>89</v>
      </c>
      <c r="BA72" s="370">
        <v>98</v>
      </c>
      <c r="BB72" s="370">
        <v>99</v>
      </c>
      <c r="BC72" s="370">
        <v>103</v>
      </c>
      <c r="BD72" s="370">
        <v>99</v>
      </c>
      <c r="BE72" s="370">
        <v>101</v>
      </c>
      <c r="BF72" s="370">
        <v>106</v>
      </c>
      <c r="BG72" s="370">
        <v>103</v>
      </c>
      <c r="BH72" s="370">
        <v>106</v>
      </c>
      <c r="BI72" s="385">
        <f>(BG72-BF72)/BF72</f>
        <v>-2.8301886792452831E-2</v>
      </c>
      <c r="BJ72" s="385">
        <f>(BH72-BG72)/BG72</f>
        <v>2.9126213592233011E-2</v>
      </c>
      <c r="BK72" s="569">
        <f>BG72-BF72</f>
        <v>-3</v>
      </c>
      <c r="BL72" s="569">
        <f>BH72-BG72</f>
        <v>3</v>
      </c>
    </row>
    <row r="73" spans="1:65" s="182" customFormat="1" ht="12.75" customHeight="1" thickBot="1">
      <c r="A73" s="404" t="s">
        <v>61</v>
      </c>
      <c r="B73" s="408">
        <f t="shared" ref="B73:AG73" si="28">SUM(B68:B72)</f>
        <v>42</v>
      </c>
      <c r="C73" s="408">
        <f t="shared" si="28"/>
        <v>63</v>
      </c>
      <c r="D73" s="408">
        <f t="shared" si="28"/>
        <v>78</v>
      </c>
      <c r="E73" s="408">
        <f t="shared" si="28"/>
        <v>89</v>
      </c>
      <c r="F73" s="408">
        <f t="shared" si="28"/>
        <v>97</v>
      </c>
      <c r="G73" s="408">
        <f t="shared" si="28"/>
        <v>105</v>
      </c>
      <c r="H73" s="408">
        <f t="shared" si="28"/>
        <v>100</v>
      </c>
      <c r="I73" s="408">
        <f t="shared" si="28"/>
        <v>107</v>
      </c>
      <c r="J73" s="408">
        <f t="shared" si="28"/>
        <v>135</v>
      </c>
      <c r="K73" s="408">
        <f t="shared" si="28"/>
        <v>148</v>
      </c>
      <c r="L73" s="408">
        <f t="shared" si="28"/>
        <v>177</v>
      </c>
      <c r="M73" s="408">
        <f t="shared" si="28"/>
        <v>242</v>
      </c>
      <c r="N73" s="408">
        <f t="shared" si="28"/>
        <v>292</v>
      </c>
      <c r="O73" s="408">
        <f t="shared" si="28"/>
        <v>363</v>
      </c>
      <c r="P73" s="408">
        <f t="shared" si="28"/>
        <v>356</v>
      </c>
      <c r="Q73" s="408">
        <f t="shared" si="28"/>
        <v>371</v>
      </c>
      <c r="R73" s="408">
        <f t="shared" si="28"/>
        <v>385</v>
      </c>
      <c r="S73" s="408">
        <f t="shared" si="28"/>
        <v>425</v>
      </c>
      <c r="T73" s="408">
        <f t="shared" si="28"/>
        <v>447</v>
      </c>
      <c r="U73" s="408">
        <f t="shared" si="28"/>
        <v>507</v>
      </c>
      <c r="V73" s="408">
        <f t="shared" si="28"/>
        <v>550</v>
      </c>
      <c r="W73" s="408">
        <f t="shared" si="28"/>
        <v>568</v>
      </c>
      <c r="X73" s="408">
        <f t="shared" si="28"/>
        <v>474</v>
      </c>
      <c r="Y73" s="408">
        <f t="shared" si="28"/>
        <v>533</v>
      </c>
      <c r="Z73" s="408">
        <f t="shared" si="28"/>
        <v>495</v>
      </c>
      <c r="AA73" s="408">
        <f t="shared" si="28"/>
        <v>439</v>
      </c>
      <c r="AB73" s="408">
        <f t="shared" si="28"/>
        <v>518</v>
      </c>
      <c r="AC73" s="408">
        <f t="shared" si="28"/>
        <v>606</v>
      </c>
      <c r="AD73" s="408">
        <f t="shared" si="28"/>
        <v>658</v>
      </c>
      <c r="AE73" s="408">
        <f t="shared" si="28"/>
        <v>670</v>
      </c>
      <c r="AF73" s="408">
        <f t="shared" si="28"/>
        <v>810</v>
      </c>
      <c r="AG73" s="408">
        <f t="shared" si="28"/>
        <v>875</v>
      </c>
      <c r="AH73" s="408">
        <f t="shared" ref="AH73:AZ73" si="29">SUM(AH68:AH72)</f>
        <v>972</v>
      </c>
      <c r="AI73" s="408">
        <f t="shared" si="29"/>
        <v>999</v>
      </c>
      <c r="AJ73" s="408">
        <f t="shared" si="29"/>
        <v>994</v>
      </c>
      <c r="AK73" s="408">
        <f t="shared" si="29"/>
        <v>968</v>
      </c>
      <c r="AL73" s="408">
        <f t="shared" si="29"/>
        <v>1158</v>
      </c>
      <c r="AM73" s="408">
        <f t="shared" si="29"/>
        <v>1185</v>
      </c>
      <c r="AN73" s="408">
        <f t="shared" si="29"/>
        <v>1408</v>
      </c>
      <c r="AO73" s="408">
        <f t="shared" si="29"/>
        <v>1408</v>
      </c>
      <c r="AP73" s="408">
        <f t="shared" si="29"/>
        <v>1493</v>
      </c>
      <c r="AQ73" s="408">
        <f t="shared" si="29"/>
        <v>1634</v>
      </c>
      <c r="AR73" s="408">
        <f t="shared" si="29"/>
        <v>2218</v>
      </c>
      <c r="AS73" s="408">
        <f t="shared" si="29"/>
        <v>2002</v>
      </c>
      <c r="AT73" s="408">
        <f t="shared" si="29"/>
        <v>1986</v>
      </c>
      <c r="AU73" s="408">
        <f t="shared" si="29"/>
        <v>1980</v>
      </c>
      <c r="AV73" s="411">
        <f t="shared" si="29"/>
        <v>2511</v>
      </c>
      <c r="AW73" s="411">
        <f t="shared" si="29"/>
        <v>2668</v>
      </c>
      <c r="AX73" s="411">
        <f t="shared" si="29"/>
        <v>2749</v>
      </c>
      <c r="AY73" s="412">
        <f t="shared" si="29"/>
        <v>3020</v>
      </c>
      <c r="AZ73" s="412">
        <f t="shared" si="29"/>
        <v>3062</v>
      </c>
      <c r="BA73" s="413">
        <f t="shared" ref="BA73:BG73" si="30">SUM(BA68:BA72)</f>
        <v>3002</v>
      </c>
      <c r="BB73" s="413">
        <f t="shared" si="30"/>
        <v>3110</v>
      </c>
      <c r="BC73" s="413">
        <f t="shared" si="30"/>
        <v>3113</v>
      </c>
      <c r="BD73" s="413">
        <f t="shared" si="30"/>
        <v>2923</v>
      </c>
      <c r="BE73" s="413">
        <f t="shared" si="30"/>
        <v>3009</v>
      </c>
      <c r="BF73" s="413">
        <f t="shared" si="30"/>
        <v>3084</v>
      </c>
      <c r="BG73" s="413">
        <f t="shared" si="30"/>
        <v>3261</v>
      </c>
      <c r="BH73" s="413">
        <f t="shared" ref="BH73" si="31">SUM(BH68:BH72)</f>
        <v>3358</v>
      </c>
      <c r="BI73" s="422">
        <f>(BG73-BF73)/BF73</f>
        <v>5.7392996108949414E-2</v>
      </c>
      <c r="BJ73" s="422">
        <f>(BH73-BG73)/BG73</f>
        <v>2.9745476847592763E-2</v>
      </c>
      <c r="BK73" s="574">
        <f>BG73-BF73</f>
        <v>177</v>
      </c>
      <c r="BL73" s="574">
        <f>BH73-BG73</f>
        <v>97</v>
      </c>
    </row>
    <row r="74" spans="1:65" ht="11.1" customHeight="1">
      <c r="A74" s="125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183"/>
      <c r="BG74" s="183"/>
      <c r="BH74" s="183"/>
      <c r="BI74" s="329"/>
      <c r="BJ74" s="329"/>
      <c r="BK74" s="570"/>
      <c r="BL74" s="570"/>
    </row>
    <row r="75" spans="1:65">
      <c r="A75" s="167" t="s">
        <v>83</v>
      </c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183"/>
      <c r="BG75" s="183"/>
      <c r="BH75" s="183"/>
      <c r="BI75" s="329"/>
      <c r="BJ75" s="329"/>
      <c r="BK75" s="570"/>
      <c r="BL75" s="570"/>
    </row>
    <row r="76" spans="1:65" ht="6" customHeight="1">
      <c r="A76" s="125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12"/>
      <c r="AJ76" s="12"/>
      <c r="AK76" s="12"/>
      <c r="AL76" s="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00"/>
      <c r="AX76" s="200"/>
      <c r="AY76" s="200"/>
      <c r="AZ76" s="305"/>
      <c r="BA76" s="320"/>
      <c r="BB76" s="327"/>
      <c r="BC76" s="305"/>
      <c r="BD76" s="538"/>
      <c r="BE76" s="538"/>
      <c r="BF76" s="538"/>
      <c r="BG76" s="538"/>
      <c r="BH76" s="538"/>
      <c r="BI76" s="329"/>
      <c r="BJ76" s="329"/>
      <c r="BK76" s="570"/>
      <c r="BL76" s="570"/>
    </row>
    <row r="77" spans="1:65" ht="11.1" customHeight="1">
      <c r="A77" s="126" t="s">
        <v>39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12"/>
      <c r="AJ77" s="12"/>
      <c r="AK77" s="12"/>
      <c r="AL77" s="6"/>
      <c r="AM77" s="26"/>
      <c r="AN77" s="26"/>
      <c r="AO77" s="96"/>
      <c r="AP77" s="96"/>
      <c r="AQ77" s="96"/>
      <c r="AR77" s="96"/>
      <c r="AS77" s="96"/>
      <c r="AT77" s="96"/>
      <c r="AU77" s="96"/>
      <c r="AV77" s="180"/>
      <c r="AW77" s="180"/>
      <c r="AX77" s="180"/>
      <c r="AY77" s="180"/>
      <c r="AZ77" s="302"/>
      <c r="BA77" s="319"/>
      <c r="BB77" s="325"/>
      <c r="BC77" s="302"/>
      <c r="BD77" s="547"/>
      <c r="BE77" s="547"/>
      <c r="BF77" s="547"/>
      <c r="BG77" s="547"/>
      <c r="BH77" s="547"/>
      <c r="BI77" s="329"/>
      <c r="BJ77" s="329"/>
      <c r="BK77" s="570"/>
      <c r="BL77" s="570"/>
    </row>
    <row r="78" spans="1:65" ht="11.1" customHeight="1">
      <c r="A78" s="129" t="s">
        <v>120</v>
      </c>
      <c r="B78" s="28">
        <v>14</v>
      </c>
      <c r="C78" s="28">
        <v>15</v>
      </c>
      <c r="D78" s="28">
        <v>21</v>
      </c>
      <c r="E78" s="28">
        <v>24</v>
      </c>
      <c r="F78" s="28">
        <v>24</v>
      </c>
      <c r="G78" s="28">
        <v>24</v>
      </c>
      <c r="H78" s="28">
        <v>25</v>
      </c>
      <c r="I78" s="28">
        <v>27</v>
      </c>
      <c r="J78" s="28">
        <v>28</v>
      </c>
      <c r="K78" s="28">
        <v>32</v>
      </c>
      <c r="L78" s="8">
        <v>36</v>
      </c>
      <c r="M78" s="8">
        <v>30</v>
      </c>
      <c r="N78" s="8">
        <v>34</v>
      </c>
      <c r="O78" s="8">
        <v>41</v>
      </c>
      <c r="P78" s="8">
        <v>38</v>
      </c>
      <c r="Q78" s="8">
        <v>48</v>
      </c>
      <c r="R78" s="8">
        <v>57</v>
      </c>
      <c r="S78" s="8">
        <v>65</v>
      </c>
      <c r="T78" s="8">
        <v>71</v>
      </c>
      <c r="U78" s="8">
        <v>110</v>
      </c>
      <c r="V78" s="8">
        <v>123</v>
      </c>
      <c r="W78" s="8">
        <v>127</v>
      </c>
      <c r="X78" s="8">
        <v>115</v>
      </c>
      <c r="Y78" s="8">
        <v>118</v>
      </c>
      <c r="Z78" s="8">
        <v>118</v>
      </c>
      <c r="AA78" s="8">
        <v>120</v>
      </c>
      <c r="AB78" s="8">
        <v>127</v>
      </c>
      <c r="AC78" s="8">
        <v>127</v>
      </c>
      <c r="AD78" s="8">
        <v>136</v>
      </c>
      <c r="AE78" s="8">
        <v>148</v>
      </c>
      <c r="AF78" s="8">
        <v>156</v>
      </c>
      <c r="AG78" s="8">
        <v>150</v>
      </c>
      <c r="AH78" s="8">
        <v>158</v>
      </c>
      <c r="AI78" s="9">
        <v>156</v>
      </c>
      <c r="AJ78" s="9">
        <v>161</v>
      </c>
      <c r="AK78" s="9">
        <v>167</v>
      </c>
      <c r="AL78" s="9">
        <v>159</v>
      </c>
      <c r="AM78" s="36">
        <v>179</v>
      </c>
      <c r="AN78" s="36">
        <v>197</v>
      </c>
      <c r="AO78" s="59">
        <v>203</v>
      </c>
      <c r="AP78" s="59">
        <v>227</v>
      </c>
      <c r="AQ78" s="59">
        <v>262</v>
      </c>
      <c r="AR78" s="59">
        <v>247</v>
      </c>
      <c r="AS78" s="59">
        <v>248</v>
      </c>
      <c r="AT78" s="59">
        <v>254</v>
      </c>
      <c r="AU78" s="59">
        <v>248</v>
      </c>
      <c r="AV78" s="240">
        <v>258</v>
      </c>
      <c r="AW78" s="241">
        <v>261.24829157175395</v>
      </c>
      <c r="AX78" s="276">
        <v>271.72702027993603</v>
      </c>
      <c r="AY78" s="276">
        <v>293</v>
      </c>
      <c r="AZ78" s="276">
        <v>370</v>
      </c>
      <c r="BA78" s="369">
        <v>307</v>
      </c>
      <c r="BB78" s="314" t="s">
        <v>3</v>
      </c>
      <c r="BC78" s="314" t="s">
        <v>3</v>
      </c>
      <c r="BD78" s="379" t="s">
        <v>3</v>
      </c>
      <c r="BE78" s="379" t="s">
        <v>3</v>
      </c>
      <c r="BF78" s="379" t="s">
        <v>3</v>
      </c>
      <c r="BG78" s="379" t="s">
        <v>3</v>
      </c>
      <c r="BH78" s="379" t="s">
        <v>3</v>
      </c>
      <c r="BI78" s="419" t="s">
        <v>9</v>
      </c>
      <c r="BJ78" s="419" t="s">
        <v>9</v>
      </c>
      <c r="BK78" s="573" t="s">
        <v>9</v>
      </c>
      <c r="BL78" s="573" t="s">
        <v>9</v>
      </c>
    </row>
    <row r="79" spans="1:65" ht="11.1" customHeight="1">
      <c r="A79" s="295" t="s">
        <v>108</v>
      </c>
      <c r="B79" s="30" t="s">
        <v>3</v>
      </c>
      <c r="C79" s="30" t="s">
        <v>3</v>
      </c>
      <c r="D79" s="30" t="s">
        <v>3</v>
      </c>
      <c r="E79" s="30" t="s">
        <v>3</v>
      </c>
      <c r="F79" s="30" t="s">
        <v>3</v>
      </c>
      <c r="G79" s="30" t="s">
        <v>3</v>
      </c>
      <c r="H79" s="30" t="s">
        <v>3</v>
      </c>
      <c r="I79" s="30" t="s">
        <v>3</v>
      </c>
      <c r="J79" s="30" t="s">
        <v>3</v>
      </c>
      <c r="K79" s="30" t="s">
        <v>3</v>
      </c>
      <c r="L79" s="30" t="s">
        <v>3</v>
      </c>
      <c r="M79" s="30" t="s">
        <v>3</v>
      </c>
      <c r="N79" s="30" t="s">
        <v>3</v>
      </c>
      <c r="O79" s="30" t="s">
        <v>3</v>
      </c>
      <c r="P79" s="30" t="s">
        <v>3</v>
      </c>
      <c r="Q79" s="30" t="s">
        <v>3</v>
      </c>
      <c r="R79" s="30" t="s">
        <v>3</v>
      </c>
      <c r="S79" s="30" t="s">
        <v>3</v>
      </c>
      <c r="T79" s="30" t="s">
        <v>3</v>
      </c>
      <c r="U79" s="30" t="s">
        <v>3</v>
      </c>
      <c r="V79" s="30" t="s">
        <v>3</v>
      </c>
      <c r="W79" s="30" t="s">
        <v>3</v>
      </c>
      <c r="X79" s="30" t="s">
        <v>3</v>
      </c>
      <c r="Y79" s="30" t="s">
        <v>3</v>
      </c>
      <c r="Z79" s="30" t="s">
        <v>3</v>
      </c>
      <c r="AA79" s="30" t="s">
        <v>3</v>
      </c>
      <c r="AB79" s="30" t="s">
        <v>3</v>
      </c>
      <c r="AC79" s="30" t="s">
        <v>3</v>
      </c>
      <c r="AD79" s="30" t="s">
        <v>3</v>
      </c>
      <c r="AE79" s="30" t="s">
        <v>3</v>
      </c>
      <c r="AF79" s="30" t="s">
        <v>3</v>
      </c>
      <c r="AG79" s="30" t="s">
        <v>3</v>
      </c>
      <c r="AH79" s="30" t="s">
        <v>3</v>
      </c>
      <c r="AI79" s="30" t="s">
        <v>3</v>
      </c>
      <c r="AJ79" s="30" t="s">
        <v>3</v>
      </c>
      <c r="AK79" s="30" t="s">
        <v>3</v>
      </c>
      <c r="AL79" s="30" t="s">
        <v>3</v>
      </c>
      <c r="AM79" s="30" t="s">
        <v>3</v>
      </c>
      <c r="AN79" s="30" t="s">
        <v>3</v>
      </c>
      <c r="AO79" s="30" t="s">
        <v>3</v>
      </c>
      <c r="AP79" s="30" t="s">
        <v>3</v>
      </c>
      <c r="AQ79" s="30" t="s">
        <v>3</v>
      </c>
      <c r="AR79" s="30" t="s">
        <v>3</v>
      </c>
      <c r="AS79" s="30" t="s">
        <v>3</v>
      </c>
      <c r="AT79" s="30" t="s">
        <v>3</v>
      </c>
      <c r="AU79" s="30" t="s">
        <v>3</v>
      </c>
      <c r="AV79" s="30" t="s">
        <v>3</v>
      </c>
      <c r="AW79" s="30" t="s">
        <v>3</v>
      </c>
      <c r="AX79" s="30" t="s">
        <v>3</v>
      </c>
      <c r="AY79" s="30" t="s">
        <v>3</v>
      </c>
      <c r="AZ79" s="30" t="s">
        <v>3</v>
      </c>
      <c r="BA79" s="314" t="s">
        <v>3</v>
      </c>
      <c r="BB79" s="345">
        <v>239</v>
      </c>
      <c r="BC79" s="345">
        <v>283</v>
      </c>
      <c r="BD79" s="314">
        <f>219+53</f>
        <v>272</v>
      </c>
      <c r="BE79" s="314">
        <f>224+54</f>
        <v>278</v>
      </c>
      <c r="BF79" s="314">
        <v>226</v>
      </c>
      <c r="BG79" s="314">
        <v>238</v>
      </c>
      <c r="BH79" s="314">
        <v>234</v>
      </c>
      <c r="BI79" s="385">
        <f>(BG79-BF79)/BF79</f>
        <v>5.3097345132743362E-2</v>
      </c>
      <c r="BJ79" s="385">
        <f>(BH79-BG79)/BG79</f>
        <v>-1.680672268907563E-2</v>
      </c>
      <c r="BK79" s="569">
        <f>BG79-BF79</f>
        <v>12</v>
      </c>
      <c r="BL79" s="569">
        <f>BH79-BG79</f>
        <v>-4</v>
      </c>
      <c r="BM79" s="331"/>
    </row>
    <row r="80" spans="1:65" ht="11.1" customHeight="1">
      <c r="A80" s="129" t="s">
        <v>107</v>
      </c>
      <c r="B80" s="30" t="s">
        <v>3</v>
      </c>
      <c r="C80" s="30" t="s">
        <v>3</v>
      </c>
      <c r="D80" s="30" t="s">
        <v>3</v>
      </c>
      <c r="E80" s="30" t="s">
        <v>3</v>
      </c>
      <c r="F80" s="30" t="s">
        <v>3</v>
      </c>
      <c r="G80" s="30" t="s">
        <v>3</v>
      </c>
      <c r="H80" s="30" t="s">
        <v>3</v>
      </c>
      <c r="I80" s="30" t="s">
        <v>3</v>
      </c>
      <c r="J80" s="30" t="s">
        <v>3</v>
      </c>
      <c r="K80" s="30" t="s">
        <v>3</v>
      </c>
      <c r="L80" s="30" t="s">
        <v>3</v>
      </c>
      <c r="M80" s="30" t="s">
        <v>3</v>
      </c>
      <c r="N80" s="30" t="s">
        <v>3</v>
      </c>
      <c r="O80" s="30" t="s">
        <v>3</v>
      </c>
      <c r="P80" s="30" t="s">
        <v>3</v>
      </c>
      <c r="Q80" s="30" t="s">
        <v>3</v>
      </c>
      <c r="R80" s="30" t="s">
        <v>3</v>
      </c>
      <c r="S80" s="30" t="s">
        <v>3</v>
      </c>
      <c r="T80" s="30" t="s">
        <v>3</v>
      </c>
      <c r="U80" s="30" t="s">
        <v>3</v>
      </c>
      <c r="V80" s="30" t="s">
        <v>3</v>
      </c>
      <c r="W80" s="30" t="s">
        <v>3</v>
      </c>
      <c r="X80" s="30" t="s">
        <v>3</v>
      </c>
      <c r="Y80" s="30" t="s">
        <v>3</v>
      </c>
      <c r="Z80" s="30" t="s">
        <v>3</v>
      </c>
      <c r="AA80" s="30" t="s">
        <v>3</v>
      </c>
      <c r="AB80" s="30" t="s">
        <v>3</v>
      </c>
      <c r="AC80" s="30" t="s">
        <v>3</v>
      </c>
      <c r="AD80" s="30" t="s">
        <v>3</v>
      </c>
      <c r="AE80" s="30" t="s">
        <v>3</v>
      </c>
      <c r="AF80" s="30" t="s">
        <v>3</v>
      </c>
      <c r="AG80" s="30" t="s">
        <v>3</v>
      </c>
      <c r="AH80" s="30" t="s">
        <v>3</v>
      </c>
      <c r="AI80" s="30" t="s">
        <v>3</v>
      </c>
      <c r="AJ80" s="30" t="s">
        <v>3</v>
      </c>
      <c r="AK80" s="30" t="s">
        <v>3</v>
      </c>
      <c r="AL80" s="30" t="s">
        <v>3</v>
      </c>
      <c r="AM80" s="30" t="s">
        <v>3</v>
      </c>
      <c r="AN80" s="30" t="s">
        <v>3</v>
      </c>
      <c r="AO80" s="30" t="s">
        <v>3</v>
      </c>
      <c r="AP80" s="30" t="s">
        <v>3</v>
      </c>
      <c r="AQ80" s="30" t="s">
        <v>3</v>
      </c>
      <c r="AR80" s="30" t="s">
        <v>3</v>
      </c>
      <c r="AS80" s="30" t="s">
        <v>3</v>
      </c>
      <c r="AT80" s="30" t="s">
        <v>3</v>
      </c>
      <c r="AU80" s="30" t="s">
        <v>3</v>
      </c>
      <c r="AV80" s="30" t="s">
        <v>3</v>
      </c>
      <c r="AW80" s="30" t="s">
        <v>3</v>
      </c>
      <c r="AX80" s="30" t="s">
        <v>3</v>
      </c>
      <c r="AY80" s="30" t="s">
        <v>3</v>
      </c>
      <c r="AZ80" s="30" t="s">
        <v>3</v>
      </c>
      <c r="BA80" s="314" t="s">
        <v>3</v>
      </c>
      <c r="BB80" s="314">
        <v>93</v>
      </c>
      <c r="BC80" s="314">
        <v>106</v>
      </c>
      <c r="BD80" s="314">
        <v>98</v>
      </c>
      <c r="BE80" s="314">
        <v>106</v>
      </c>
      <c r="BF80" s="314">
        <v>101</v>
      </c>
      <c r="BG80" s="314">
        <v>103</v>
      </c>
      <c r="BH80" s="314">
        <v>90</v>
      </c>
      <c r="BI80" s="385">
        <f>(BG80-BF80)/BF80</f>
        <v>1.9801980198019802E-2</v>
      </c>
      <c r="BJ80" s="385">
        <f>(BH80-BG80)/BG80</f>
        <v>-0.12621359223300971</v>
      </c>
      <c r="BK80" s="569">
        <f>BG80-BF80</f>
        <v>2</v>
      </c>
      <c r="BL80" s="569">
        <f>BH80-BG80</f>
        <v>-13</v>
      </c>
    </row>
    <row r="81" spans="1:64" ht="11.1" customHeight="1">
      <c r="A81" s="129" t="s">
        <v>106</v>
      </c>
      <c r="B81" s="30" t="s">
        <v>3</v>
      </c>
      <c r="C81" s="30" t="s">
        <v>3</v>
      </c>
      <c r="D81" s="30" t="s">
        <v>3</v>
      </c>
      <c r="E81" s="30">
        <v>7</v>
      </c>
      <c r="F81" s="30">
        <v>8</v>
      </c>
      <c r="G81" s="30">
        <v>8</v>
      </c>
      <c r="H81" s="30">
        <v>8</v>
      </c>
      <c r="I81" s="30">
        <v>8</v>
      </c>
      <c r="J81" s="30">
        <v>8</v>
      </c>
      <c r="K81" s="30">
        <v>9</v>
      </c>
      <c r="L81" s="13">
        <v>12</v>
      </c>
      <c r="M81" s="13">
        <v>17</v>
      </c>
      <c r="N81" s="40">
        <v>22</v>
      </c>
      <c r="O81" s="13">
        <v>25</v>
      </c>
      <c r="P81" s="13">
        <v>24</v>
      </c>
      <c r="Q81" s="13">
        <v>29</v>
      </c>
      <c r="R81" s="13">
        <v>36</v>
      </c>
      <c r="S81" s="13">
        <v>50</v>
      </c>
      <c r="T81" s="13">
        <v>48</v>
      </c>
      <c r="U81" s="13">
        <v>51</v>
      </c>
      <c r="V81" s="13">
        <v>55</v>
      </c>
      <c r="W81" s="13">
        <v>57</v>
      </c>
      <c r="X81" s="13">
        <v>52</v>
      </c>
      <c r="Y81" s="13">
        <v>54</v>
      </c>
      <c r="Z81" s="13">
        <v>59</v>
      </c>
      <c r="AA81" s="13">
        <v>57</v>
      </c>
      <c r="AB81" s="13">
        <v>54</v>
      </c>
      <c r="AC81" s="13">
        <v>61</v>
      </c>
      <c r="AD81" s="13">
        <v>66</v>
      </c>
      <c r="AE81" s="13">
        <v>76</v>
      </c>
      <c r="AF81" s="13">
        <v>79</v>
      </c>
      <c r="AG81" s="13">
        <v>31</v>
      </c>
      <c r="AH81" s="13">
        <v>31</v>
      </c>
      <c r="AI81" s="13">
        <v>27</v>
      </c>
      <c r="AJ81" s="13">
        <v>27</v>
      </c>
      <c r="AK81" s="13">
        <v>31</v>
      </c>
      <c r="AL81" s="13">
        <v>2</v>
      </c>
      <c r="AM81" s="16" t="s">
        <v>3</v>
      </c>
      <c r="AN81" s="48" t="s">
        <v>3</v>
      </c>
      <c r="AO81" s="48" t="s">
        <v>3</v>
      </c>
      <c r="AP81" s="48" t="s">
        <v>3</v>
      </c>
      <c r="AQ81" s="48" t="s">
        <v>3</v>
      </c>
      <c r="AR81" s="48" t="s">
        <v>3</v>
      </c>
      <c r="AS81" s="48" t="s">
        <v>3</v>
      </c>
      <c r="AT81" s="48" t="s">
        <v>3</v>
      </c>
      <c r="AU81" s="48" t="s">
        <v>3</v>
      </c>
      <c r="AV81" s="162" t="s">
        <v>3</v>
      </c>
      <c r="AW81" s="162" t="s">
        <v>3</v>
      </c>
      <c r="AX81" s="162" t="s">
        <v>3</v>
      </c>
      <c r="AY81" s="162" t="s">
        <v>3</v>
      </c>
      <c r="AZ81" s="162" t="s">
        <v>3</v>
      </c>
      <c r="BA81" s="292" t="s">
        <v>3</v>
      </c>
      <c r="BB81" s="292" t="s">
        <v>3</v>
      </c>
      <c r="BC81" s="292" t="s">
        <v>3</v>
      </c>
      <c r="BD81" s="379" t="s">
        <v>3</v>
      </c>
      <c r="BE81" s="379" t="s">
        <v>3</v>
      </c>
      <c r="BF81" s="379" t="s">
        <v>3</v>
      </c>
      <c r="BG81" s="379" t="s">
        <v>3</v>
      </c>
      <c r="BH81" s="379" t="s">
        <v>3</v>
      </c>
      <c r="BI81" s="419" t="s">
        <v>9</v>
      </c>
      <c r="BJ81" s="419" t="s">
        <v>9</v>
      </c>
      <c r="BK81" s="571"/>
      <c r="BL81" s="571"/>
    </row>
    <row r="82" spans="1:64" ht="11.1" customHeight="1">
      <c r="A82" s="129" t="s">
        <v>109</v>
      </c>
      <c r="B82" s="30" t="s">
        <v>3</v>
      </c>
      <c r="C82" s="30" t="s">
        <v>3</v>
      </c>
      <c r="D82" s="30" t="s">
        <v>3</v>
      </c>
      <c r="E82" s="30" t="s">
        <v>3</v>
      </c>
      <c r="F82" s="30" t="s">
        <v>3</v>
      </c>
      <c r="G82" s="30" t="s">
        <v>3</v>
      </c>
      <c r="H82" s="30" t="s">
        <v>3</v>
      </c>
      <c r="I82" s="30" t="s">
        <v>3</v>
      </c>
      <c r="J82" s="30" t="s">
        <v>3</v>
      </c>
      <c r="K82" s="30" t="s">
        <v>3</v>
      </c>
      <c r="L82" s="30" t="s">
        <v>3</v>
      </c>
      <c r="M82" s="30" t="s">
        <v>3</v>
      </c>
      <c r="N82" s="30" t="s">
        <v>3</v>
      </c>
      <c r="O82" s="30" t="s">
        <v>3</v>
      </c>
      <c r="P82" s="30" t="s">
        <v>3</v>
      </c>
      <c r="Q82" s="30" t="s">
        <v>3</v>
      </c>
      <c r="R82" s="30" t="s">
        <v>3</v>
      </c>
      <c r="S82" s="30" t="s">
        <v>3</v>
      </c>
      <c r="T82" s="30" t="s">
        <v>3</v>
      </c>
      <c r="U82" s="30" t="s">
        <v>3</v>
      </c>
      <c r="V82" s="30" t="s">
        <v>3</v>
      </c>
      <c r="W82" s="30" t="s">
        <v>3</v>
      </c>
      <c r="X82" s="30" t="s">
        <v>3</v>
      </c>
      <c r="Y82" s="30" t="s">
        <v>3</v>
      </c>
      <c r="Z82" s="30" t="s">
        <v>3</v>
      </c>
      <c r="AA82" s="30" t="s">
        <v>3</v>
      </c>
      <c r="AB82" s="30" t="s">
        <v>3</v>
      </c>
      <c r="AC82" s="30" t="s">
        <v>3</v>
      </c>
      <c r="AD82" s="30" t="s">
        <v>3</v>
      </c>
      <c r="AE82" s="30" t="s">
        <v>3</v>
      </c>
      <c r="AF82" s="30" t="s">
        <v>3</v>
      </c>
      <c r="AG82" s="13">
        <v>57</v>
      </c>
      <c r="AH82" s="13">
        <v>64</v>
      </c>
      <c r="AI82" s="13">
        <v>51</v>
      </c>
      <c r="AJ82" s="13">
        <v>64</v>
      </c>
      <c r="AK82" s="13">
        <v>65</v>
      </c>
      <c r="AL82" s="13">
        <v>63</v>
      </c>
      <c r="AM82" s="26">
        <v>73</v>
      </c>
      <c r="AN82" s="26">
        <v>80</v>
      </c>
      <c r="AO82" s="26">
        <v>92</v>
      </c>
      <c r="AP82" s="26">
        <v>99</v>
      </c>
      <c r="AQ82" s="26">
        <v>109</v>
      </c>
      <c r="AR82" s="26">
        <v>116</v>
      </c>
      <c r="AS82" s="26">
        <v>130</v>
      </c>
      <c r="AT82" s="26">
        <v>133</v>
      </c>
      <c r="AU82" s="26">
        <v>131</v>
      </c>
      <c r="AV82" s="161">
        <v>148</v>
      </c>
      <c r="AW82" s="161">
        <v>147</v>
      </c>
      <c r="AX82" s="161">
        <v>154</v>
      </c>
      <c r="AY82" s="161">
        <v>162</v>
      </c>
      <c r="AZ82" s="161">
        <v>170</v>
      </c>
      <c r="BA82" s="320">
        <v>168</v>
      </c>
      <c r="BB82" s="320">
        <v>170</v>
      </c>
      <c r="BC82" s="320">
        <v>184</v>
      </c>
      <c r="BD82" s="374">
        <v>183</v>
      </c>
      <c r="BE82" s="374">
        <v>191</v>
      </c>
      <c r="BF82" s="374">
        <v>190</v>
      </c>
      <c r="BG82" s="374">
        <v>176</v>
      </c>
      <c r="BH82" s="374">
        <v>196</v>
      </c>
      <c r="BI82" s="385">
        <f t="shared" ref="BI82:BJ85" si="32">(BG82-BF82)/BF82</f>
        <v>-7.3684210526315783E-2</v>
      </c>
      <c r="BJ82" s="385">
        <f t="shared" si="32"/>
        <v>0.11363636363636363</v>
      </c>
      <c r="BK82" s="569">
        <f t="shared" ref="BK82:BL85" si="33">BG82-BF82</f>
        <v>-14</v>
      </c>
      <c r="BL82" s="569">
        <f t="shared" si="33"/>
        <v>20</v>
      </c>
    </row>
    <row r="83" spans="1:64" ht="11.1" customHeight="1">
      <c r="A83" s="129" t="s">
        <v>110</v>
      </c>
      <c r="B83" s="28">
        <v>7</v>
      </c>
      <c r="C83" s="28">
        <v>7</v>
      </c>
      <c r="D83" s="33">
        <v>7</v>
      </c>
      <c r="E83" s="28">
        <v>8</v>
      </c>
      <c r="F83" s="28">
        <v>9</v>
      </c>
      <c r="G83" s="28">
        <v>9</v>
      </c>
      <c r="H83" s="28">
        <v>10</v>
      </c>
      <c r="I83" s="28">
        <v>10</v>
      </c>
      <c r="J83" s="28">
        <v>10</v>
      </c>
      <c r="K83" s="28">
        <v>11</v>
      </c>
      <c r="L83" s="13">
        <v>17</v>
      </c>
      <c r="M83" s="13">
        <v>41</v>
      </c>
      <c r="N83" s="40">
        <v>72</v>
      </c>
      <c r="O83" s="13">
        <v>56</v>
      </c>
      <c r="P83" s="13">
        <v>59</v>
      </c>
      <c r="Q83" s="13">
        <v>68</v>
      </c>
      <c r="R83" s="13">
        <v>84</v>
      </c>
      <c r="S83" s="13">
        <v>98</v>
      </c>
      <c r="T83" s="13">
        <v>109</v>
      </c>
      <c r="U83" s="13">
        <v>131</v>
      </c>
      <c r="V83" s="13">
        <v>142</v>
      </c>
      <c r="W83" s="13">
        <v>152</v>
      </c>
      <c r="X83" s="13">
        <v>139</v>
      </c>
      <c r="Y83" s="13">
        <v>151</v>
      </c>
      <c r="Z83" s="13">
        <v>150</v>
      </c>
      <c r="AA83" s="13">
        <v>151</v>
      </c>
      <c r="AB83" s="13">
        <v>147</v>
      </c>
      <c r="AC83" s="13">
        <v>147</v>
      </c>
      <c r="AD83" s="13">
        <v>164</v>
      </c>
      <c r="AE83" s="13">
        <v>163</v>
      </c>
      <c r="AF83" s="13">
        <v>171</v>
      </c>
      <c r="AG83" s="13">
        <v>163</v>
      </c>
      <c r="AH83" s="13">
        <v>185</v>
      </c>
      <c r="AI83" s="13">
        <v>188</v>
      </c>
      <c r="AJ83" s="13">
        <v>199</v>
      </c>
      <c r="AK83" s="13">
        <v>191</v>
      </c>
      <c r="AL83" s="13">
        <v>189</v>
      </c>
      <c r="AM83" s="26">
        <v>203</v>
      </c>
      <c r="AN83" s="26">
        <v>203</v>
      </c>
      <c r="AO83" s="55">
        <v>213</v>
      </c>
      <c r="AP83" s="55">
        <v>225</v>
      </c>
      <c r="AQ83" s="55">
        <v>262</v>
      </c>
      <c r="AR83" s="55">
        <v>254</v>
      </c>
      <c r="AS83" s="55">
        <v>266</v>
      </c>
      <c r="AT83" s="55">
        <v>268</v>
      </c>
      <c r="AU83" s="55">
        <v>282</v>
      </c>
      <c r="AV83" s="33">
        <v>290</v>
      </c>
      <c r="AW83" s="33">
        <v>299</v>
      </c>
      <c r="AX83" s="278">
        <v>346</v>
      </c>
      <c r="AY83" s="278">
        <v>349</v>
      </c>
      <c r="AZ83" s="278">
        <v>355</v>
      </c>
      <c r="BA83" s="367">
        <v>356</v>
      </c>
      <c r="BB83" s="367">
        <v>371</v>
      </c>
      <c r="BC83" s="367">
        <v>363</v>
      </c>
      <c r="BD83" s="367">
        <v>358</v>
      </c>
      <c r="BE83" s="367">
        <v>387</v>
      </c>
      <c r="BF83" s="367">
        <v>384</v>
      </c>
      <c r="BG83" s="367">
        <v>376</v>
      </c>
      <c r="BH83" s="367">
        <v>378</v>
      </c>
      <c r="BI83" s="385">
        <f t="shared" si="32"/>
        <v>-2.0833333333333332E-2</v>
      </c>
      <c r="BJ83" s="385">
        <f t="shared" si="32"/>
        <v>5.3191489361702126E-3</v>
      </c>
      <c r="BK83" s="569">
        <f t="shared" si="33"/>
        <v>-8</v>
      </c>
      <c r="BL83" s="569">
        <f t="shared" si="33"/>
        <v>2</v>
      </c>
    </row>
    <row r="84" spans="1:64" ht="11.1" customHeight="1">
      <c r="A84" s="125" t="s">
        <v>16</v>
      </c>
      <c r="B84" s="47" t="s">
        <v>3</v>
      </c>
      <c r="C84" s="47" t="s">
        <v>3</v>
      </c>
      <c r="D84" s="47" t="s">
        <v>3</v>
      </c>
      <c r="E84" s="47" t="s">
        <v>3</v>
      </c>
      <c r="F84" s="47" t="s">
        <v>3</v>
      </c>
      <c r="G84" s="47" t="s">
        <v>3</v>
      </c>
      <c r="H84" s="47" t="s">
        <v>3</v>
      </c>
      <c r="I84" s="47" t="s">
        <v>3</v>
      </c>
      <c r="J84" s="47" t="s">
        <v>3</v>
      </c>
      <c r="K84" s="47" t="s">
        <v>3</v>
      </c>
      <c r="L84" s="47" t="s">
        <v>3</v>
      </c>
      <c r="M84" s="47" t="s">
        <v>3</v>
      </c>
      <c r="N84" s="47" t="s">
        <v>3</v>
      </c>
      <c r="O84" s="15">
        <v>37</v>
      </c>
      <c r="P84" s="15">
        <v>69</v>
      </c>
      <c r="Q84" s="15">
        <v>91</v>
      </c>
      <c r="R84" s="15">
        <v>109</v>
      </c>
      <c r="S84" s="15">
        <v>127</v>
      </c>
      <c r="T84" s="15">
        <v>148</v>
      </c>
      <c r="U84" s="15">
        <v>157</v>
      </c>
      <c r="V84" s="15">
        <v>180</v>
      </c>
      <c r="W84" s="15">
        <v>199</v>
      </c>
      <c r="X84" s="15">
        <v>196</v>
      </c>
      <c r="Y84" s="15">
        <v>200</v>
      </c>
      <c r="Z84" s="15">
        <v>207</v>
      </c>
      <c r="AA84" s="15">
        <v>210</v>
      </c>
      <c r="AB84" s="15">
        <v>212</v>
      </c>
      <c r="AC84" s="15">
        <v>215</v>
      </c>
      <c r="AD84" s="15">
        <v>226</v>
      </c>
      <c r="AE84" s="15">
        <v>240</v>
      </c>
      <c r="AF84" s="15">
        <v>275</v>
      </c>
      <c r="AG84" s="15">
        <v>264</v>
      </c>
      <c r="AH84" s="15">
        <v>306</v>
      </c>
      <c r="AI84" s="15">
        <v>282</v>
      </c>
      <c r="AJ84" s="15">
        <v>296</v>
      </c>
      <c r="AK84" s="15">
        <v>295</v>
      </c>
      <c r="AL84" s="15">
        <v>290</v>
      </c>
      <c r="AM84" s="42">
        <v>322</v>
      </c>
      <c r="AN84" s="42">
        <v>341</v>
      </c>
      <c r="AO84" s="44">
        <v>351</v>
      </c>
      <c r="AP84" s="44">
        <v>370</v>
      </c>
      <c r="AQ84" s="44">
        <v>413</v>
      </c>
      <c r="AR84" s="44">
        <v>437</v>
      </c>
      <c r="AS84" s="44">
        <v>465</v>
      </c>
      <c r="AT84" s="44">
        <v>470</v>
      </c>
      <c r="AU84" s="44">
        <v>456</v>
      </c>
      <c r="AV84" s="213">
        <v>473</v>
      </c>
      <c r="AW84" s="104">
        <v>473</v>
      </c>
      <c r="AX84" s="277">
        <v>494</v>
      </c>
      <c r="AY84" s="277">
        <v>507</v>
      </c>
      <c r="AZ84" s="277">
        <v>533</v>
      </c>
      <c r="BA84" s="370">
        <v>565</v>
      </c>
      <c r="BB84" s="370">
        <v>558</v>
      </c>
      <c r="BC84" s="370">
        <v>557</v>
      </c>
      <c r="BD84" s="370">
        <v>553</v>
      </c>
      <c r="BE84" s="370">
        <v>558</v>
      </c>
      <c r="BF84" s="370">
        <v>561</v>
      </c>
      <c r="BG84" s="370">
        <v>542</v>
      </c>
      <c r="BH84" s="370">
        <v>546</v>
      </c>
      <c r="BI84" s="385">
        <f t="shared" si="32"/>
        <v>-3.3868092691622102E-2</v>
      </c>
      <c r="BJ84" s="385">
        <f t="shared" si="32"/>
        <v>7.3800738007380072E-3</v>
      </c>
      <c r="BK84" s="569">
        <f t="shared" si="33"/>
        <v>-19</v>
      </c>
      <c r="BL84" s="569">
        <f t="shared" si="33"/>
        <v>4</v>
      </c>
    </row>
    <row r="85" spans="1:64" ht="11.1" customHeight="1">
      <c r="A85" s="128" t="s">
        <v>32</v>
      </c>
      <c r="B85" s="137">
        <f>SUM(B78:B84)</f>
        <v>21</v>
      </c>
      <c r="C85" s="137">
        <f t="shared" ref="C85:Q85" si="34">SUM(C78:C84)</f>
        <v>22</v>
      </c>
      <c r="D85" s="137">
        <f t="shared" si="34"/>
        <v>28</v>
      </c>
      <c r="E85" s="137">
        <f>SUM(E78:E84)</f>
        <v>39</v>
      </c>
      <c r="F85" s="137">
        <f t="shared" si="34"/>
        <v>41</v>
      </c>
      <c r="G85" s="137">
        <f t="shared" si="34"/>
        <v>41</v>
      </c>
      <c r="H85" s="137">
        <f t="shared" si="34"/>
        <v>43</v>
      </c>
      <c r="I85" s="137">
        <f t="shared" si="34"/>
        <v>45</v>
      </c>
      <c r="J85" s="137">
        <f t="shared" si="34"/>
        <v>46</v>
      </c>
      <c r="K85" s="137">
        <f t="shared" si="34"/>
        <v>52</v>
      </c>
      <c r="L85" s="137">
        <f t="shared" si="34"/>
        <v>65</v>
      </c>
      <c r="M85" s="137">
        <f t="shared" si="34"/>
        <v>88</v>
      </c>
      <c r="N85" s="137">
        <f t="shared" si="34"/>
        <v>128</v>
      </c>
      <c r="O85" s="137">
        <f t="shared" si="34"/>
        <v>159</v>
      </c>
      <c r="P85" s="137">
        <f t="shared" si="34"/>
        <v>190</v>
      </c>
      <c r="Q85" s="137">
        <f t="shared" si="34"/>
        <v>236</v>
      </c>
      <c r="R85" s="137">
        <f>SUM(R78:R84)</f>
        <v>286</v>
      </c>
      <c r="S85" s="137">
        <f>SUM(S78:S84)</f>
        <v>340</v>
      </c>
      <c r="T85" s="137">
        <f>SUM(T78:T84)</f>
        <v>376</v>
      </c>
      <c r="U85" s="137">
        <f>SUM(U78:U84)</f>
        <v>449</v>
      </c>
      <c r="V85" s="137">
        <f t="shared" ref="V85:AE85" si="35">SUM(V78:V84)</f>
        <v>500</v>
      </c>
      <c r="W85" s="137">
        <f t="shared" si="35"/>
        <v>535</v>
      </c>
      <c r="X85" s="137">
        <f t="shared" si="35"/>
        <v>502</v>
      </c>
      <c r="Y85" s="137">
        <f t="shared" si="35"/>
        <v>523</v>
      </c>
      <c r="Z85" s="137">
        <f t="shared" si="35"/>
        <v>534</v>
      </c>
      <c r="AA85" s="137">
        <f t="shared" si="35"/>
        <v>538</v>
      </c>
      <c r="AB85" s="137">
        <f t="shared" si="35"/>
        <v>540</v>
      </c>
      <c r="AC85" s="137">
        <f t="shared" si="35"/>
        <v>550</v>
      </c>
      <c r="AD85" s="137">
        <f t="shared" si="35"/>
        <v>592</v>
      </c>
      <c r="AE85" s="137">
        <f t="shared" si="35"/>
        <v>627</v>
      </c>
      <c r="AF85" s="137">
        <f t="shared" ref="AF85:AN85" si="36">SUM(AF78:AF84)</f>
        <v>681</v>
      </c>
      <c r="AG85" s="137">
        <f t="shared" si="36"/>
        <v>665</v>
      </c>
      <c r="AH85" s="137">
        <f t="shared" si="36"/>
        <v>744</v>
      </c>
      <c r="AI85" s="137">
        <f t="shared" si="36"/>
        <v>704</v>
      </c>
      <c r="AJ85" s="137">
        <f t="shared" si="36"/>
        <v>747</v>
      </c>
      <c r="AK85" s="137">
        <f t="shared" si="36"/>
        <v>749</v>
      </c>
      <c r="AL85" s="137">
        <f t="shared" si="36"/>
        <v>703</v>
      </c>
      <c r="AM85" s="137">
        <f t="shared" si="36"/>
        <v>777</v>
      </c>
      <c r="AN85" s="137">
        <f t="shared" si="36"/>
        <v>821</v>
      </c>
      <c r="AO85" s="137">
        <f t="shared" ref="AO85:BA85" si="37">SUM(AO78:AO84)</f>
        <v>859</v>
      </c>
      <c r="AP85" s="137">
        <f t="shared" si="37"/>
        <v>921</v>
      </c>
      <c r="AQ85" s="137">
        <f t="shared" si="37"/>
        <v>1046</v>
      </c>
      <c r="AR85" s="137">
        <f t="shared" si="37"/>
        <v>1054</v>
      </c>
      <c r="AS85" s="137">
        <f t="shared" si="37"/>
        <v>1109</v>
      </c>
      <c r="AT85" s="137">
        <f t="shared" si="37"/>
        <v>1125</v>
      </c>
      <c r="AU85" s="137">
        <f>SUM(AU78:AU84)</f>
        <v>1117</v>
      </c>
      <c r="AV85" s="208">
        <f>SUM(AV78:AV84)</f>
        <v>1169</v>
      </c>
      <c r="AW85" s="208">
        <f>SUM(AW78:AW84)</f>
        <v>1180.248291571754</v>
      </c>
      <c r="AX85" s="208">
        <f>SUM(AX78:AX84)</f>
        <v>1265.7270202799359</v>
      </c>
      <c r="AY85" s="208">
        <f t="shared" si="37"/>
        <v>1311</v>
      </c>
      <c r="AZ85" s="208">
        <f t="shared" si="37"/>
        <v>1428</v>
      </c>
      <c r="BA85" s="358">
        <f t="shared" si="37"/>
        <v>1396</v>
      </c>
      <c r="BB85" s="358">
        <f t="shared" ref="BB85:BG85" si="38">SUM(BB78:BB84)</f>
        <v>1431</v>
      </c>
      <c r="BC85" s="358">
        <f t="shared" si="38"/>
        <v>1493</v>
      </c>
      <c r="BD85" s="407">
        <f t="shared" si="38"/>
        <v>1464</v>
      </c>
      <c r="BE85" s="407">
        <f t="shared" si="38"/>
        <v>1520</v>
      </c>
      <c r="BF85" s="407">
        <f t="shared" si="38"/>
        <v>1462</v>
      </c>
      <c r="BG85" s="407">
        <f t="shared" si="38"/>
        <v>1435</v>
      </c>
      <c r="BH85" s="407">
        <f t="shared" ref="BH85" si="39">SUM(BH78:BH84)</f>
        <v>1444</v>
      </c>
      <c r="BI85" s="415">
        <f t="shared" si="32"/>
        <v>-1.8467852257181942E-2</v>
      </c>
      <c r="BJ85" s="415">
        <f t="shared" si="32"/>
        <v>6.2717770034843206E-3</v>
      </c>
      <c r="BK85" s="572">
        <f t="shared" si="33"/>
        <v>-27</v>
      </c>
      <c r="BL85" s="572">
        <f t="shared" si="33"/>
        <v>9</v>
      </c>
    </row>
    <row r="86" spans="1:64" ht="6" customHeight="1">
      <c r="A86" s="125"/>
      <c r="G86" s="9"/>
      <c r="I86" s="9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6"/>
      <c r="AM86" s="26"/>
      <c r="AN86" s="26"/>
      <c r="AO86" s="26"/>
      <c r="AP86" s="26"/>
      <c r="AQ86" s="26"/>
      <c r="AR86" s="26"/>
      <c r="AS86" s="26"/>
      <c r="AT86" s="26"/>
      <c r="AU86" s="26"/>
      <c r="AV86" s="161"/>
      <c r="AW86" s="161"/>
      <c r="AX86" s="161"/>
      <c r="AY86" s="161"/>
      <c r="AZ86" s="305"/>
      <c r="BA86" s="320"/>
      <c r="BB86" s="327"/>
      <c r="BC86" s="305"/>
      <c r="BD86" s="538"/>
      <c r="BE86" s="538"/>
      <c r="BF86" s="538"/>
      <c r="BG86" s="538"/>
      <c r="BH86" s="538"/>
      <c r="BI86" s="329"/>
      <c r="BJ86" s="329"/>
      <c r="BK86" s="570"/>
      <c r="BL86" s="570"/>
    </row>
    <row r="87" spans="1:64" ht="11.25" customHeight="1">
      <c r="A87" s="129" t="s">
        <v>103</v>
      </c>
      <c r="B87" s="538"/>
      <c r="C87" s="538"/>
      <c r="D87" s="538"/>
      <c r="E87" s="538"/>
      <c r="F87" s="538"/>
      <c r="G87" s="538"/>
      <c r="H87" s="538"/>
      <c r="I87" s="538"/>
      <c r="J87" s="538"/>
      <c r="K87" s="538"/>
      <c r="L87" s="538"/>
      <c r="M87" s="538"/>
      <c r="N87" s="538"/>
      <c r="O87" s="538"/>
      <c r="P87" s="538"/>
      <c r="Q87" s="538"/>
      <c r="R87" s="538"/>
      <c r="S87" s="538"/>
      <c r="T87" s="538"/>
      <c r="U87" s="538"/>
      <c r="V87" s="538"/>
      <c r="W87" s="538"/>
      <c r="X87" s="538"/>
      <c r="Y87" s="538"/>
      <c r="Z87" s="538"/>
      <c r="AA87" s="538"/>
      <c r="AB87" s="538"/>
      <c r="AC87" s="538"/>
      <c r="AD87" s="538"/>
      <c r="AE87" s="538"/>
      <c r="AF87" s="538"/>
      <c r="AG87" s="538"/>
      <c r="AH87" s="538"/>
      <c r="AI87" s="538"/>
      <c r="AJ87" s="538"/>
      <c r="AK87" s="538"/>
      <c r="AL87" s="538"/>
      <c r="AM87" s="538"/>
      <c r="AN87" s="538"/>
      <c r="AO87" s="538"/>
      <c r="AP87" s="538"/>
      <c r="AQ87" s="538"/>
      <c r="AR87" s="538"/>
      <c r="AS87" s="538"/>
      <c r="AT87" s="538"/>
      <c r="AU87" s="538"/>
      <c r="AV87" s="538"/>
      <c r="AW87" s="538"/>
      <c r="AX87" s="538"/>
      <c r="AY87" s="538"/>
      <c r="AZ87" s="538"/>
      <c r="BA87" s="538"/>
      <c r="BB87" s="538"/>
      <c r="BC87" s="538"/>
      <c r="BD87" s="538"/>
      <c r="BE87" s="538"/>
      <c r="BF87" s="538"/>
      <c r="BG87" s="538"/>
      <c r="BH87" s="538"/>
      <c r="BI87" s="329"/>
      <c r="BJ87" s="329"/>
      <c r="BK87" s="570"/>
      <c r="BL87" s="570"/>
    </row>
    <row r="88" spans="1:64" ht="11.25" customHeight="1">
      <c r="A88" s="129" t="s">
        <v>104</v>
      </c>
      <c r="B88" s="46" t="s">
        <v>3</v>
      </c>
      <c r="C88" s="46" t="s">
        <v>3</v>
      </c>
      <c r="D88" s="46" t="s">
        <v>3</v>
      </c>
      <c r="E88" s="46" t="s">
        <v>3</v>
      </c>
      <c r="F88" s="46" t="s">
        <v>3</v>
      </c>
      <c r="G88" s="46" t="s">
        <v>3</v>
      </c>
      <c r="H88" s="46" t="s">
        <v>3</v>
      </c>
      <c r="I88" s="46" t="s">
        <v>3</v>
      </c>
      <c r="J88" s="46" t="s">
        <v>3</v>
      </c>
      <c r="K88" s="46" t="s">
        <v>3</v>
      </c>
      <c r="L88" s="46" t="s">
        <v>3</v>
      </c>
      <c r="M88" s="46" t="s">
        <v>3</v>
      </c>
      <c r="N88" s="46" t="s">
        <v>3</v>
      </c>
      <c r="O88" s="46" t="s">
        <v>3</v>
      </c>
      <c r="P88" s="46" t="s">
        <v>3</v>
      </c>
      <c r="Q88" s="46" t="s">
        <v>3</v>
      </c>
      <c r="R88" s="46" t="s">
        <v>3</v>
      </c>
      <c r="S88" s="46" t="s">
        <v>3</v>
      </c>
      <c r="T88" s="46" t="s">
        <v>3</v>
      </c>
      <c r="U88" s="46" t="s">
        <v>3</v>
      </c>
      <c r="V88" s="46" t="s">
        <v>3</v>
      </c>
      <c r="W88" s="46" t="s">
        <v>3</v>
      </c>
      <c r="X88" s="46" t="s">
        <v>3</v>
      </c>
      <c r="Y88" s="46" t="s">
        <v>3</v>
      </c>
      <c r="Z88" s="46" t="s">
        <v>3</v>
      </c>
      <c r="AA88" s="46" t="s">
        <v>3</v>
      </c>
      <c r="AB88" s="46" t="s">
        <v>3</v>
      </c>
      <c r="AC88" s="46" t="s">
        <v>3</v>
      </c>
      <c r="AD88" s="46" t="s">
        <v>3</v>
      </c>
      <c r="AE88" s="46" t="s">
        <v>3</v>
      </c>
      <c r="AF88" s="46" t="s">
        <v>3</v>
      </c>
      <c r="AG88" s="46" t="s">
        <v>3</v>
      </c>
      <c r="AH88" s="46" t="s">
        <v>3</v>
      </c>
      <c r="AI88" s="46" t="s">
        <v>3</v>
      </c>
      <c r="AJ88" s="46" t="s">
        <v>3</v>
      </c>
      <c r="AK88" s="46" t="s">
        <v>3</v>
      </c>
      <c r="AL88" s="6">
        <v>5</v>
      </c>
      <c r="AM88" s="26">
        <v>5</v>
      </c>
      <c r="AN88" s="26">
        <v>5</v>
      </c>
      <c r="AO88" s="26">
        <v>6</v>
      </c>
      <c r="AP88" s="26">
        <v>7</v>
      </c>
      <c r="AQ88" s="26">
        <v>7</v>
      </c>
      <c r="AR88" s="26">
        <v>8</v>
      </c>
      <c r="AS88" s="26">
        <v>9</v>
      </c>
      <c r="AT88" s="26">
        <v>9</v>
      </c>
      <c r="AU88" s="26">
        <v>9</v>
      </c>
      <c r="AV88" s="161">
        <v>9</v>
      </c>
      <c r="AW88" s="161">
        <v>7</v>
      </c>
      <c r="AX88" s="161">
        <v>8</v>
      </c>
      <c r="AY88" s="161">
        <v>8</v>
      </c>
      <c r="AZ88" s="161">
        <v>8</v>
      </c>
      <c r="BA88" s="320">
        <v>8</v>
      </c>
      <c r="BB88" s="320">
        <v>8</v>
      </c>
      <c r="BC88" s="320">
        <v>8</v>
      </c>
      <c r="BD88" s="374">
        <v>8</v>
      </c>
      <c r="BE88" s="374">
        <v>8</v>
      </c>
      <c r="BF88" s="374">
        <v>9</v>
      </c>
      <c r="BG88" s="374">
        <v>10</v>
      </c>
      <c r="BH88" s="374">
        <v>10</v>
      </c>
      <c r="BI88" s="385">
        <f>(BG88-BF88)/BF88</f>
        <v>0.1111111111111111</v>
      </c>
      <c r="BJ88" s="385">
        <f>(BH88-BG88)/BG88</f>
        <v>0</v>
      </c>
      <c r="BK88" s="569">
        <f>BG88-BF88</f>
        <v>1</v>
      </c>
      <c r="BL88" s="569">
        <f>BH88-BG88</f>
        <v>0</v>
      </c>
    </row>
    <row r="89" spans="1:64" ht="6.75" customHeight="1">
      <c r="A89" s="125"/>
      <c r="G89" s="9"/>
      <c r="I89" s="9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6"/>
      <c r="AM89" s="26"/>
      <c r="AN89" s="26"/>
      <c r="AO89" s="26"/>
      <c r="AP89" s="26"/>
      <c r="AQ89" s="26"/>
      <c r="AR89" s="26"/>
      <c r="AS89" s="26"/>
      <c r="AT89" s="26"/>
      <c r="AU89" s="26"/>
      <c r="AV89" s="161"/>
      <c r="AW89" s="161"/>
      <c r="AX89" s="161"/>
      <c r="AY89" s="161"/>
      <c r="AZ89" s="305"/>
      <c r="BA89" s="320"/>
      <c r="BB89" s="320"/>
      <c r="BC89" s="305"/>
      <c r="BD89" s="538"/>
      <c r="BE89" s="538"/>
      <c r="BF89" s="538"/>
      <c r="BG89" s="538"/>
      <c r="BH89" s="538"/>
      <c r="BI89" s="385"/>
      <c r="BJ89" s="385"/>
      <c r="BK89" s="571"/>
      <c r="BL89" s="571"/>
    </row>
    <row r="90" spans="1:64" ht="11.1" customHeight="1">
      <c r="A90" s="129" t="s">
        <v>126</v>
      </c>
      <c r="B90" s="30" t="s">
        <v>3</v>
      </c>
      <c r="C90" s="30" t="s">
        <v>3</v>
      </c>
      <c r="D90" s="30" t="s">
        <v>3</v>
      </c>
      <c r="E90" s="30" t="s">
        <v>3</v>
      </c>
      <c r="F90" s="30" t="s">
        <v>3</v>
      </c>
      <c r="G90" s="30" t="s">
        <v>3</v>
      </c>
      <c r="H90" s="30" t="s">
        <v>3</v>
      </c>
      <c r="I90" s="30" t="s">
        <v>3</v>
      </c>
      <c r="J90" s="30" t="s">
        <v>3</v>
      </c>
      <c r="K90" s="30" t="s">
        <v>3</v>
      </c>
      <c r="L90" s="30" t="s">
        <v>3</v>
      </c>
      <c r="M90" s="30" t="s">
        <v>3</v>
      </c>
      <c r="N90" s="30" t="s">
        <v>3</v>
      </c>
      <c r="O90" s="30" t="s">
        <v>3</v>
      </c>
      <c r="P90" s="30" t="s">
        <v>3</v>
      </c>
      <c r="Q90" s="30" t="s">
        <v>3</v>
      </c>
      <c r="R90" s="30" t="s">
        <v>3</v>
      </c>
      <c r="S90" s="30" t="s">
        <v>3</v>
      </c>
      <c r="T90" s="30" t="s">
        <v>3</v>
      </c>
      <c r="U90" s="30" t="s">
        <v>3</v>
      </c>
      <c r="V90" s="30" t="s">
        <v>3</v>
      </c>
      <c r="W90" s="30" t="s">
        <v>3</v>
      </c>
      <c r="X90" s="13">
        <v>2</v>
      </c>
      <c r="Y90" s="13">
        <v>2</v>
      </c>
      <c r="Z90" s="13">
        <v>2</v>
      </c>
      <c r="AA90" s="13">
        <v>2</v>
      </c>
      <c r="AB90" s="13">
        <v>2</v>
      </c>
      <c r="AC90" s="13">
        <v>2</v>
      </c>
      <c r="AD90" s="13">
        <v>2</v>
      </c>
      <c r="AE90" s="13">
        <v>2</v>
      </c>
      <c r="AF90" s="13">
        <v>2</v>
      </c>
      <c r="AG90" s="13">
        <v>3</v>
      </c>
      <c r="AH90" s="13">
        <v>3</v>
      </c>
      <c r="AI90" s="13">
        <v>3</v>
      </c>
      <c r="AJ90" s="13">
        <v>3</v>
      </c>
      <c r="AK90" s="13">
        <v>3</v>
      </c>
      <c r="AL90" s="13">
        <v>3</v>
      </c>
      <c r="AM90" s="26">
        <v>5</v>
      </c>
      <c r="AN90" s="26">
        <v>4</v>
      </c>
      <c r="AO90" s="26">
        <v>4</v>
      </c>
      <c r="AP90" s="26">
        <v>4</v>
      </c>
      <c r="AQ90" s="26">
        <v>5</v>
      </c>
      <c r="AR90" s="26">
        <v>6</v>
      </c>
      <c r="AS90" s="26">
        <v>6</v>
      </c>
      <c r="AT90" s="26">
        <v>6</v>
      </c>
      <c r="AU90" s="26">
        <v>6</v>
      </c>
      <c r="AV90" s="161">
        <v>5</v>
      </c>
      <c r="AW90" s="161">
        <v>6</v>
      </c>
      <c r="AX90" s="161">
        <v>6</v>
      </c>
      <c r="AY90" s="161">
        <v>7</v>
      </c>
      <c r="AZ90" s="161">
        <v>7</v>
      </c>
      <c r="BA90" s="320">
        <v>7</v>
      </c>
      <c r="BB90" s="320">
        <v>7</v>
      </c>
      <c r="BC90" s="320">
        <v>7</v>
      </c>
      <c r="BD90" s="374">
        <v>7</v>
      </c>
      <c r="BE90" s="374">
        <v>7</v>
      </c>
      <c r="BF90" s="374">
        <v>8</v>
      </c>
      <c r="BG90" s="374">
        <v>8</v>
      </c>
      <c r="BH90" s="374">
        <v>8</v>
      </c>
      <c r="BI90" s="385">
        <f>(BG90-BF90)/BF90</f>
        <v>0</v>
      </c>
      <c r="BJ90" s="385">
        <f>(BH90-BG90)/BG90</f>
        <v>0</v>
      </c>
      <c r="BK90" s="569">
        <f>BG90-BF90</f>
        <v>0</v>
      </c>
      <c r="BL90" s="569">
        <f>BH90-BG90</f>
        <v>0</v>
      </c>
    </row>
    <row r="91" spans="1:64" ht="6" customHeight="1">
      <c r="A91" s="125"/>
      <c r="L91" s="12"/>
      <c r="M91" s="12"/>
      <c r="N91" s="12"/>
      <c r="O91" s="12"/>
      <c r="P91" s="12"/>
      <c r="Q91" s="12"/>
      <c r="R91" s="12"/>
      <c r="S91" s="12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26"/>
      <c r="AN91" s="26"/>
      <c r="AO91" s="26"/>
      <c r="AP91" s="26"/>
      <c r="AQ91" s="26"/>
      <c r="AR91" s="26"/>
      <c r="AS91" s="26"/>
      <c r="AT91" s="26"/>
      <c r="AU91" s="26"/>
      <c r="AV91" s="161"/>
      <c r="AW91" s="161"/>
      <c r="AX91" s="161"/>
      <c r="AY91" s="161"/>
      <c r="AZ91" s="305"/>
      <c r="BA91" s="320"/>
      <c r="BB91" s="327"/>
      <c r="BC91" s="305"/>
      <c r="BD91" s="538"/>
      <c r="BE91" s="538"/>
      <c r="BF91" s="538"/>
      <c r="BG91" s="538"/>
      <c r="BH91" s="538"/>
      <c r="BI91" s="329"/>
      <c r="BJ91" s="329"/>
      <c r="BK91" s="570"/>
      <c r="BL91" s="570"/>
    </row>
    <row r="92" spans="1:64" ht="11.1" customHeight="1">
      <c r="A92" s="125" t="s">
        <v>15</v>
      </c>
      <c r="B92" s="102" t="s">
        <v>3</v>
      </c>
      <c r="C92" s="102" t="s">
        <v>3</v>
      </c>
      <c r="D92" s="102" t="s">
        <v>3</v>
      </c>
      <c r="E92" s="102" t="s">
        <v>3</v>
      </c>
      <c r="F92" s="102" t="s">
        <v>3</v>
      </c>
      <c r="G92" s="102" t="s">
        <v>10</v>
      </c>
      <c r="H92" s="103">
        <v>3</v>
      </c>
      <c r="I92" s="103">
        <v>5</v>
      </c>
      <c r="J92" s="103">
        <v>6</v>
      </c>
      <c r="K92" s="103">
        <v>9</v>
      </c>
      <c r="L92" s="12">
        <v>12</v>
      </c>
      <c r="M92" s="12">
        <v>16</v>
      </c>
      <c r="N92" s="12">
        <v>21</v>
      </c>
      <c r="O92" s="12">
        <v>28</v>
      </c>
      <c r="P92" s="12">
        <v>44</v>
      </c>
      <c r="Q92" s="12">
        <v>56</v>
      </c>
      <c r="R92" s="12">
        <v>59</v>
      </c>
      <c r="S92" s="12">
        <v>72</v>
      </c>
      <c r="T92" s="13">
        <v>74</v>
      </c>
      <c r="U92" s="13">
        <v>92</v>
      </c>
      <c r="V92" s="13">
        <v>131</v>
      </c>
      <c r="W92" s="13">
        <v>134</v>
      </c>
      <c r="X92" s="13">
        <v>138</v>
      </c>
      <c r="Y92" s="13">
        <v>143</v>
      </c>
      <c r="Z92" s="13">
        <v>152</v>
      </c>
      <c r="AA92" s="13">
        <v>158</v>
      </c>
      <c r="AB92" s="13">
        <v>159</v>
      </c>
      <c r="AC92" s="13">
        <v>158</v>
      </c>
      <c r="AD92" s="13">
        <v>176</v>
      </c>
      <c r="AE92" s="13">
        <v>182</v>
      </c>
      <c r="AF92" s="13">
        <v>181</v>
      </c>
      <c r="AG92" s="13">
        <v>193</v>
      </c>
      <c r="AH92" s="13">
        <v>209</v>
      </c>
      <c r="AI92" s="13">
        <v>218</v>
      </c>
      <c r="AJ92" s="13">
        <v>230</v>
      </c>
      <c r="AK92" s="13">
        <v>234</v>
      </c>
      <c r="AL92" s="13">
        <v>225</v>
      </c>
      <c r="AM92" s="26">
        <v>232</v>
      </c>
      <c r="AN92" s="26">
        <v>242</v>
      </c>
      <c r="AO92" s="26">
        <v>256</v>
      </c>
      <c r="AP92" s="26">
        <v>290</v>
      </c>
      <c r="AQ92" s="26">
        <v>306</v>
      </c>
      <c r="AR92" s="26">
        <v>325</v>
      </c>
      <c r="AS92" s="26">
        <v>315</v>
      </c>
      <c r="AT92" s="26">
        <v>325</v>
      </c>
      <c r="AU92" s="26">
        <v>320</v>
      </c>
      <c r="AV92" s="161">
        <v>320</v>
      </c>
      <c r="AW92" s="161">
        <v>323</v>
      </c>
      <c r="AX92" s="161">
        <v>319</v>
      </c>
      <c r="AY92" s="161">
        <v>350</v>
      </c>
      <c r="AZ92" s="161">
        <v>356</v>
      </c>
      <c r="BA92" s="320">
        <v>384</v>
      </c>
      <c r="BB92" s="320">
        <v>360</v>
      </c>
      <c r="BC92" s="320">
        <v>341</v>
      </c>
      <c r="BD92" s="374">
        <v>341</v>
      </c>
      <c r="BE92" s="374">
        <v>364</v>
      </c>
      <c r="BF92" s="374">
        <v>361</v>
      </c>
      <c r="BG92" s="374">
        <v>364</v>
      </c>
      <c r="BH92" s="374">
        <v>364</v>
      </c>
      <c r="BI92" s="385">
        <f>(BG92-BF92)/BF92</f>
        <v>8.3102493074792248E-3</v>
      </c>
      <c r="BJ92" s="385">
        <f>(BH92-BG92)/BG92</f>
        <v>0</v>
      </c>
      <c r="BK92" s="569">
        <f>BG92-BF92</f>
        <v>3</v>
      </c>
      <c r="BL92" s="569">
        <f>BH92-BG92</f>
        <v>0</v>
      </c>
    </row>
    <row r="93" spans="1:64" ht="6" customHeight="1">
      <c r="A93" s="125"/>
      <c r="L93" s="12"/>
      <c r="M93" s="12"/>
      <c r="N93" s="12"/>
      <c r="O93" s="12"/>
      <c r="P93" s="12"/>
      <c r="Q93" s="12"/>
      <c r="R93" s="12"/>
      <c r="S93" s="12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26"/>
      <c r="AN93" s="26"/>
      <c r="AO93" s="26"/>
      <c r="AP93" s="26"/>
      <c r="AQ93" s="26"/>
      <c r="AR93" s="26"/>
      <c r="AS93" s="26"/>
      <c r="AT93" s="26"/>
      <c r="AU93" s="26"/>
      <c r="AV93" s="161"/>
      <c r="AW93" s="161"/>
      <c r="AX93" s="161"/>
      <c r="AY93" s="161"/>
      <c r="AZ93" s="305"/>
      <c r="BA93" s="320"/>
      <c r="BB93" s="320"/>
      <c r="BC93" s="305"/>
      <c r="BD93" s="538"/>
      <c r="BE93" s="538"/>
      <c r="BF93" s="538"/>
      <c r="BG93" s="538"/>
      <c r="BH93" s="538"/>
      <c r="BI93" s="385"/>
      <c r="BJ93" s="385"/>
      <c r="BK93" s="571"/>
      <c r="BL93" s="571"/>
    </row>
    <row r="94" spans="1:64" ht="11.1" customHeight="1">
      <c r="A94" s="125" t="s">
        <v>12</v>
      </c>
      <c r="B94" s="28">
        <v>15</v>
      </c>
      <c r="C94" s="28">
        <v>18</v>
      </c>
      <c r="D94" s="28">
        <v>20</v>
      </c>
      <c r="E94" s="28">
        <v>21</v>
      </c>
      <c r="F94" s="28">
        <v>22</v>
      </c>
      <c r="G94" s="28">
        <v>25</v>
      </c>
      <c r="H94" s="28">
        <v>28</v>
      </c>
      <c r="I94" s="28">
        <v>30</v>
      </c>
      <c r="J94" s="28">
        <v>32</v>
      </c>
      <c r="K94" s="28">
        <v>34</v>
      </c>
      <c r="L94" s="12">
        <v>38</v>
      </c>
      <c r="M94" s="12">
        <v>41</v>
      </c>
      <c r="N94" s="12">
        <v>47</v>
      </c>
      <c r="O94" s="12">
        <v>48</v>
      </c>
      <c r="P94" s="12">
        <v>55</v>
      </c>
      <c r="Q94" s="12">
        <v>61</v>
      </c>
      <c r="R94" s="12">
        <v>68</v>
      </c>
      <c r="S94" s="12">
        <v>81</v>
      </c>
      <c r="T94" s="13">
        <v>91</v>
      </c>
      <c r="U94" s="13">
        <v>97</v>
      </c>
      <c r="V94" s="13">
        <v>109</v>
      </c>
      <c r="W94" s="13">
        <v>115</v>
      </c>
      <c r="X94" s="13">
        <v>120</v>
      </c>
      <c r="Y94" s="13">
        <v>123</v>
      </c>
      <c r="Z94" s="13">
        <v>130</v>
      </c>
      <c r="AA94" s="13">
        <v>134</v>
      </c>
      <c r="AB94" s="13">
        <v>132</v>
      </c>
      <c r="AC94" s="13">
        <v>127</v>
      </c>
      <c r="AD94" s="13">
        <v>132</v>
      </c>
      <c r="AE94" s="13">
        <v>136</v>
      </c>
      <c r="AF94" s="13">
        <v>142</v>
      </c>
      <c r="AG94" s="13">
        <v>143</v>
      </c>
      <c r="AH94" s="13">
        <v>155</v>
      </c>
      <c r="AI94" s="13">
        <v>171</v>
      </c>
      <c r="AJ94" s="13">
        <v>173</v>
      </c>
      <c r="AK94" s="13">
        <v>174</v>
      </c>
      <c r="AL94" s="13">
        <v>166</v>
      </c>
      <c r="AM94" s="26">
        <v>175</v>
      </c>
      <c r="AN94" s="26">
        <v>177</v>
      </c>
      <c r="AO94" s="26">
        <v>182</v>
      </c>
      <c r="AP94" s="26">
        <v>198</v>
      </c>
      <c r="AQ94" s="26">
        <v>233</v>
      </c>
      <c r="AR94" s="26">
        <v>230</v>
      </c>
      <c r="AS94" s="26">
        <v>231</v>
      </c>
      <c r="AT94" s="26">
        <v>243</v>
      </c>
      <c r="AU94" s="26">
        <v>245</v>
      </c>
      <c r="AV94" s="161">
        <v>249</v>
      </c>
      <c r="AW94" s="161">
        <v>253</v>
      </c>
      <c r="AX94" s="161">
        <v>250</v>
      </c>
      <c r="AY94" s="161">
        <v>256</v>
      </c>
      <c r="AZ94" s="161">
        <v>272</v>
      </c>
      <c r="BA94" s="320">
        <v>292</v>
      </c>
      <c r="BB94" s="320">
        <v>277</v>
      </c>
      <c r="BC94" s="320">
        <v>266</v>
      </c>
      <c r="BD94" s="374">
        <v>264</v>
      </c>
      <c r="BE94" s="374">
        <v>271</v>
      </c>
      <c r="BF94" s="374">
        <v>271</v>
      </c>
      <c r="BG94" s="374">
        <v>274</v>
      </c>
      <c r="BH94" s="374">
        <v>258</v>
      </c>
      <c r="BI94" s="385">
        <f>(BG94-BF94)/BF94</f>
        <v>1.107011070110701E-2</v>
      </c>
      <c r="BJ94" s="385">
        <f>(BH94-BG94)/BG94</f>
        <v>-5.8394160583941604E-2</v>
      </c>
      <c r="BK94" s="569">
        <f>BG94-BF94</f>
        <v>3</v>
      </c>
      <c r="BL94" s="569">
        <f>BH94-BG94</f>
        <v>-16</v>
      </c>
    </row>
    <row r="95" spans="1:64" ht="6" customHeight="1">
      <c r="A95" s="125"/>
      <c r="L95" s="12"/>
      <c r="M95" s="12"/>
      <c r="N95" s="12"/>
      <c r="O95" s="12"/>
      <c r="P95" s="12"/>
      <c r="Q95" s="12"/>
      <c r="R95" s="12"/>
      <c r="S95" s="12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26"/>
      <c r="AN95" s="26"/>
      <c r="AO95" s="26"/>
      <c r="AP95" s="26"/>
      <c r="AQ95" s="26"/>
      <c r="AR95" s="26"/>
      <c r="AS95" s="26"/>
      <c r="AT95" s="26"/>
      <c r="AU95" s="26"/>
      <c r="AV95" s="161"/>
      <c r="AW95" s="161"/>
      <c r="AX95" s="161"/>
      <c r="AY95" s="161"/>
      <c r="AZ95" s="305"/>
      <c r="BA95" s="320"/>
      <c r="BB95" s="327"/>
      <c r="BC95" s="305"/>
      <c r="BD95" s="538"/>
      <c r="BE95" s="538"/>
      <c r="BF95" s="538"/>
      <c r="BG95" s="538"/>
      <c r="BH95" s="538"/>
      <c r="BI95" s="329"/>
      <c r="BJ95" s="329"/>
      <c r="BK95" s="570"/>
      <c r="BL95" s="570"/>
    </row>
    <row r="96" spans="1:64" ht="11.1" customHeight="1">
      <c r="A96" s="125" t="s">
        <v>63</v>
      </c>
      <c r="B96" s="102" t="s">
        <v>3</v>
      </c>
      <c r="C96" s="102" t="s">
        <v>3</v>
      </c>
      <c r="D96" s="102" t="s">
        <v>3</v>
      </c>
      <c r="E96" s="102" t="s">
        <v>3</v>
      </c>
      <c r="F96" s="102" t="s">
        <v>3</v>
      </c>
      <c r="G96" s="102" t="s">
        <v>3</v>
      </c>
      <c r="H96" s="102" t="s">
        <v>3</v>
      </c>
      <c r="I96" s="102" t="s">
        <v>3</v>
      </c>
      <c r="J96" s="102" t="s">
        <v>3</v>
      </c>
      <c r="K96" s="102" t="s">
        <v>3</v>
      </c>
      <c r="L96" s="102" t="s">
        <v>3</v>
      </c>
      <c r="M96" s="102" t="s">
        <v>3</v>
      </c>
      <c r="N96" s="83">
        <v>1</v>
      </c>
      <c r="O96" s="83">
        <v>4</v>
      </c>
      <c r="P96" s="83">
        <v>5</v>
      </c>
      <c r="Q96" s="83">
        <v>5</v>
      </c>
      <c r="R96" s="83">
        <v>6</v>
      </c>
      <c r="S96" s="83">
        <v>7</v>
      </c>
      <c r="T96" s="27">
        <v>7</v>
      </c>
      <c r="U96" s="27">
        <v>7</v>
      </c>
      <c r="V96" s="27">
        <v>8</v>
      </c>
      <c r="W96" s="27">
        <v>8</v>
      </c>
      <c r="X96" s="27">
        <v>7</v>
      </c>
      <c r="Y96" s="27">
        <v>6</v>
      </c>
      <c r="Z96" s="27">
        <v>6</v>
      </c>
      <c r="AA96" s="27">
        <v>6</v>
      </c>
      <c r="AB96" s="27">
        <v>5</v>
      </c>
      <c r="AC96" s="27">
        <v>5</v>
      </c>
      <c r="AD96" s="27">
        <v>5</v>
      </c>
      <c r="AE96" s="27">
        <v>6</v>
      </c>
      <c r="AF96" s="27">
        <v>6</v>
      </c>
      <c r="AG96" s="27">
        <v>6</v>
      </c>
      <c r="AH96" s="27">
        <v>7</v>
      </c>
      <c r="AI96" s="27">
        <v>7</v>
      </c>
      <c r="AJ96" s="27">
        <v>8</v>
      </c>
      <c r="AK96" s="27">
        <v>7</v>
      </c>
      <c r="AL96" s="100">
        <v>7</v>
      </c>
      <c r="AM96" s="100">
        <v>8</v>
      </c>
      <c r="AN96" s="100">
        <v>8</v>
      </c>
      <c r="AO96" s="100">
        <v>8</v>
      </c>
      <c r="AP96" s="100">
        <v>8</v>
      </c>
      <c r="AQ96" s="100">
        <v>9</v>
      </c>
      <c r="AR96" s="100">
        <v>9</v>
      </c>
      <c r="AS96" s="100">
        <v>9</v>
      </c>
      <c r="AT96" s="100">
        <v>10</v>
      </c>
      <c r="AU96" s="100">
        <v>10</v>
      </c>
      <c r="AV96" s="100">
        <v>10</v>
      </c>
      <c r="AW96" s="100">
        <v>10</v>
      </c>
      <c r="AX96" s="100">
        <v>11</v>
      </c>
      <c r="AY96" s="100">
        <v>10</v>
      </c>
      <c r="AZ96" s="100">
        <v>12</v>
      </c>
      <c r="BA96" s="360">
        <v>11</v>
      </c>
      <c r="BB96" s="360">
        <v>11</v>
      </c>
      <c r="BC96" s="360">
        <v>11</v>
      </c>
      <c r="BD96" s="542">
        <v>11</v>
      </c>
      <c r="BE96" s="542">
        <v>12</v>
      </c>
      <c r="BF96" s="542">
        <v>11</v>
      </c>
      <c r="BG96" s="542">
        <v>12</v>
      </c>
      <c r="BH96" s="542">
        <v>12</v>
      </c>
      <c r="BI96" s="385">
        <f>(BG96-BF96)/BF96</f>
        <v>9.0909090909090912E-2</v>
      </c>
      <c r="BJ96" s="385">
        <f>(BH96-BG96)/BG96</f>
        <v>0</v>
      </c>
      <c r="BK96" s="569">
        <f>BG96-BF96</f>
        <v>1</v>
      </c>
      <c r="BL96" s="569">
        <f>BH96-BG96</f>
        <v>0</v>
      </c>
    </row>
    <row r="97" spans="1:100" ht="5.25" customHeight="1">
      <c r="A97" s="12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12"/>
      <c r="AJ97" s="12"/>
      <c r="AK97" s="12"/>
      <c r="AL97" s="6"/>
      <c r="AM97" s="26"/>
      <c r="AN97" s="26"/>
      <c r="AO97" s="26"/>
      <c r="AP97" s="26"/>
      <c r="AQ97" s="26"/>
      <c r="AR97" s="26"/>
      <c r="AS97" s="26"/>
      <c r="AT97" s="26"/>
      <c r="AU97" s="26"/>
      <c r="AV97" s="161"/>
      <c r="AW97" s="161"/>
      <c r="AX97" s="161"/>
      <c r="AY97" s="161"/>
      <c r="AZ97" s="161"/>
      <c r="BA97" s="320"/>
      <c r="BB97" s="320"/>
      <c r="BC97" s="305"/>
      <c r="BD97" s="374"/>
      <c r="BE97" s="374"/>
      <c r="BF97" s="374"/>
      <c r="BG97" s="374"/>
      <c r="BH97" s="374"/>
      <c r="BI97" s="385"/>
      <c r="BJ97" s="385"/>
      <c r="BK97" s="569"/>
      <c r="BL97" s="569"/>
    </row>
    <row r="98" spans="1:100" ht="14.25" customHeight="1" thickBot="1">
      <c r="A98" s="128" t="s">
        <v>82</v>
      </c>
      <c r="B98" s="141">
        <f t="shared" ref="B98:AK98" si="40">SUM(B85:B96)</f>
        <v>36</v>
      </c>
      <c r="C98" s="141">
        <f t="shared" si="40"/>
        <v>40</v>
      </c>
      <c r="D98" s="141">
        <f t="shared" si="40"/>
        <v>48</v>
      </c>
      <c r="E98" s="141">
        <f t="shared" si="40"/>
        <v>60</v>
      </c>
      <c r="F98" s="141">
        <f t="shared" si="40"/>
        <v>63</v>
      </c>
      <c r="G98" s="141">
        <f t="shared" si="40"/>
        <v>66</v>
      </c>
      <c r="H98" s="141">
        <f t="shared" si="40"/>
        <v>74</v>
      </c>
      <c r="I98" s="141">
        <f t="shared" si="40"/>
        <v>80</v>
      </c>
      <c r="J98" s="141">
        <f t="shared" si="40"/>
        <v>84</v>
      </c>
      <c r="K98" s="141">
        <f t="shared" si="40"/>
        <v>95</v>
      </c>
      <c r="L98" s="141">
        <f t="shared" si="40"/>
        <v>115</v>
      </c>
      <c r="M98" s="141">
        <f t="shared" si="40"/>
        <v>145</v>
      </c>
      <c r="N98" s="141">
        <f t="shared" si="40"/>
        <v>197</v>
      </c>
      <c r="O98" s="141">
        <f t="shared" si="40"/>
        <v>239</v>
      </c>
      <c r="P98" s="141">
        <f t="shared" si="40"/>
        <v>294</v>
      </c>
      <c r="Q98" s="141">
        <f t="shared" si="40"/>
        <v>358</v>
      </c>
      <c r="R98" s="141">
        <f t="shared" si="40"/>
        <v>419</v>
      </c>
      <c r="S98" s="141">
        <f t="shared" si="40"/>
        <v>500</v>
      </c>
      <c r="T98" s="141">
        <f t="shared" si="40"/>
        <v>548</v>
      </c>
      <c r="U98" s="141">
        <f t="shared" si="40"/>
        <v>645</v>
      </c>
      <c r="V98" s="141">
        <f t="shared" si="40"/>
        <v>748</v>
      </c>
      <c r="W98" s="141">
        <f t="shared" si="40"/>
        <v>792</v>
      </c>
      <c r="X98" s="141">
        <f t="shared" si="40"/>
        <v>769</v>
      </c>
      <c r="Y98" s="141">
        <f t="shared" si="40"/>
        <v>797</v>
      </c>
      <c r="Z98" s="141">
        <f t="shared" si="40"/>
        <v>824</v>
      </c>
      <c r="AA98" s="141">
        <f t="shared" si="40"/>
        <v>838</v>
      </c>
      <c r="AB98" s="141">
        <f t="shared" si="40"/>
        <v>838</v>
      </c>
      <c r="AC98" s="141">
        <f t="shared" si="40"/>
        <v>842</v>
      </c>
      <c r="AD98" s="141">
        <f t="shared" si="40"/>
        <v>907</v>
      </c>
      <c r="AE98" s="141">
        <f t="shared" si="40"/>
        <v>953</v>
      </c>
      <c r="AF98" s="141">
        <f t="shared" si="40"/>
        <v>1012</v>
      </c>
      <c r="AG98" s="141">
        <f t="shared" si="40"/>
        <v>1010</v>
      </c>
      <c r="AH98" s="141">
        <f t="shared" si="40"/>
        <v>1118</v>
      </c>
      <c r="AI98" s="141">
        <f t="shared" si="40"/>
        <v>1103</v>
      </c>
      <c r="AJ98" s="141">
        <f t="shared" si="40"/>
        <v>1161</v>
      </c>
      <c r="AK98" s="141">
        <f t="shared" si="40"/>
        <v>1167</v>
      </c>
      <c r="AL98" s="141">
        <f>SUM(AL85:AL97)</f>
        <v>1109</v>
      </c>
      <c r="AM98" s="141">
        <f t="shared" ref="AM98:AU98" si="41">SUM(AM85:AM96)</f>
        <v>1202</v>
      </c>
      <c r="AN98" s="141">
        <f t="shared" si="41"/>
        <v>1257</v>
      </c>
      <c r="AO98" s="141">
        <f t="shared" si="41"/>
        <v>1315</v>
      </c>
      <c r="AP98" s="141">
        <f t="shared" si="41"/>
        <v>1428</v>
      </c>
      <c r="AQ98" s="141">
        <f t="shared" si="41"/>
        <v>1606</v>
      </c>
      <c r="AR98" s="141">
        <f t="shared" si="41"/>
        <v>1632</v>
      </c>
      <c r="AS98" s="141">
        <f t="shared" si="41"/>
        <v>1679</v>
      </c>
      <c r="AT98" s="141">
        <f t="shared" si="41"/>
        <v>1718</v>
      </c>
      <c r="AU98" s="141">
        <f t="shared" si="41"/>
        <v>1707</v>
      </c>
      <c r="AV98" s="217">
        <f t="shared" ref="AV98:BG98" si="42">SUM(AV85:AV97)</f>
        <v>1762</v>
      </c>
      <c r="AW98" s="217">
        <f t="shared" si="42"/>
        <v>1779.248291571754</v>
      </c>
      <c r="AX98" s="217">
        <f t="shared" si="42"/>
        <v>1859.7270202799359</v>
      </c>
      <c r="AY98" s="217">
        <f t="shared" si="42"/>
        <v>1942</v>
      </c>
      <c r="AZ98" s="217">
        <f t="shared" si="42"/>
        <v>2083</v>
      </c>
      <c r="BA98" s="371">
        <f t="shared" si="42"/>
        <v>2098</v>
      </c>
      <c r="BB98" s="371">
        <f t="shared" si="42"/>
        <v>2094</v>
      </c>
      <c r="BC98" s="371">
        <f t="shared" si="42"/>
        <v>2126</v>
      </c>
      <c r="BD98" s="409">
        <f t="shared" si="42"/>
        <v>2095</v>
      </c>
      <c r="BE98" s="409">
        <f t="shared" si="42"/>
        <v>2182</v>
      </c>
      <c r="BF98" s="409">
        <f t="shared" si="42"/>
        <v>2122</v>
      </c>
      <c r="BG98" s="409">
        <f t="shared" si="42"/>
        <v>2103</v>
      </c>
      <c r="BH98" s="409">
        <f t="shared" ref="BH98" si="43">SUM(BH85:BH97)</f>
        <v>2096</v>
      </c>
      <c r="BI98" s="422">
        <f>(BG98-BF98)/BF98</f>
        <v>-8.9538171536286525E-3</v>
      </c>
      <c r="BJ98" s="422">
        <f>(BH98-BG98)/BG98</f>
        <v>-3.3285782215882074E-3</v>
      </c>
      <c r="BK98" s="574">
        <f>BG98-BF98</f>
        <v>-19</v>
      </c>
      <c r="BL98" s="574">
        <f>BH98-BG98</f>
        <v>-7</v>
      </c>
    </row>
    <row r="99" spans="1:100" ht="11.1" customHeight="1">
      <c r="G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12"/>
      <c r="AJ99" s="12"/>
      <c r="AK99" s="12"/>
      <c r="AL99" s="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00"/>
      <c r="AX99" s="200"/>
      <c r="AY99" s="200"/>
      <c r="AZ99" s="305"/>
      <c r="BA99" s="320"/>
      <c r="BB99" s="327"/>
      <c r="BC99" s="305"/>
      <c r="BD99" s="538"/>
      <c r="BE99" s="538"/>
      <c r="BF99" s="538"/>
      <c r="BG99" s="538"/>
      <c r="BH99" s="538"/>
      <c r="BI99" s="329"/>
      <c r="BJ99" s="329"/>
      <c r="BK99" s="575"/>
      <c r="BL99" s="575"/>
    </row>
    <row r="100" spans="1:100">
      <c r="A100" s="130" t="s">
        <v>115</v>
      </c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183"/>
      <c r="BG100" s="183"/>
      <c r="BH100" s="183"/>
      <c r="BI100" s="329"/>
      <c r="BJ100" s="329"/>
      <c r="BK100" s="570"/>
      <c r="BL100" s="570"/>
    </row>
    <row r="101" spans="1:100" ht="6" customHeight="1">
      <c r="A101" s="125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12"/>
      <c r="AJ101" s="12"/>
      <c r="AK101" s="12"/>
      <c r="AL101" s="6"/>
      <c r="AM101" s="26"/>
      <c r="AN101" s="26"/>
      <c r="AO101" s="26"/>
      <c r="AP101" s="26"/>
      <c r="AQ101" s="26"/>
      <c r="AR101" s="26"/>
      <c r="AS101" s="26"/>
      <c r="AT101" s="26"/>
      <c r="AU101" s="26"/>
      <c r="AV101" s="161"/>
      <c r="AW101" s="161"/>
      <c r="AX101" s="161"/>
      <c r="AY101" s="161"/>
      <c r="AZ101" s="305"/>
      <c r="BA101" s="320"/>
      <c r="BB101" s="327"/>
      <c r="BC101" s="305"/>
      <c r="BD101" s="538"/>
      <c r="BE101" s="538"/>
      <c r="BF101" s="538"/>
      <c r="BG101" s="538"/>
      <c r="BH101" s="538"/>
      <c r="BI101" s="329"/>
      <c r="BJ101" s="329"/>
      <c r="BK101" s="570"/>
      <c r="BL101" s="570"/>
    </row>
    <row r="102" spans="1:100" ht="11.1" customHeight="1">
      <c r="A102" s="125" t="s">
        <v>17</v>
      </c>
      <c r="B102" s="30" t="s">
        <v>3</v>
      </c>
      <c r="C102" s="30" t="s">
        <v>3</v>
      </c>
      <c r="D102" s="30" t="s">
        <v>3</v>
      </c>
      <c r="E102" s="30" t="s">
        <v>3</v>
      </c>
      <c r="F102" s="30" t="s">
        <v>3</v>
      </c>
      <c r="G102" s="30" t="s">
        <v>3</v>
      </c>
      <c r="H102" s="30" t="s">
        <v>3</v>
      </c>
      <c r="I102" s="30" t="s">
        <v>3</v>
      </c>
      <c r="J102" s="30" t="s">
        <v>3</v>
      </c>
      <c r="K102" s="30" t="s">
        <v>3</v>
      </c>
      <c r="L102" s="102" t="s">
        <v>3</v>
      </c>
      <c r="M102" s="52">
        <v>1</v>
      </c>
      <c r="N102" s="52">
        <v>2</v>
      </c>
      <c r="O102" s="52">
        <v>3</v>
      </c>
      <c r="P102" s="52">
        <v>3</v>
      </c>
      <c r="Q102" s="52">
        <v>2</v>
      </c>
      <c r="R102" s="52">
        <v>3</v>
      </c>
      <c r="S102" s="52">
        <v>3</v>
      </c>
      <c r="T102" s="52">
        <v>3</v>
      </c>
      <c r="U102" s="52">
        <v>3</v>
      </c>
      <c r="V102" s="52">
        <v>3</v>
      </c>
      <c r="W102" s="52">
        <v>3</v>
      </c>
      <c r="X102" s="52">
        <v>4</v>
      </c>
      <c r="Y102" s="52">
        <v>2</v>
      </c>
      <c r="Z102" s="52">
        <v>3</v>
      </c>
      <c r="AA102" s="52">
        <v>2</v>
      </c>
      <c r="AB102" s="52">
        <v>1</v>
      </c>
      <c r="AC102" s="52">
        <v>1</v>
      </c>
      <c r="AD102" s="52">
        <v>1</v>
      </c>
      <c r="AE102" s="52">
        <v>1</v>
      </c>
      <c r="AF102" s="52">
        <v>1</v>
      </c>
      <c r="AG102" s="52">
        <v>2</v>
      </c>
      <c r="AH102" s="52">
        <v>3</v>
      </c>
      <c r="AI102" s="101">
        <v>2</v>
      </c>
      <c r="AJ102" s="101">
        <v>1</v>
      </c>
      <c r="AK102" s="101">
        <v>2</v>
      </c>
      <c r="AL102" s="101">
        <v>2</v>
      </c>
      <c r="AM102" s="59">
        <v>2</v>
      </c>
      <c r="AN102" s="59">
        <v>2</v>
      </c>
      <c r="AO102" s="59">
        <v>3</v>
      </c>
      <c r="AP102" s="59">
        <v>3</v>
      </c>
      <c r="AQ102" s="59">
        <v>3</v>
      </c>
      <c r="AR102" s="59">
        <v>3</v>
      </c>
      <c r="AS102" s="59">
        <v>3</v>
      </c>
      <c r="AT102" s="59">
        <v>3</v>
      </c>
      <c r="AU102" s="59">
        <v>3</v>
      </c>
      <c r="AV102" s="214">
        <v>3</v>
      </c>
      <c r="AW102" s="214">
        <v>2</v>
      </c>
      <c r="AX102" s="214">
        <v>2</v>
      </c>
      <c r="AY102" s="214">
        <v>3</v>
      </c>
      <c r="AZ102" s="214">
        <v>3</v>
      </c>
      <c r="BA102" s="355">
        <v>3</v>
      </c>
      <c r="BB102" s="355">
        <v>3</v>
      </c>
      <c r="BC102" s="355">
        <v>3</v>
      </c>
      <c r="BD102" s="537">
        <v>3</v>
      </c>
      <c r="BE102" s="537">
        <v>3</v>
      </c>
      <c r="BF102" s="537">
        <v>3</v>
      </c>
      <c r="BG102" s="537">
        <v>3</v>
      </c>
      <c r="BH102" s="537">
        <v>3</v>
      </c>
      <c r="BI102" s="385">
        <f>(BG102-BF102)/BF102</f>
        <v>0</v>
      </c>
      <c r="BJ102" s="385">
        <f>(BH102-BG102)/BG102</f>
        <v>0</v>
      </c>
      <c r="BK102" s="569">
        <f>BG102-BF102</f>
        <v>0</v>
      </c>
      <c r="BL102" s="569">
        <f>BH102-BG102</f>
        <v>0</v>
      </c>
    </row>
    <row r="103" spans="1:100" ht="6" customHeight="1">
      <c r="A103" s="125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83"/>
      <c r="AJ103" s="83"/>
      <c r="AK103" s="83"/>
      <c r="AL103" s="107"/>
      <c r="AM103" s="96"/>
      <c r="AN103" s="96"/>
      <c r="AO103" s="96"/>
      <c r="AP103" s="96"/>
      <c r="AQ103" s="96"/>
      <c r="AR103" s="96"/>
      <c r="AS103" s="96"/>
      <c r="AT103" s="96"/>
      <c r="AU103" s="96"/>
      <c r="AV103" s="180"/>
      <c r="AW103" s="180"/>
      <c r="AX103" s="180"/>
      <c r="AY103" s="180"/>
      <c r="AZ103" s="302"/>
      <c r="BA103" s="319"/>
      <c r="BB103" s="325"/>
      <c r="BC103" s="302"/>
      <c r="BD103" s="547"/>
      <c r="BE103" s="547"/>
      <c r="BF103" s="547"/>
      <c r="BG103" s="547"/>
      <c r="BH103" s="547"/>
      <c r="BI103" s="329"/>
      <c r="BJ103" s="329"/>
      <c r="BK103" s="570"/>
      <c r="BL103" s="570"/>
    </row>
    <row r="104" spans="1:100" ht="12" customHeight="1">
      <c r="A104" s="132" t="s">
        <v>30</v>
      </c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65"/>
      <c r="AQ104" s="65"/>
      <c r="AR104" s="65"/>
      <c r="AS104" s="65"/>
      <c r="AT104" s="96"/>
      <c r="AU104" s="96"/>
      <c r="AV104" s="180"/>
      <c r="AW104" s="180"/>
      <c r="AX104" s="180"/>
      <c r="AY104" s="180"/>
      <c r="AZ104" s="302"/>
      <c r="BA104" s="319"/>
      <c r="BB104" s="319"/>
      <c r="BC104" s="302"/>
      <c r="BD104" s="547"/>
      <c r="BE104" s="547"/>
      <c r="BF104" s="547"/>
      <c r="BG104" s="547"/>
      <c r="BH104" s="547"/>
      <c r="BI104" s="385"/>
      <c r="BJ104" s="385"/>
      <c r="BK104" s="571"/>
      <c r="BL104" s="57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</row>
    <row r="105" spans="1:100" ht="10.5" customHeight="1">
      <c r="A105" s="129" t="s">
        <v>127</v>
      </c>
      <c r="B105" s="46" t="s">
        <v>3</v>
      </c>
      <c r="C105" s="46" t="s">
        <v>3</v>
      </c>
      <c r="D105" s="46" t="s">
        <v>3</v>
      </c>
      <c r="E105" s="46" t="s">
        <v>3</v>
      </c>
      <c r="F105" s="46" t="s">
        <v>3</v>
      </c>
      <c r="G105" s="46" t="s">
        <v>3</v>
      </c>
      <c r="H105" s="46" t="s">
        <v>3</v>
      </c>
      <c r="I105" s="46" t="s">
        <v>3</v>
      </c>
      <c r="J105" s="46" t="s">
        <v>3</v>
      </c>
      <c r="K105" s="46" t="s">
        <v>3</v>
      </c>
      <c r="L105" s="46" t="s">
        <v>3</v>
      </c>
      <c r="M105" s="46" t="s">
        <v>3</v>
      </c>
      <c r="N105" s="46" t="s">
        <v>3</v>
      </c>
      <c r="O105" s="46" t="s">
        <v>3</v>
      </c>
      <c r="P105" s="46" t="s">
        <v>3</v>
      </c>
      <c r="Q105" s="46" t="s">
        <v>3</v>
      </c>
      <c r="R105" s="46" t="s">
        <v>3</v>
      </c>
      <c r="S105" s="46" t="s">
        <v>3</v>
      </c>
      <c r="T105" s="46" t="s">
        <v>3</v>
      </c>
      <c r="U105" s="46" t="s">
        <v>3</v>
      </c>
      <c r="V105" s="46" t="s">
        <v>3</v>
      </c>
      <c r="W105" s="46" t="s">
        <v>3</v>
      </c>
      <c r="X105" s="46" t="s">
        <v>3</v>
      </c>
      <c r="Y105" s="46" t="s">
        <v>3</v>
      </c>
      <c r="Z105" s="46" t="s">
        <v>3</v>
      </c>
      <c r="AA105" s="46" t="s">
        <v>3</v>
      </c>
      <c r="AB105" s="46" t="s">
        <v>3</v>
      </c>
      <c r="AC105" s="46" t="s">
        <v>3</v>
      </c>
      <c r="AD105" s="46" t="s">
        <v>3</v>
      </c>
      <c r="AE105" s="46" t="s">
        <v>3</v>
      </c>
      <c r="AF105" s="46" t="s">
        <v>3</v>
      </c>
      <c r="AG105" s="46" t="s">
        <v>3</v>
      </c>
      <c r="AH105" s="46" t="s">
        <v>3</v>
      </c>
      <c r="AI105" s="46" t="s">
        <v>3</v>
      </c>
      <c r="AJ105" s="46" t="s">
        <v>3</v>
      </c>
      <c r="AK105" s="46" t="s">
        <v>3</v>
      </c>
      <c r="AL105" s="46" t="s">
        <v>3</v>
      </c>
      <c r="AM105" s="46" t="s">
        <v>3</v>
      </c>
      <c r="AN105" s="46" t="s">
        <v>3</v>
      </c>
      <c r="AO105" s="46">
        <v>194</v>
      </c>
      <c r="AP105" s="65">
        <v>232</v>
      </c>
      <c r="AQ105" s="65">
        <v>250</v>
      </c>
      <c r="AR105" s="65">
        <v>277</v>
      </c>
      <c r="AS105" s="65">
        <v>305</v>
      </c>
      <c r="AT105" s="96">
        <v>326</v>
      </c>
      <c r="AU105" s="96">
        <v>325</v>
      </c>
      <c r="AV105" s="180">
        <v>341</v>
      </c>
      <c r="AW105" s="180">
        <v>335</v>
      </c>
      <c r="AX105" s="180">
        <v>338</v>
      </c>
      <c r="AY105" s="180">
        <v>340</v>
      </c>
      <c r="AZ105" s="180">
        <v>363</v>
      </c>
      <c r="BA105" s="319">
        <v>353</v>
      </c>
      <c r="BB105" s="319">
        <v>355</v>
      </c>
      <c r="BC105" s="319">
        <v>342</v>
      </c>
      <c r="BD105" s="316">
        <v>330</v>
      </c>
      <c r="BE105" s="316">
        <v>336</v>
      </c>
      <c r="BF105" s="316">
        <v>336</v>
      </c>
      <c r="BG105" s="316">
        <v>367</v>
      </c>
      <c r="BH105" s="316">
        <v>303</v>
      </c>
      <c r="BI105" s="385">
        <f>(BG105-BF105)/BF105</f>
        <v>9.2261904761904767E-2</v>
      </c>
      <c r="BJ105" s="385">
        <f>(BH105-BG105)/BG105</f>
        <v>-0.17438692098092642</v>
      </c>
      <c r="BK105" s="569">
        <f>BG105-BF105</f>
        <v>31</v>
      </c>
      <c r="BL105" s="569">
        <f>BH105-BG105</f>
        <v>-64</v>
      </c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</row>
    <row r="106" spans="1:100" ht="6" customHeight="1">
      <c r="A106" s="125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83"/>
      <c r="AJ106" s="83"/>
      <c r="AK106" s="83"/>
      <c r="AL106" s="107"/>
      <c r="AM106" s="96"/>
      <c r="AN106" s="96"/>
      <c r="AO106" s="96"/>
      <c r="AP106" s="96"/>
      <c r="AQ106" s="96"/>
      <c r="AR106" s="96"/>
      <c r="AS106" s="96"/>
      <c r="AT106" s="96"/>
      <c r="AU106" s="96"/>
      <c r="AV106" s="180"/>
      <c r="AW106" s="180"/>
      <c r="AX106" s="180"/>
      <c r="AY106" s="180"/>
      <c r="AZ106" s="302"/>
      <c r="BA106" s="319"/>
      <c r="BB106" s="325"/>
      <c r="BC106" s="302"/>
      <c r="BD106" s="547"/>
      <c r="BE106" s="547"/>
      <c r="BF106" s="547"/>
      <c r="BG106" s="547"/>
      <c r="BH106" s="547"/>
      <c r="BI106" s="329"/>
      <c r="BJ106" s="329"/>
      <c r="BK106" s="570"/>
      <c r="BL106" s="570"/>
    </row>
    <row r="107" spans="1:100" ht="11.1" customHeight="1">
      <c r="A107" s="126" t="s">
        <v>40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12"/>
      <c r="AJ107" s="12"/>
      <c r="AK107" s="12"/>
      <c r="AL107" s="6"/>
      <c r="AM107" s="26"/>
      <c r="AN107" s="26"/>
      <c r="AO107" s="26"/>
      <c r="AP107" s="26"/>
      <c r="AQ107" s="26"/>
      <c r="AR107" s="26"/>
      <c r="AS107" s="26"/>
      <c r="AT107" s="26"/>
      <c r="AU107" s="26"/>
      <c r="AV107" s="161"/>
      <c r="AW107" s="161"/>
      <c r="AX107" s="161"/>
      <c r="AY107" s="161"/>
      <c r="AZ107" s="305"/>
      <c r="BA107" s="320"/>
      <c r="BB107" s="327"/>
      <c r="BC107" s="305"/>
      <c r="BD107" s="538"/>
      <c r="BE107" s="538"/>
      <c r="BF107" s="538"/>
      <c r="BG107" s="538"/>
      <c r="BH107" s="538"/>
      <c r="BI107" s="329"/>
      <c r="BJ107" s="329"/>
      <c r="BK107" s="570"/>
      <c r="BL107" s="570"/>
    </row>
    <row r="108" spans="1:100" ht="11.1" customHeight="1">
      <c r="A108" s="129" t="s">
        <v>128</v>
      </c>
      <c r="B108" s="28">
        <v>1</v>
      </c>
      <c r="C108" s="28">
        <v>1</v>
      </c>
      <c r="D108" s="28">
        <v>1</v>
      </c>
      <c r="E108" s="28">
        <v>1</v>
      </c>
      <c r="F108" s="28">
        <v>1</v>
      </c>
      <c r="G108" s="28">
        <v>1</v>
      </c>
      <c r="H108" s="28">
        <v>1</v>
      </c>
      <c r="I108" s="28">
        <v>1</v>
      </c>
      <c r="J108" s="28">
        <v>2</v>
      </c>
      <c r="K108" s="28">
        <v>2</v>
      </c>
      <c r="L108" s="13">
        <v>2</v>
      </c>
      <c r="M108" s="13">
        <v>9</v>
      </c>
      <c r="N108" s="13">
        <v>10</v>
      </c>
      <c r="O108" s="13">
        <v>14</v>
      </c>
      <c r="P108" s="13">
        <v>13</v>
      </c>
      <c r="Q108" s="13">
        <v>21</v>
      </c>
      <c r="R108" s="13">
        <v>26</v>
      </c>
      <c r="S108" s="13">
        <v>29</v>
      </c>
      <c r="T108" s="13">
        <v>32</v>
      </c>
      <c r="U108" s="13">
        <v>39</v>
      </c>
      <c r="V108" s="13">
        <v>41</v>
      </c>
      <c r="W108" s="13">
        <v>44</v>
      </c>
      <c r="X108" s="13">
        <v>46</v>
      </c>
      <c r="Y108" s="13">
        <v>46</v>
      </c>
      <c r="Z108" s="13">
        <v>51</v>
      </c>
      <c r="AA108" s="13">
        <v>54</v>
      </c>
      <c r="AB108" s="13">
        <v>57</v>
      </c>
      <c r="AC108" s="13">
        <v>56</v>
      </c>
      <c r="AD108" s="13">
        <v>53</v>
      </c>
      <c r="AE108" s="13">
        <v>59</v>
      </c>
      <c r="AF108" s="13">
        <v>66</v>
      </c>
      <c r="AG108" s="13">
        <v>74</v>
      </c>
      <c r="AH108" s="13">
        <v>85</v>
      </c>
      <c r="AI108" s="13">
        <v>88</v>
      </c>
      <c r="AJ108" s="13">
        <v>93</v>
      </c>
      <c r="AK108" s="13">
        <v>99</v>
      </c>
      <c r="AL108" s="13">
        <v>100</v>
      </c>
      <c r="AM108" s="26">
        <v>102</v>
      </c>
      <c r="AN108" s="26">
        <v>104</v>
      </c>
      <c r="AO108" s="96">
        <v>106</v>
      </c>
      <c r="AP108" s="96">
        <v>111</v>
      </c>
      <c r="AQ108" s="96">
        <v>128</v>
      </c>
      <c r="AR108" s="26">
        <v>133</v>
      </c>
      <c r="AS108" s="26">
        <v>141</v>
      </c>
      <c r="AT108" s="26">
        <v>146</v>
      </c>
      <c r="AU108" s="26">
        <v>145</v>
      </c>
      <c r="AV108" s="161">
        <v>154</v>
      </c>
      <c r="AW108" s="161">
        <v>162</v>
      </c>
      <c r="AX108" s="161">
        <v>180</v>
      </c>
      <c r="AY108" s="161">
        <v>197</v>
      </c>
      <c r="AZ108" s="161">
        <v>215</v>
      </c>
      <c r="BA108" s="320">
        <v>207</v>
      </c>
      <c r="BB108" s="320">
        <v>199</v>
      </c>
      <c r="BC108" s="320">
        <v>192</v>
      </c>
      <c r="BD108" s="374">
        <v>194</v>
      </c>
      <c r="BE108" s="374">
        <v>211</v>
      </c>
      <c r="BF108" s="374">
        <v>217</v>
      </c>
      <c r="BG108" s="374">
        <v>205</v>
      </c>
      <c r="BH108" s="374">
        <v>204</v>
      </c>
      <c r="BI108" s="385">
        <f>(BG108-BF108)/BF108</f>
        <v>-5.5299539170506916E-2</v>
      </c>
      <c r="BJ108" s="385">
        <f>(BH108-BG108)/BG108</f>
        <v>-4.8780487804878049E-3</v>
      </c>
      <c r="BK108" s="569">
        <f>BG108-BF108</f>
        <v>-12</v>
      </c>
      <c r="BL108" s="569">
        <f>BH108-BG108</f>
        <v>-1</v>
      </c>
    </row>
    <row r="109" spans="1:100" ht="6" customHeight="1">
      <c r="A109" s="12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26"/>
      <c r="AN109" s="26"/>
      <c r="AO109" s="26"/>
      <c r="AP109" s="26"/>
      <c r="AQ109" s="26"/>
      <c r="AR109" s="26"/>
      <c r="AS109" s="26"/>
      <c r="AT109" s="26"/>
      <c r="AU109" s="26"/>
      <c r="AV109" s="161"/>
      <c r="AW109" s="161"/>
      <c r="AX109" s="161"/>
      <c r="AY109" s="161"/>
      <c r="AZ109" s="305"/>
      <c r="BA109" s="320"/>
      <c r="BB109" s="327"/>
      <c r="BC109" s="305"/>
      <c r="BD109" s="538"/>
      <c r="BE109" s="538"/>
      <c r="BF109" s="538"/>
      <c r="BG109" s="538"/>
      <c r="BH109" s="538"/>
      <c r="BI109" s="329"/>
      <c r="BJ109" s="329"/>
      <c r="BK109" s="570"/>
      <c r="BL109" s="570"/>
    </row>
    <row r="110" spans="1:100" ht="11.1" customHeight="1">
      <c r="A110" s="126" t="s">
        <v>41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26"/>
      <c r="AN110" s="26"/>
      <c r="AO110" s="26"/>
      <c r="AP110" s="26"/>
      <c r="AQ110" s="26"/>
      <c r="AR110" s="26"/>
      <c r="AS110" s="26"/>
      <c r="AT110" s="26"/>
      <c r="AU110" s="26"/>
      <c r="AV110" s="161"/>
      <c r="AW110" s="161"/>
      <c r="AX110" s="161"/>
      <c r="AY110" s="161"/>
      <c r="AZ110" s="305"/>
      <c r="BA110" s="320"/>
      <c r="BB110" s="327"/>
      <c r="BC110" s="305"/>
      <c r="BD110" s="538"/>
      <c r="BE110" s="538"/>
      <c r="BF110" s="538"/>
      <c r="BG110" s="538"/>
      <c r="BH110" s="538"/>
      <c r="BI110" s="329"/>
      <c r="BJ110" s="329"/>
      <c r="BK110" s="570"/>
      <c r="BL110" s="570"/>
    </row>
    <row r="111" spans="1:100" ht="11.1" customHeight="1">
      <c r="A111" s="129" t="s">
        <v>129</v>
      </c>
      <c r="B111" s="28">
        <v>3</v>
      </c>
      <c r="C111" s="28">
        <v>3</v>
      </c>
      <c r="D111" s="28">
        <v>4</v>
      </c>
      <c r="E111" s="28">
        <v>5</v>
      </c>
      <c r="F111" s="28">
        <v>5</v>
      </c>
      <c r="G111" s="28">
        <v>4</v>
      </c>
      <c r="H111" s="28">
        <v>5</v>
      </c>
      <c r="I111" s="28">
        <v>5</v>
      </c>
      <c r="J111" s="28">
        <v>5</v>
      </c>
      <c r="K111" s="28">
        <v>6</v>
      </c>
      <c r="L111" s="13">
        <v>7</v>
      </c>
      <c r="M111" s="13">
        <v>7</v>
      </c>
      <c r="N111" s="13">
        <v>13</v>
      </c>
      <c r="O111" s="13">
        <v>17</v>
      </c>
      <c r="P111" s="13">
        <v>18</v>
      </c>
      <c r="Q111" s="13">
        <v>23</v>
      </c>
      <c r="R111" s="13">
        <v>36</v>
      </c>
      <c r="S111" s="13">
        <v>34</v>
      </c>
      <c r="T111" s="13">
        <v>57</v>
      </c>
      <c r="U111" s="13">
        <v>64</v>
      </c>
      <c r="V111" s="13">
        <v>71</v>
      </c>
      <c r="W111" s="13">
        <v>78</v>
      </c>
      <c r="X111" s="13">
        <v>85</v>
      </c>
      <c r="Y111" s="13">
        <v>72</v>
      </c>
      <c r="Z111" s="13">
        <v>76</v>
      </c>
      <c r="AA111" s="13">
        <v>87</v>
      </c>
      <c r="AB111" s="13">
        <v>109</v>
      </c>
      <c r="AC111" s="13">
        <v>113</v>
      </c>
      <c r="AD111" s="13">
        <v>130</v>
      </c>
      <c r="AE111" s="13">
        <v>143</v>
      </c>
      <c r="AF111" s="13">
        <v>152</v>
      </c>
      <c r="AG111" s="13">
        <v>198</v>
      </c>
      <c r="AH111" s="13">
        <v>222</v>
      </c>
      <c r="AI111" s="13">
        <v>260</v>
      </c>
      <c r="AJ111" s="13">
        <v>273</v>
      </c>
      <c r="AK111" s="13">
        <v>184</v>
      </c>
      <c r="AL111" s="13">
        <v>162</v>
      </c>
      <c r="AM111" s="26">
        <v>174</v>
      </c>
      <c r="AN111" s="26">
        <v>185</v>
      </c>
      <c r="AO111" s="26">
        <v>222</v>
      </c>
      <c r="AP111" s="26">
        <v>236</v>
      </c>
      <c r="AQ111" s="26">
        <v>255</v>
      </c>
      <c r="AR111" s="96">
        <v>274</v>
      </c>
      <c r="AS111" s="96">
        <v>288</v>
      </c>
      <c r="AT111" s="96">
        <v>295</v>
      </c>
      <c r="AU111" s="96">
        <v>316</v>
      </c>
      <c r="AV111" s="180">
        <v>345</v>
      </c>
      <c r="AW111" s="180">
        <v>314.94670420533936</v>
      </c>
      <c r="AX111" s="279">
        <v>411</v>
      </c>
      <c r="AY111" s="279">
        <v>295</v>
      </c>
      <c r="AZ111" s="279">
        <v>376</v>
      </c>
      <c r="BA111" s="316">
        <v>386</v>
      </c>
      <c r="BB111" s="316">
        <v>457</v>
      </c>
      <c r="BC111" s="316">
        <v>517</v>
      </c>
      <c r="BD111" s="585">
        <v>507</v>
      </c>
      <c r="BE111" s="585">
        <v>348</v>
      </c>
      <c r="BF111" s="316">
        <v>422</v>
      </c>
      <c r="BG111" s="316">
        <v>355</v>
      </c>
      <c r="BH111" s="316">
        <v>355</v>
      </c>
      <c r="BI111" s="385">
        <f t="shared" ref="BI111:BJ117" si="44">(BG111-BF111)/BF111</f>
        <v>-0.15876777251184834</v>
      </c>
      <c r="BJ111" s="385">
        <f t="shared" si="44"/>
        <v>0</v>
      </c>
      <c r="BK111" s="569">
        <f t="shared" ref="BK111:BL117" si="45">BG111-BF111</f>
        <v>-67</v>
      </c>
      <c r="BL111" s="569">
        <f t="shared" si="45"/>
        <v>0</v>
      </c>
    </row>
    <row r="112" spans="1:100" ht="11.1" customHeight="1">
      <c r="A112" s="129" t="s">
        <v>130</v>
      </c>
      <c r="B112" s="46" t="s">
        <v>3</v>
      </c>
      <c r="C112" s="46" t="s">
        <v>3</v>
      </c>
      <c r="D112" s="46" t="s">
        <v>3</v>
      </c>
      <c r="E112" s="46" t="s">
        <v>3</v>
      </c>
      <c r="F112" s="46" t="s">
        <v>3</v>
      </c>
      <c r="G112" s="46" t="s">
        <v>3</v>
      </c>
      <c r="H112" s="46" t="s">
        <v>3</v>
      </c>
      <c r="I112" s="46" t="s">
        <v>3</v>
      </c>
      <c r="J112" s="46" t="s">
        <v>3</v>
      </c>
      <c r="K112" s="46" t="s">
        <v>3</v>
      </c>
      <c r="L112" s="46" t="s">
        <v>3</v>
      </c>
      <c r="M112" s="46" t="s">
        <v>3</v>
      </c>
      <c r="N112" s="46" t="s">
        <v>3</v>
      </c>
      <c r="O112" s="46" t="s">
        <v>3</v>
      </c>
      <c r="P112" s="46" t="s">
        <v>3</v>
      </c>
      <c r="Q112" s="46" t="s">
        <v>3</v>
      </c>
      <c r="R112" s="46" t="s">
        <v>3</v>
      </c>
      <c r="S112" s="46" t="s">
        <v>3</v>
      </c>
      <c r="T112" s="46" t="s">
        <v>3</v>
      </c>
      <c r="U112" s="46" t="s">
        <v>3</v>
      </c>
      <c r="V112" s="46" t="s">
        <v>3</v>
      </c>
      <c r="W112" s="46" t="s">
        <v>3</v>
      </c>
      <c r="X112" s="46" t="s">
        <v>3</v>
      </c>
      <c r="Y112" s="13">
        <v>119</v>
      </c>
      <c r="Z112" s="13">
        <v>157</v>
      </c>
      <c r="AA112" s="13">
        <f>(161323-69297+69748+113)/1000</f>
        <v>161.887</v>
      </c>
      <c r="AB112" s="13">
        <v>157</v>
      </c>
      <c r="AC112" s="13">
        <v>166</v>
      </c>
      <c r="AD112" s="13">
        <v>165</v>
      </c>
      <c r="AE112" s="13">
        <v>171</v>
      </c>
      <c r="AF112" s="13">
        <v>179</v>
      </c>
      <c r="AG112" s="13">
        <v>183</v>
      </c>
      <c r="AH112" s="13">
        <v>201</v>
      </c>
      <c r="AI112" s="13">
        <v>209</v>
      </c>
      <c r="AJ112" s="96">
        <v>203</v>
      </c>
      <c r="AK112" s="13">
        <v>193</v>
      </c>
      <c r="AL112" s="13">
        <v>195</v>
      </c>
      <c r="AM112" s="26">
        <v>202</v>
      </c>
      <c r="AN112" s="26">
        <v>205</v>
      </c>
      <c r="AO112" s="26">
        <v>214</v>
      </c>
      <c r="AP112" s="26">
        <v>412</v>
      </c>
      <c r="AQ112" s="26">
        <v>480</v>
      </c>
      <c r="AR112" s="96">
        <v>762</v>
      </c>
      <c r="AS112" s="55">
        <v>1161</v>
      </c>
      <c r="AT112" s="96">
        <v>316</v>
      </c>
      <c r="AU112" s="26">
        <v>348</v>
      </c>
      <c r="AV112" s="180">
        <v>327</v>
      </c>
      <c r="AW112" s="180">
        <v>322</v>
      </c>
      <c r="AX112" s="180">
        <v>317</v>
      </c>
      <c r="AY112" s="180">
        <v>327</v>
      </c>
      <c r="AZ112" s="319">
        <v>356</v>
      </c>
      <c r="BA112" s="319">
        <v>376</v>
      </c>
      <c r="BB112" s="319">
        <v>169</v>
      </c>
      <c r="BC112" s="319">
        <v>155</v>
      </c>
      <c r="BD112" s="316">
        <v>153</v>
      </c>
      <c r="BE112" s="316">
        <v>171</v>
      </c>
      <c r="BF112" s="316">
        <v>174</v>
      </c>
      <c r="BG112" s="316">
        <v>209</v>
      </c>
      <c r="BH112" s="316">
        <v>215</v>
      </c>
      <c r="BI112" s="385">
        <f t="shared" si="44"/>
        <v>0.20114942528735633</v>
      </c>
      <c r="BJ112" s="385">
        <f t="shared" si="44"/>
        <v>2.8708133971291867E-2</v>
      </c>
      <c r="BK112" s="569">
        <f t="shared" si="45"/>
        <v>35</v>
      </c>
      <c r="BL112" s="569">
        <f t="shared" si="45"/>
        <v>6</v>
      </c>
    </row>
    <row r="113" spans="1:208" s="373" customFormat="1" ht="12" customHeight="1">
      <c r="A113" s="373" t="s">
        <v>112</v>
      </c>
      <c r="B113" s="372" t="s">
        <v>3</v>
      </c>
      <c r="C113" s="372" t="s">
        <v>3</v>
      </c>
      <c r="D113" s="372" t="s">
        <v>3</v>
      </c>
      <c r="E113" s="372" t="s">
        <v>3</v>
      </c>
      <c r="F113" s="372" t="s">
        <v>3</v>
      </c>
      <c r="G113" s="372" t="s">
        <v>3</v>
      </c>
      <c r="H113" s="372" t="s">
        <v>3</v>
      </c>
      <c r="I113" s="372" t="s">
        <v>3</v>
      </c>
      <c r="J113" s="372" t="s">
        <v>3</v>
      </c>
      <c r="K113" s="372" t="s">
        <v>3</v>
      </c>
      <c r="L113" s="372" t="s">
        <v>3</v>
      </c>
      <c r="M113" s="372" t="s">
        <v>3</v>
      </c>
      <c r="N113" s="372" t="s">
        <v>3</v>
      </c>
      <c r="O113" s="372" t="s">
        <v>3</v>
      </c>
      <c r="P113" s="372" t="s">
        <v>3</v>
      </c>
      <c r="Q113" s="372" t="s">
        <v>3</v>
      </c>
      <c r="R113" s="372" t="s">
        <v>3</v>
      </c>
      <c r="S113" s="372" t="s">
        <v>3</v>
      </c>
      <c r="T113" s="372" t="s">
        <v>3</v>
      </c>
      <c r="U113" s="372" t="s">
        <v>3</v>
      </c>
      <c r="V113" s="372" t="s">
        <v>3</v>
      </c>
      <c r="W113" s="372" t="s">
        <v>3</v>
      </c>
      <c r="X113" s="372" t="s">
        <v>3</v>
      </c>
      <c r="Y113" s="372" t="s">
        <v>3</v>
      </c>
      <c r="Z113" s="372" t="s">
        <v>3</v>
      </c>
      <c r="AA113" s="372" t="s">
        <v>3</v>
      </c>
      <c r="AB113" s="372" t="s">
        <v>3</v>
      </c>
      <c r="AC113" s="372" t="s">
        <v>3</v>
      </c>
      <c r="AD113" s="372" t="s">
        <v>3</v>
      </c>
      <c r="AE113" s="372" t="s">
        <v>3</v>
      </c>
      <c r="AF113" s="372" t="s">
        <v>3</v>
      </c>
      <c r="AG113" s="372" t="s">
        <v>3</v>
      </c>
      <c r="AH113" s="372" t="s">
        <v>3</v>
      </c>
      <c r="AI113" s="372" t="s">
        <v>3</v>
      </c>
      <c r="AJ113" s="372" t="s">
        <v>3</v>
      </c>
      <c r="AK113" s="372" t="s">
        <v>3</v>
      </c>
      <c r="AL113" s="372" t="s">
        <v>3</v>
      </c>
      <c r="AM113" s="372" t="s">
        <v>3</v>
      </c>
      <c r="AN113" s="372" t="s">
        <v>3</v>
      </c>
      <c r="AO113" s="372" t="s">
        <v>3</v>
      </c>
      <c r="AP113" s="372" t="s">
        <v>3</v>
      </c>
      <c r="AQ113" s="372" t="s">
        <v>3</v>
      </c>
      <c r="AR113" s="372" t="s">
        <v>3</v>
      </c>
      <c r="AS113" s="372" t="s">
        <v>3</v>
      </c>
      <c r="AT113" s="372" t="s">
        <v>3</v>
      </c>
      <c r="AU113" s="372" t="s">
        <v>3</v>
      </c>
      <c r="AV113" s="372" t="s">
        <v>3</v>
      </c>
      <c r="AW113" s="372" t="s">
        <v>3</v>
      </c>
      <c r="AX113" s="372" t="s">
        <v>3</v>
      </c>
      <c r="AY113" s="372" t="s">
        <v>3</v>
      </c>
      <c r="AZ113" s="372" t="s">
        <v>3</v>
      </c>
      <c r="BA113" s="372" t="s">
        <v>3</v>
      </c>
      <c r="BB113" s="373">
        <v>125</v>
      </c>
      <c r="BC113" s="373">
        <v>182</v>
      </c>
      <c r="BD113" s="444">
        <v>198</v>
      </c>
      <c r="BE113" s="444">
        <v>228</v>
      </c>
      <c r="BF113" s="444">
        <v>236</v>
      </c>
      <c r="BG113" s="444">
        <v>246</v>
      </c>
      <c r="BH113" s="444">
        <v>239</v>
      </c>
      <c r="BI113" s="385">
        <f t="shared" si="44"/>
        <v>4.2372881355932202E-2</v>
      </c>
      <c r="BJ113" s="385">
        <f t="shared" si="44"/>
        <v>-2.8455284552845527E-2</v>
      </c>
      <c r="BK113" s="569">
        <f t="shared" si="45"/>
        <v>10</v>
      </c>
      <c r="BL113" s="569">
        <f t="shared" si="45"/>
        <v>-7</v>
      </c>
    </row>
    <row r="114" spans="1:208" s="373" customFormat="1" ht="12" customHeight="1">
      <c r="A114" s="373" t="s">
        <v>113</v>
      </c>
      <c r="B114" s="372" t="s">
        <v>3</v>
      </c>
      <c r="C114" s="372" t="s">
        <v>3</v>
      </c>
      <c r="D114" s="372" t="s">
        <v>3</v>
      </c>
      <c r="E114" s="372" t="s">
        <v>3</v>
      </c>
      <c r="F114" s="372" t="s">
        <v>3</v>
      </c>
      <c r="G114" s="372" t="s">
        <v>3</v>
      </c>
      <c r="H114" s="372" t="s">
        <v>3</v>
      </c>
      <c r="I114" s="372" t="s">
        <v>3</v>
      </c>
      <c r="J114" s="372" t="s">
        <v>3</v>
      </c>
      <c r="K114" s="372" t="s">
        <v>3</v>
      </c>
      <c r="L114" s="372" t="s">
        <v>3</v>
      </c>
      <c r="M114" s="372" t="s">
        <v>3</v>
      </c>
      <c r="N114" s="372" t="s">
        <v>3</v>
      </c>
      <c r="O114" s="372" t="s">
        <v>3</v>
      </c>
      <c r="P114" s="372" t="s">
        <v>3</v>
      </c>
      <c r="Q114" s="372" t="s">
        <v>3</v>
      </c>
      <c r="R114" s="372" t="s">
        <v>3</v>
      </c>
      <c r="S114" s="372" t="s">
        <v>3</v>
      </c>
      <c r="T114" s="372" t="s">
        <v>3</v>
      </c>
      <c r="U114" s="372" t="s">
        <v>3</v>
      </c>
      <c r="V114" s="372" t="s">
        <v>3</v>
      </c>
      <c r="W114" s="372" t="s">
        <v>3</v>
      </c>
      <c r="X114" s="372" t="s">
        <v>3</v>
      </c>
      <c r="Y114" s="372" t="s">
        <v>3</v>
      </c>
      <c r="Z114" s="372" t="s">
        <v>3</v>
      </c>
      <c r="AA114" s="372" t="s">
        <v>3</v>
      </c>
      <c r="AB114" s="372" t="s">
        <v>3</v>
      </c>
      <c r="AC114" s="372" t="s">
        <v>3</v>
      </c>
      <c r="AD114" s="372" t="s">
        <v>3</v>
      </c>
      <c r="AE114" s="372" t="s">
        <v>3</v>
      </c>
      <c r="AF114" s="372" t="s">
        <v>3</v>
      </c>
      <c r="AG114" s="372" t="s">
        <v>3</v>
      </c>
      <c r="AH114" s="372" t="s">
        <v>3</v>
      </c>
      <c r="AI114" s="372">
        <v>5</v>
      </c>
      <c r="AJ114" s="373">
        <v>5</v>
      </c>
      <c r="AK114" s="373">
        <v>4</v>
      </c>
      <c r="AL114" s="373">
        <v>6</v>
      </c>
      <c r="AM114" s="373">
        <v>6</v>
      </c>
      <c r="AN114" s="373">
        <v>6</v>
      </c>
      <c r="AO114" s="373">
        <v>6</v>
      </c>
      <c r="AP114" s="373">
        <v>6</v>
      </c>
      <c r="AQ114" s="373">
        <v>7</v>
      </c>
      <c r="AR114" s="373">
        <v>6</v>
      </c>
      <c r="AS114" s="373">
        <v>6</v>
      </c>
      <c r="AT114" s="373">
        <v>6</v>
      </c>
      <c r="AU114" s="373">
        <v>7</v>
      </c>
      <c r="AV114" s="373">
        <v>8</v>
      </c>
      <c r="AW114" s="373">
        <v>7</v>
      </c>
      <c r="AX114" s="373">
        <v>6</v>
      </c>
      <c r="AY114" s="373">
        <v>7</v>
      </c>
      <c r="AZ114" s="373">
        <v>7</v>
      </c>
      <c r="BA114" s="373">
        <v>7</v>
      </c>
      <c r="BB114" s="373">
        <v>10</v>
      </c>
      <c r="BC114" s="373">
        <v>10</v>
      </c>
      <c r="BD114" s="444">
        <v>10</v>
      </c>
      <c r="BE114" s="444">
        <v>17</v>
      </c>
      <c r="BF114" s="444">
        <v>17</v>
      </c>
      <c r="BG114" s="444">
        <v>22</v>
      </c>
      <c r="BH114" s="444">
        <v>22</v>
      </c>
      <c r="BI114" s="385">
        <f t="shared" si="44"/>
        <v>0.29411764705882354</v>
      </c>
      <c r="BJ114" s="385">
        <f t="shared" si="44"/>
        <v>0</v>
      </c>
      <c r="BK114" s="569">
        <f t="shared" si="45"/>
        <v>5</v>
      </c>
      <c r="BL114" s="569">
        <f t="shared" si="45"/>
        <v>0</v>
      </c>
    </row>
    <row r="115" spans="1:208" ht="11.1" customHeight="1">
      <c r="A115" s="129" t="s">
        <v>131</v>
      </c>
      <c r="B115" s="30" t="s">
        <v>3</v>
      </c>
      <c r="C115" s="30" t="s">
        <v>3</v>
      </c>
      <c r="D115" s="30" t="s">
        <v>3</v>
      </c>
      <c r="E115" s="30" t="s">
        <v>3</v>
      </c>
      <c r="F115" s="30" t="s">
        <v>3</v>
      </c>
      <c r="G115" s="30" t="s">
        <v>3</v>
      </c>
      <c r="H115" s="30" t="s">
        <v>3</v>
      </c>
      <c r="I115" s="30" t="s">
        <v>3</v>
      </c>
      <c r="J115" s="30" t="s">
        <v>3</v>
      </c>
      <c r="K115" s="30" t="s">
        <v>3</v>
      </c>
      <c r="L115" s="30" t="s">
        <v>3</v>
      </c>
      <c r="M115" s="30" t="s">
        <v>3</v>
      </c>
      <c r="N115" s="30" t="s">
        <v>3</v>
      </c>
      <c r="O115" s="30" t="s">
        <v>3</v>
      </c>
      <c r="P115" s="30" t="s">
        <v>3</v>
      </c>
      <c r="Q115" s="30" t="s">
        <v>3</v>
      </c>
      <c r="R115" s="30" t="s">
        <v>3</v>
      </c>
      <c r="S115" s="46" t="s">
        <v>10</v>
      </c>
      <c r="T115" s="27">
        <v>5</v>
      </c>
      <c r="U115" s="27">
        <v>48</v>
      </c>
      <c r="V115" s="27">
        <v>85</v>
      </c>
      <c r="W115" s="27">
        <v>131</v>
      </c>
      <c r="X115" s="27">
        <v>119</v>
      </c>
      <c r="Y115" s="27">
        <v>164</v>
      </c>
      <c r="Z115" s="27">
        <v>206</v>
      </c>
      <c r="AA115" s="27">
        <v>272</v>
      </c>
      <c r="AB115" s="27">
        <v>327</v>
      </c>
      <c r="AC115" s="27">
        <v>325</v>
      </c>
      <c r="AD115" s="27">
        <v>349</v>
      </c>
      <c r="AE115" s="27">
        <v>323</v>
      </c>
      <c r="AF115" s="27">
        <v>327</v>
      </c>
      <c r="AG115" s="27">
        <v>323</v>
      </c>
      <c r="AH115" s="27">
        <v>295</v>
      </c>
      <c r="AI115" s="27">
        <v>305</v>
      </c>
      <c r="AJ115" s="27">
        <v>314</v>
      </c>
      <c r="AK115" s="27">
        <v>313</v>
      </c>
      <c r="AL115" s="27">
        <v>316</v>
      </c>
      <c r="AM115" s="26">
        <v>322</v>
      </c>
      <c r="AN115" s="73">
        <v>331</v>
      </c>
      <c r="AO115" s="55">
        <v>359</v>
      </c>
      <c r="AP115" s="55">
        <v>392</v>
      </c>
      <c r="AQ115" s="55">
        <v>441</v>
      </c>
      <c r="AR115" s="55">
        <v>420</v>
      </c>
      <c r="AS115" s="55">
        <v>384</v>
      </c>
      <c r="AT115" s="55">
        <v>322</v>
      </c>
      <c r="AU115" s="55">
        <v>385</v>
      </c>
      <c r="AV115" s="33">
        <f>111+268</f>
        <v>379</v>
      </c>
      <c r="AW115" s="33">
        <f>105+313</f>
        <v>418</v>
      </c>
      <c r="AX115" s="33">
        <v>411</v>
      </c>
      <c r="AY115" s="33">
        <v>325</v>
      </c>
      <c r="AZ115" s="33">
        <v>180</v>
      </c>
      <c r="BA115" s="356">
        <v>173</v>
      </c>
      <c r="BB115" s="356">
        <v>119</v>
      </c>
      <c r="BC115" s="356">
        <v>117</v>
      </c>
      <c r="BD115" s="367">
        <v>111</v>
      </c>
      <c r="BE115" s="367">
        <v>116</v>
      </c>
      <c r="BF115" s="367">
        <v>117</v>
      </c>
      <c r="BG115" s="367">
        <v>125</v>
      </c>
      <c r="BH115" s="367">
        <v>117</v>
      </c>
      <c r="BI115" s="385">
        <f t="shared" si="44"/>
        <v>6.8376068376068383E-2</v>
      </c>
      <c r="BJ115" s="385">
        <f t="shared" si="44"/>
        <v>-6.4000000000000001E-2</v>
      </c>
      <c r="BK115" s="569">
        <f t="shared" si="45"/>
        <v>8</v>
      </c>
      <c r="BL115" s="569">
        <f t="shared" si="45"/>
        <v>-8</v>
      </c>
    </row>
    <row r="116" spans="1:208" ht="11.1" customHeight="1">
      <c r="A116" s="294" t="s">
        <v>132</v>
      </c>
      <c r="B116" s="47" t="s">
        <v>3</v>
      </c>
      <c r="C116" s="47" t="s">
        <v>3</v>
      </c>
      <c r="D116" s="47" t="s">
        <v>3</v>
      </c>
      <c r="E116" s="47" t="s">
        <v>3</v>
      </c>
      <c r="F116" s="47" t="s">
        <v>3</v>
      </c>
      <c r="G116" s="47" t="s">
        <v>3</v>
      </c>
      <c r="H116" s="47" t="s">
        <v>3</v>
      </c>
      <c r="I116" s="47" t="s">
        <v>3</v>
      </c>
      <c r="J116" s="47" t="s">
        <v>3</v>
      </c>
      <c r="K116" s="47" t="s">
        <v>3</v>
      </c>
      <c r="L116" s="47" t="s">
        <v>3</v>
      </c>
      <c r="M116" s="47" t="s">
        <v>3</v>
      </c>
      <c r="N116" s="47" t="s">
        <v>3</v>
      </c>
      <c r="O116" s="47" t="s">
        <v>3</v>
      </c>
      <c r="P116" s="47" t="s">
        <v>3</v>
      </c>
      <c r="Q116" s="47" t="s">
        <v>3</v>
      </c>
      <c r="R116" s="47" t="s">
        <v>3</v>
      </c>
      <c r="S116" s="47" t="s">
        <v>3</v>
      </c>
      <c r="T116" s="47" t="s">
        <v>3</v>
      </c>
      <c r="U116" s="47" t="s">
        <v>3</v>
      </c>
      <c r="V116" s="47" t="s">
        <v>3</v>
      </c>
      <c r="W116" s="47" t="s">
        <v>3</v>
      </c>
      <c r="X116" s="47" t="s">
        <v>3</v>
      </c>
      <c r="Y116" s="47" t="s">
        <v>3</v>
      </c>
      <c r="Z116" s="47" t="s">
        <v>3</v>
      </c>
      <c r="AA116" s="47" t="s">
        <v>3</v>
      </c>
      <c r="AB116" s="47" t="s">
        <v>3</v>
      </c>
      <c r="AC116" s="47" t="s">
        <v>3</v>
      </c>
      <c r="AD116" s="47" t="s">
        <v>3</v>
      </c>
      <c r="AE116" s="47" t="s">
        <v>3</v>
      </c>
      <c r="AF116" s="47" t="s">
        <v>3</v>
      </c>
      <c r="AG116" s="47" t="s">
        <v>3</v>
      </c>
      <c r="AH116" s="47" t="s">
        <v>3</v>
      </c>
      <c r="AI116" s="47" t="s">
        <v>3</v>
      </c>
      <c r="AJ116" s="47" t="s">
        <v>3</v>
      </c>
      <c r="AK116" s="15">
        <v>204</v>
      </c>
      <c r="AL116" s="15">
        <v>188</v>
      </c>
      <c r="AM116" s="42">
        <v>188</v>
      </c>
      <c r="AN116" s="42">
        <v>202</v>
      </c>
      <c r="AO116" s="42">
        <v>233</v>
      </c>
      <c r="AP116" s="42">
        <v>196</v>
      </c>
      <c r="AQ116" s="42">
        <v>222</v>
      </c>
      <c r="AR116" s="42">
        <v>236</v>
      </c>
      <c r="AS116" s="42">
        <v>243</v>
      </c>
      <c r="AT116" s="42">
        <v>261</v>
      </c>
      <c r="AU116" s="42">
        <v>246</v>
      </c>
      <c r="AV116" s="92">
        <v>256</v>
      </c>
      <c r="AW116" s="180">
        <v>257.52774974772956</v>
      </c>
      <c r="AX116" s="279">
        <v>264.71052631578948</v>
      </c>
      <c r="AY116" s="279">
        <v>257</v>
      </c>
      <c r="AZ116" s="316">
        <v>274</v>
      </c>
      <c r="BA116" s="316">
        <v>322</v>
      </c>
      <c r="BB116" s="316">
        <v>311</v>
      </c>
      <c r="BC116" s="316">
        <v>295</v>
      </c>
      <c r="BD116" s="316">
        <v>289</v>
      </c>
      <c r="BE116" s="357">
        <v>299.97883948279917</v>
      </c>
      <c r="BF116" s="370">
        <v>306</v>
      </c>
      <c r="BG116" s="370">
        <v>298</v>
      </c>
      <c r="BH116" s="370">
        <v>274</v>
      </c>
      <c r="BI116" s="385">
        <f t="shared" si="44"/>
        <v>-2.6143790849673203E-2</v>
      </c>
      <c r="BJ116" s="385">
        <f t="shared" si="44"/>
        <v>-8.0536912751677847E-2</v>
      </c>
      <c r="BK116" s="569">
        <f t="shared" si="45"/>
        <v>-8</v>
      </c>
      <c r="BL116" s="569">
        <f t="shared" si="45"/>
        <v>-24</v>
      </c>
    </row>
    <row r="117" spans="1:208" ht="11.1" customHeight="1">
      <c r="A117" s="128" t="s">
        <v>32</v>
      </c>
      <c r="B117" s="137">
        <f t="shared" ref="B117:Q117" si="46">SUM(B111:B115)</f>
        <v>3</v>
      </c>
      <c r="C117" s="137">
        <f t="shared" si="46"/>
        <v>3</v>
      </c>
      <c r="D117" s="137">
        <f t="shared" si="46"/>
        <v>4</v>
      </c>
      <c r="E117" s="137">
        <f t="shared" si="46"/>
        <v>5</v>
      </c>
      <c r="F117" s="137">
        <f t="shared" si="46"/>
        <v>5</v>
      </c>
      <c r="G117" s="137">
        <f t="shared" si="46"/>
        <v>4</v>
      </c>
      <c r="H117" s="137">
        <f t="shared" si="46"/>
        <v>5</v>
      </c>
      <c r="I117" s="137">
        <f t="shared" si="46"/>
        <v>5</v>
      </c>
      <c r="J117" s="137">
        <f t="shared" si="46"/>
        <v>5</v>
      </c>
      <c r="K117" s="137">
        <f t="shared" si="46"/>
        <v>6</v>
      </c>
      <c r="L117" s="137">
        <f t="shared" si="46"/>
        <v>7</v>
      </c>
      <c r="M117" s="137">
        <f t="shared" si="46"/>
        <v>7</v>
      </c>
      <c r="N117" s="137">
        <f t="shared" si="46"/>
        <v>13</v>
      </c>
      <c r="O117" s="137">
        <f t="shared" si="46"/>
        <v>17</v>
      </c>
      <c r="P117" s="137">
        <f t="shared" si="46"/>
        <v>18</v>
      </c>
      <c r="Q117" s="137">
        <f t="shared" si="46"/>
        <v>23</v>
      </c>
      <c r="R117" s="137">
        <f>SUM(R111:R115)</f>
        <v>36</v>
      </c>
      <c r="S117" s="137">
        <f>SUM(S111:S115)</f>
        <v>34</v>
      </c>
      <c r="T117" s="137">
        <f>SUM(T111:T115)</f>
        <v>62</v>
      </c>
      <c r="U117" s="137">
        <f>SUM(U111:U115)</f>
        <v>112</v>
      </c>
      <c r="V117" s="137">
        <f t="shared" ref="V117:AE117" si="47">SUM(V111:V115)</f>
        <v>156</v>
      </c>
      <c r="W117" s="137">
        <f t="shared" si="47"/>
        <v>209</v>
      </c>
      <c r="X117" s="137">
        <f t="shared" si="47"/>
        <v>204</v>
      </c>
      <c r="Y117" s="137">
        <f t="shared" si="47"/>
        <v>355</v>
      </c>
      <c r="Z117" s="137">
        <f t="shared" si="47"/>
        <v>439</v>
      </c>
      <c r="AA117" s="137">
        <f t="shared" si="47"/>
        <v>520.88699999999994</v>
      </c>
      <c r="AB117" s="137">
        <f t="shared" si="47"/>
        <v>593</v>
      </c>
      <c r="AC117" s="137">
        <f t="shared" si="47"/>
        <v>604</v>
      </c>
      <c r="AD117" s="137">
        <f t="shared" si="47"/>
        <v>644</v>
      </c>
      <c r="AE117" s="137">
        <f t="shared" si="47"/>
        <v>637</v>
      </c>
      <c r="AF117" s="137">
        <f>SUM(AF111:AF115)</f>
        <v>658</v>
      </c>
      <c r="AG117" s="137">
        <f>SUM(AG111:AG115)</f>
        <v>704</v>
      </c>
      <c r="AH117" s="137">
        <f>SUM(AH111:AH115)</f>
        <v>718</v>
      </c>
      <c r="AI117" s="137">
        <f>SUM(AI111:AI115)</f>
        <v>779</v>
      </c>
      <c r="AJ117" s="137">
        <f>SUM(AJ111:AJ115)</f>
        <v>795</v>
      </c>
      <c r="AK117" s="137">
        <f t="shared" ref="AK117:AQ117" si="48">SUM(AK111:AK116)</f>
        <v>898</v>
      </c>
      <c r="AL117" s="137">
        <f t="shared" si="48"/>
        <v>867</v>
      </c>
      <c r="AM117" s="137">
        <f t="shared" si="48"/>
        <v>892</v>
      </c>
      <c r="AN117" s="137">
        <f t="shared" si="48"/>
        <v>929</v>
      </c>
      <c r="AO117" s="137">
        <f t="shared" si="48"/>
        <v>1034</v>
      </c>
      <c r="AP117" s="137">
        <f t="shared" si="48"/>
        <v>1242</v>
      </c>
      <c r="AQ117" s="137">
        <f t="shared" si="48"/>
        <v>1405</v>
      </c>
      <c r="AR117" s="137">
        <f t="shared" ref="AR117:BA117" si="49">SUM(AR111:AR116)</f>
        <v>1698</v>
      </c>
      <c r="AS117" s="137">
        <f t="shared" si="49"/>
        <v>2082</v>
      </c>
      <c r="AT117" s="137">
        <f t="shared" si="49"/>
        <v>1200</v>
      </c>
      <c r="AU117" s="137">
        <f>SUM(AU111:AU116)</f>
        <v>1302</v>
      </c>
      <c r="AV117" s="208">
        <f t="shared" si="49"/>
        <v>1315</v>
      </c>
      <c r="AW117" s="208">
        <f t="shared" si="49"/>
        <v>1319.4744539530689</v>
      </c>
      <c r="AX117" s="208">
        <f t="shared" si="49"/>
        <v>1409.7105263157896</v>
      </c>
      <c r="AY117" s="208">
        <f t="shared" si="49"/>
        <v>1211</v>
      </c>
      <c r="AZ117" s="208">
        <f t="shared" si="49"/>
        <v>1193</v>
      </c>
      <c r="BA117" s="358">
        <f t="shared" si="49"/>
        <v>1264</v>
      </c>
      <c r="BB117" s="358">
        <f t="shared" ref="BB117:BG117" si="50">SUM(BB111:BB116)</f>
        <v>1191</v>
      </c>
      <c r="BC117" s="358">
        <f t="shared" si="50"/>
        <v>1276</v>
      </c>
      <c r="BD117" s="407">
        <f t="shared" si="50"/>
        <v>1268</v>
      </c>
      <c r="BE117" s="407">
        <f t="shared" si="50"/>
        <v>1179.9788394827992</v>
      </c>
      <c r="BF117" s="407">
        <f t="shared" si="50"/>
        <v>1272</v>
      </c>
      <c r="BG117" s="407">
        <f t="shared" si="50"/>
        <v>1255</v>
      </c>
      <c r="BH117" s="407">
        <f t="shared" ref="BH117" si="51">SUM(BH111:BH116)</f>
        <v>1222</v>
      </c>
      <c r="BI117" s="415">
        <f t="shared" si="44"/>
        <v>-1.3364779874213837E-2</v>
      </c>
      <c r="BJ117" s="415">
        <f t="shared" si="44"/>
        <v>-2.6294820717131476E-2</v>
      </c>
      <c r="BK117" s="572">
        <f t="shared" si="45"/>
        <v>-17</v>
      </c>
      <c r="BL117" s="572">
        <f t="shared" si="45"/>
        <v>-33</v>
      </c>
    </row>
    <row r="118" spans="1:208" ht="6" customHeight="1">
      <c r="A118" s="125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6"/>
      <c r="AM118" s="26"/>
      <c r="AN118" s="26"/>
      <c r="AO118" s="26"/>
      <c r="AP118" s="26"/>
      <c r="AQ118" s="26"/>
      <c r="AR118" s="26"/>
      <c r="AS118" s="26"/>
      <c r="AT118" s="26"/>
      <c r="AU118" s="26"/>
      <c r="AV118" s="161"/>
      <c r="AW118" s="161"/>
      <c r="AX118" s="161"/>
      <c r="AY118" s="161"/>
      <c r="AZ118" s="305"/>
      <c r="BA118" s="320"/>
      <c r="BB118" s="327"/>
      <c r="BC118" s="305"/>
      <c r="BD118" s="538"/>
      <c r="BE118" s="538"/>
      <c r="BF118" s="538"/>
      <c r="BG118" s="538"/>
      <c r="BH118" s="538"/>
      <c r="BI118" s="329"/>
      <c r="BJ118" s="329"/>
      <c r="BK118" s="570"/>
      <c r="BL118" s="570"/>
    </row>
    <row r="119" spans="1:208" ht="11.1" customHeight="1">
      <c r="A119" s="126" t="s">
        <v>42</v>
      </c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7"/>
      <c r="AT119" s="187"/>
      <c r="AU119" s="187"/>
      <c r="AV119" s="187"/>
      <c r="AW119" s="187"/>
      <c r="AX119" s="187"/>
      <c r="AY119" s="187"/>
      <c r="AZ119" s="187"/>
      <c r="BA119" s="187"/>
      <c r="BB119" s="187"/>
      <c r="BC119" s="187"/>
      <c r="BD119" s="187"/>
      <c r="BE119" s="187"/>
      <c r="BF119" s="642"/>
      <c r="BG119" s="642"/>
      <c r="BH119" s="642"/>
      <c r="BI119" s="329"/>
      <c r="BJ119" s="329"/>
      <c r="BK119" s="570"/>
      <c r="BL119" s="570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</row>
    <row r="120" spans="1:208" ht="11.1" customHeight="1">
      <c r="A120" s="129" t="s">
        <v>133</v>
      </c>
      <c r="B120" s="30" t="s">
        <v>3</v>
      </c>
      <c r="C120" s="30" t="s">
        <v>3</v>
      </c>
      <c r="D120" s="30" t="s">
        <v>3</v>
      </c>
      <c r="E120" s="30" t="s">
        <v>3</v>
      </c>
      <c r="F120" s="30" t="s">
        <v>3</v>
      </c>
      <c r="G120" s="30" t="s">
        <v>3</v>
      </c>
      <c r="H120" s="30" t="s">
        <v>3</v>
      </c>
      <c r="I120" s="30" t="s">
        <v>3</v>
      </c>
      <c r="J120" s="30" t="s">
        <v>3</v>
      </c>
      <c r="K120" s="30" t="s">
        <v>3</v>
      </c>
      <c r="L120" s="30" t="s">
        <v>3</v>
      </c>
      <c r="M120" s="30" t="s">
        <v>3</v>
      </c>
      <c r="N120" s="30" t="s">
        <v>3</v>
      </c>
      <c r="O120" s="30" t="s">
        <v>3</v>
      </c>
      <c r="P120" s="30" t="s">
        <v>3</v>
      </c>
      <c r="Q120" s="30" t="s">
        <v>3</v>
      </c>
      <c r="R120" s="30" t="s">
        <v>3</v>
      </c>
      <c r="S120" s="30" t="s">
        <v>3</v>
      </c>
      <c r="T120" s="30" t="s">
        <v>3</v>
      </c>
      <c r="U120" s="30" t="s">
        <v>3</v>
      </c>
      <c r="V120" s="30" t="s">
        <v>3</v>
      </c>
      <c r="W120" s="13">
        <v>69</v>
      </c>
      <c r="X120" s="13">
        <v>16</v>
      </c>
      <c r="Y120" s="13">
        <v>13</v>
      </c>
      <c r="Z120" s="13">
        <v>13</v>
      </c>
      <c r="AA120" s="13">
        <v>12</v>
      </c>
      <c r="AB120" s="13">
        <v>9</v>
      </c>
      <c r="AC120" s="13">
        <v>10</v>
      </c>
      <c r="AD120" s="13">
        <v>11</v>
      </c>
      <c r="AE120" s="13">
        <v>11</v>
      </c>
      <c r="AF120" s="13">
        <v>14</v>
      </c>
      <c r="AG120" s="13">
        <v>14</v>
      </c>
      <c r="AH120" s="13">
        <v>17</v>
      </c>
      <c r="AI120" s="13">
        <v>17</v>
      </c>
      <c r="AJ120" s="13">
        <v>18</v>
      </c>
      <c r="AK120" s="13">
        <v>19</v>
      </c>
      <c r="AL120" s="13">
        <v>18</v>
      </c>
      <c r="AM120" s="26">
        <v>23</v>
      </c>
      <c r="AN120" s="6">
        <v>21</v>
      </c>
      <c r="AO120" s="6">
        <v>21</v>
      </c>
      <c r="AP120" s="6">
        <v>24</v>
      </c>
      <c r="AQ120" s="6">
        <v>25</v>
      </c>
      <c r="AR120" s="6">
        <v>23</v>
      </c>
      <c r="AS120" s="6">
        <v>23</v>
      </c>
      <c r="AT120" s="6">
        <v>23</v>
      </c>
      <c r="AU120" s="6">
        <v>22</v>
      </c>
      <c r="AV120" s="161">
        <v>24</v>
      </c>
      <c r="AW120" s="161">
        <v>24.378407851690298</v>
      </c>
      <c r="AX120" s="221">
        <v>27.489583333333336</v>
      </c>
      <c r="AY120" s="221">
        <v>28</v>
      </c>
      <c r="AZ120" s="221">
        <v>30</v>
      </c>
      <c r="BA120" s="374">
        <v>32</v>
      </c>
      <c r="BB120" s="374">
        <v>31</v>
      </c>
      <c r="BC120" s="374">
        <v>19</v>
      </c>
      <c r="BD120" s="374">
        <v>32</v>
      </c>
      <c r="BE120" s="374">
        <v>31</v>
      </c>
      <c r="BF120" s="374">
        <v>29</v>
      </c>
      <c r="BG120" s="374">
        <v>40</v>
      </c>
      <c r="BH120" s="374">
        <v>36</v>
      </c>
      <c r="BI120" s="385">
        <f>(BG120-BF120)/BF120</f>
        <v>0.37931034482758619</v>
      </c>
      <c r="BJ120" s="385">
        <f>(BH120-BG120)/BG120</f>
        <v>-0.1</v>
      </c>
      <c r="BK120" s="569">
        <f>BG120-BF120</f>
        <v>11</v>
      </c>
      <c r="BL120" s="569">
        <f>BH120-BG120</f>
        <v>-4</v>
      </c>
    </row>
    <row r="121" spans="1:208" ht="10.5" customHeight="1">
      <c r="A121" s="295" t="s">
        <v>135</v>
      </c>
      <c r="B121" s="229" t="s">
        <v>3</v>
      </c>
      <c r="C121" s="229" t="s">
        <v>3</v>
      </c>
      <c r="D121" s="229" t="s">
        <v>3</v>
      </c>
      <c r="E121" s="229" t="s">
        <v>3</v>
      </c>
      <c r="F121" s="229" t="s">
        <v>3</v>
      </c>
      <c r="G121" s="229" t="s">
        <v>3</v>
      </c>
      <c r="H121" s="229" t="s">
        <v>3</v>
      </c>
      <c r="I121" s="229" t="s">
        <v>3</v>
      </c>
      <c r="J121" s="229" t="s">
        <v>3</v>
      </c>
      <c r="K121" s="229" t="s">
        <v>3</v>
      </c>
      <c r="L121" s="229" t="s">
        <v>3</v>
      </c>
      <c r="M121" s="229" t="s">
        <v>3</v>
      </c>
      <c r="N121" s="229" t="s">
        <v>3</v>
      </c>
      <c r="O121" s="229" t="s">
        <v>3</v>
      </c>
      <c r="P121" s="229" t="s">
        <v>3</v>
      </c>
      <c r="Q121" s="229" t="s">
        <v>3</v>
      </c>
      <c r="R121" s="229" t="s">
        <v>3</v>
      </c>
      <c r="S121" s="229" t="s">
        <v>3</v>
      </c>
      <c r="T121" s="229" t="s">
        <v>3</v>
      </c>
      <c r="U121" s="229" t="s">
        <v>3</v>
      </c>
      <c r="V121" s="285">
        <v>5</v>
      </c>
      <c r="W121" s="285">
        <v>16</v>
      </c>
      <c r="X121" s="285">
        <v>16</v>
      </c>
      <c r="Y121" s="285">
        <v>8</v>
      </c>
      <c r="Z121" s="285">
        <v>3</v>
      </c>
      <c r="AA121" s="284" t="s">
        <v>3</v>
      </c>
      <c r="AB121" s="284" t="s">
        <v>3</v>
      </c>
      <c r="AC121" s="284" t="s">
        <v>3</v>
      </c>
      <c r="AD121" s="284" t="s">
        <v>3</v>
      </c>
      <c r="AE121" s="284" t="s">
        <v>3</v>
      </c>
      <c r="AF121" s="284" t="s">
        <v>3</v>
      </c>
      <c r="AG121" s="284" t="s">
        <v>3</v>
      </c>
      <c r="AH121" s="284" t="s">
        <v>3</v>
      </c>
      <c r="AI121" s="284" t="s">
        <v>3</v>
      </c>
      <c r="AJ121" s="284" t="s">
        <v>3</v>
      </c>
      <c r="AK121" s="284" t="s">
        <v>3</v>
      </c>
      <c r="AL121" s="284" t="s">
        <v>3</v>
      </c>
      <c r="AM121" s="284" t="s">
        <v>3</v>
      </c>
      <c r="AN121" s="284" t="s">
        <v>3</v>
      </c>
      <c r="AO121" s="284" t="s">
        <v>3</v>
      </c>
      <c r="AP121" s="284" t="s">
        <v>3</v>
      </c>
      <c r="AQ121" s="284" t="s">
        <v>3</v>
      </c>
      <c r="AR121" s="284" t="s">
        <v>3</v>
      </c>
      <c r="AS121" s="284" t="s">
        <v>3</v>
      </c>
      <c r="AT121" s="284" t="s">
        <v>3</v>
      </c>
      <c r="AU121" s="284" t="s">
        <v>3</v>
      </c>
      <c r="AV121" s="286" t="s">
        <v>3</v>
      </c>
      <c r="AW121" s="286">
        <v>1</v>
      </c>
      <c r="AX121" s="286">
        <v>1</v>
      </c>
      <c r="AY121" s="286">
        <v>3</v>
      </c>
      <c r="AZ121" s="286">
        <v>4</v>
      </c>
      <c r="BA121" s="375">
        <v>4</v>
      </c>
      <c r="BB121" s="375">
        <v>2</v>
      </c>
      <c r="BC121" s="375">
        <v>1</v>
      </c>
      <c r="BD121" s="375">
        <v>1</v>
      </c>
      <c r="BE121" s="375">
        <v>1</v>
      </c>
      <c r="BF121" s="314" t="s">
        <v>3</v>
      </c>
      <c r="BG121" s="314" t="s">
        <v>3</v>
      </c>
      <c r="BH121" s="314" t="s">
        <v>3</v>
      </c>
      <c r="BI121" s="419" t="s">
        <v>9</v>
      </c>
      <c r="BJ121" s="419" t="s">
        <v>9</v>
      </c>
      <c r="BK121" s="573" t="s">
        <v>9</v>
      </c>
      <c r="BL121" s="573" t="s">
        <v>9</v>
      </c>
      <c r="BM121" s="1"/>
    </row>
    <row r="122" spans="1:208" ht="11.1" customHeight="1">
      <c r="A122" s="129" t="s">
        <v>134</v>
      </c>
      <c r="B122" s="102" t="s">
        <v>3</v>
      </c>
      <c r="C122" s="102" t="s">
        <v>3</v>
      </c>
      <c r="D122" s="102" t="s">
        <v>3</v>
      </c>
      <c r="E122" s="102" t="s">
        <v>3</v>
      </c>
      <c r="F122" s="102" t="s">
        <v>3</v>
      </c>
      <c r="G122" s="102" t="s">
        <v>3</v>
      </c>
      <c r="H122" s="102" t="s">
        <v>3</v>
      </c>
      <c r="I122" s="102" t="s">
        <v>3</v>
      </c>
      <c r="J122" s="102" t="s">
        <v>3</v>
      </c>
      <c r="K122" s="102" t="s">
        <v>3</v>
      </c>
      <c r="L122" s="102" t="s">
        <v>3</v>
      </c>
      <c r="M122" s="102" t="s">
        <v>3</v>
      </c>
      <c r="N122" s="102" t="s">
        <v>3</v>
      </c>
      <c r="O122" s="102" t="s">
        <v>3</v>
      </c>
      <c r="P122" s="102" t="s">
        <v>3</v>
      </c>
      <c r="Q122" s="102" t="s">
        <v>3</v>
      </c>
      <c r="R122" s="102" t="s">
        <v>3</v>
      </c>
      <c r="S122" s="102" t="s">
        <v>3</v>
      </c>
      <c r="T122" s="102">
        <v>36</v>
      </c>
      <c r="U122" s="47">
        <v>29</v>
      </c>
      <c r="V122" s="15">
        <v>54</v>
      </c>
      <c r="W122" s="15">
        <v>98</v>
      </c>
      <c r="X122" s="15">
        <v>66</v>
      </c>
      <c r="Y122" s="15">
        <v>35</v>
      </c>
      <c r="Z122" s="15">
        <v>51</v>
      </c>
      <c r="AA122" s="17">
        <v>40</v>
      </c>
      <c r="AB122" s="17">
        <v>41</v>
      </c>
      <c r="AC122" s="17">
        <v>34</v>
      </c>
      <c r="AD122" s="17">
        <v>37</v>
      </c>
      <c r="AE122" s="17">
        <v>31</v>
      </c>
      <c r="AF122" s="17">
        <v>38</v>
      </c>
      <c r="AG122" s="17">
        <v>43</v>
      </c>
      <c r="AH122" s="17">
        <v>43</v>
      </c>
      <c r="AI122" s="17">
        <v>50</v>
      </c>
      <c r="AJ122" s="17">
        <v>67</v>
      </c>
      <c r="AK122" s="17">
        <v>100</v>
      </c>
      <c r="AL122" s="17">
        <v>102</v>
      </c>
      <c r="AM122" s="17">
        <v>91</v>
      </c>
      <c r="AN122" s="17">
        <v>81</v>
      </c>
      <c r="AO122" s="17">
        <v>89</v>
      </c>
      <c r="AP122" s="17">
        <v>103</v>
      </c>
      <c r="AQ122" s="17">
        <v>113</v>
      </c>
      <c r="AR122" s="17">
        <v>101</v>
      </c>
      <c r="AS122" s="17">
        <v>97</v>
      </c>
      <c r="AT122" s="46">
        <v>60</v>
      </c>
      <c r="AU122" s="46">
        <v>67</v>
      </c>
      <c r="AV122" s="219">
        <v>58</v>
      </c>
      <c r="AW122" s="219">
        <v>89</v>
      </c>
      <c r="AX122" s="375">
        <v>49</v>
      </c>
      <c r="AY122" s="375">
        <v>144</v>
      </c>
      <c r="AZ122" s="375">
        <v>428</v>
      </c>
      <c r="BA122" s="375">
        <v>862</v>
      </c>
      <c r="BB122" s="375">
        <v>763</v>
      </c>
      <c r="BC122" s="375">
        <v>328</v>
      </c>
      <c r="BD122" s="375">
        <v>226</v>
      </c>
      <c r="BE122" s="375">
        <v>188</v>
      </c>
      <c r="BF122" s="375">
        <v>178</v>
      </c>
      <c r="BG122" s="375">
        <v>123</v>
      </c>
      <c r="BH122" s="375">
        <v>166</v>
      </c>
      <c r="BI122" s="385">
        <f>(BG122-BF122)/BF122</f>
        <v>-0.3089887640449438</v>
      </c>
      <c r="BJ122" s="385">
        <f>(BH122-BG122)/BG122</f>
        <v>0.34959349593495936</v>
      </c>
      <c r="BK122" s="569">
        <f>BG122-BF122</f>
        <v>-55</v>
      </c>
      <c r="BL122" s="569">
        <f>BH122-BG122</f>
        <v>43</v>
      </c>
      <c r="BM122" s="1"/>
    </row>
    <row r="123" spans="1:208" ht="11.1" customHeight="1">
      <c r="A123" s="128" t="s">
        <v>32</v>
      </c>
      <c r="B123" s="447" t="s">
        <v>3</v>
      </c>
      <c r="C123" s="447" t="s">
        <v>3</v>
      </c>
      <c r="D123" s="447" t="s">
        <v>3</v>
      </c>
      <c r="E123" s="447" t="s">
        <v>3</v>
      </c>
      <c r="F123" s="447" t="s">
        <v>3</v>
      </c>
      <c r="G123" s="447" t="s">
        <v>3</v>
      </c>
      <c r="H123" s="447" t="s">
        <v>3</v>
      </c>
      <c r="I123" s="447" t="s">
        <v>3</v>
      </c>
      <c r="J123" s="447" t="s">
        <v>3</v>
      </c>
      <c r="K123" s="447" t="s">
        <v>3</v>
      </c>
      <c r="L123" s="447" t="s">
        <v>3</v>
      </c>
      <c r="M123" s="447" t="s">
        <v>3</v>
      </c>
      <c r="N123" s="447" t="s">
        <v>3</v>
      </c>
      <c r="O123" s="447" t="s">
        <v>3</v>
      </c>
      <c r="P123" s="447" t="s">
        <v>3</v>
      </c>
      <c r="Q123" s="447" t="s">
        <v>3</v>
      </c>
      <c r="R123" s="447" t="s">
        <v>3</v>
      </c>
      <c r="S123" s="447" t="s">
        <v>3</v>
      </c>
      <c r="T123" s="142">
        <f t="shared" ref="T123:AG123" si="52">SUM(T120:T122)</f>
        <v>36</v>
      </c>
      <c r="U123" s="142">
        <f t="shared" si="52"/>
        <v>29</v>
      </c>
      <c r="V123" s="142">
        <f t="shared" si="52"/>
        <v>59</v>
      </c>
      <c r="W123" s="142">
        <f t="shared" si="52"/>
        <v>183</v>
      </c>
      <c r="X123" s="142">
        <f t="shared" si="52"/>
        <v>98</v>
      </c>
      <c r="Y123" s="142">
        <f t="shared" si="52"/>
        <v>56</v>
      </c>
      <c r="Z123" s="142">
        <f t="shared" si="52"/>
        <v>67</v>
      </c>
      <c r="AA123" s="142">
        <f t="shared" si="52"/>
        <v>52</v>
      </c>
      <c r="AB123" s="142">
        <f t="shared" si="52"/>
        <v>50</v>
      </c>
      <c r="AC123" s="142">
        <f t="shared" si="52"/>
        <v>44</v>
      </c>
      <c r="AD123" s="142">
        <f t="shared" si="52"/>
        <v>48</v>
      </c>
      <c r="AE123" s="142">
        <f t="shared" si="52"/>
        <v>42</v>
      </c>
      <c r="AF123" s="142">
        <f t="shared" si="52"/>
        <v>52</v>
      </c>
      <c r="AG123" s="142">
        <f t="shared" si="52"/>
        <v>57</v>
      </c>
      <c r="AH123" s="142">
        <f t="shared" ref="AH123:BB123" si="53">SUM(AH120:AH122)</f>
        <v>60</v>
      </c>
      <c r="AI123" s="142">
        <f t="shared" si="53"/>
        <v>67</v>
      </c>
      <c r="AJ123" s="142">
        <f t="shared" si="53"/>
        <v>85</v>
      </c>
      <c r="AK123" s="142">
        <f t="shared" si="53"/>
        <v>119</v>
      </c>
      <c r="AL123" s="142">
        <f t="shared" si="53"/>
        <v>120</v>
      </c>
      <c r="AM123" s="142">
        <f t="shared" si="53"/>
        <v>114</v>
      </c>
      <c r="AN123" s="142">
        <f t="shared" si="53"/>
        <v>102</v>
      </c>
      <c r="AO123" s="142">
        <f t="shared" si="53"/>
        <v>110</v>
      </c>
      <c r="AP123" s="142">
        <f t="shared" si="53"/>
        <v>127</v>
      </c>
      <c r="AQ123" s="142">
        <f t="shared" si="53"/>
        <v>138</v>
      </c>
      <c r="AR123" s="142">
        <f t="shared" si="53"/>
        <v>124</v>
      </c>
      <c r="AS123" s="142">
        <f t="shared" si="53"/>
        <v>120</v>
      </c>
      <c r="AT123" s="142">
        <f t="shared" si="53"/>
        <v>83</v>
      </c>
      <c r="AU123" s="142">
        <f t="shared" si="53"/>
        <v>89</v>
      </c>
      <c r="AV123" s="222">
        <f t="shared" si="53"/>
        <v>82</v>
      </c>
      <c r="AW123" s="222">
        <f t="shared" si="53"/>
        <v>114.3784078516903</v>
      </c>
      <c r="AX123" s="288">
        <f t="shared" si="53"/>
        <v>77.489583333333343</v>
      </c>
      <c r="AY123" s="288">
        <f t="shared" si="53"/>
        <v>175</v>
      </c>
      <c r="AZ123" s="288">
        <f t="shared" si="53"/>
        <v>462</v>
      </c>
      <c r="BA123" s="376">
        <f t="shared" si="53"/>
        <v>898</v>
      </c>
      <c r="BB123" s="376">
        <f t="shared" si="53"/>
        <v>796</v>
      </c>
      <c r="BC123" s="376">
        <f t="shared" ref="BC123:BH123" si="54">SUM(BC120:BC122)</f>
        <v>348</v>
      </c>
      <c r="BD123" s="376">
        <f t="shared" si="54"/>
        <v>259</v>
      </c>
      <c r="BE123" s="376">
        <f t="shared" si="54"/>
        <v>220</v>
      </c>
      <c r="BF123" s="376">
        <f t="shared" si="54"/>
        <v>207</v>
      </c>
      <c r="BG123" s="376">
        <f t="shared" si="54"/>
        <v>163</v>
      </c>
      <c r="BH123" s="376">
        <f t="shared" si="54"/>
        <v>202</v>
      </c>
      <c r="BI123" s="415">
        <f>(BG123-BF123)/BF123</f>
        <v>-0.21256038647342995</v>
      </c>
      <c r="BJ123" s="415">
        <f>(BH123-BG123)/BG123</f>
        <v>0.2392638036809816</v>
      </c>
      <c r="BK123" s="572">
        <f>BG123-BF123</f>
        <v>-44</v>
      </c>
      <c r="BL123" s="572">
        <f>BH123-BG123</f>
        <v>39</v>
      </c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</row>
    <row r="124" spans="1:208" ht="11.1" customHeight="1">
      <c r="A124" s="128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643"/>
      <c r="BG124" s="643"/>
      <c r="BH124" s="643"/>
      <c r="BI124" s="391"/>
      <c r="BJ124" s="391"/>
      <c r="BK124" s="576"/>
      <c r="BL124" s="576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</row>
    <row r="125" spans="1:208" ht="11.1" customHeight="1">
      <c r="A125" s="129" t="s">
        <v>136</v>
      </c>
      <c r="B125" s="103">
        <v>12</v>
      </c>
      <c r="C125" s="103">
        <v>14</v>
      </c>
      <c r="D125" s="103">
        <v>20</v>
      </c>
      <c r="E125" s="103">
        <v>34</v>
      </c>
      <c r="F125" s="103">
        <v>35</v>
      </c>
      <c r="G125" s="103">
        <v>32</v>
      </c>
      <c r="H125" s="103">
        <v>26</v>
      </c>
      <c r="I125" s="103">
        <v>33</v>
      </c>
      <c r="J125" s="103">
        <v>40</v>
      </c>
      <c r="K125" s="103">
        <v>53</v>
      </c>
      <c r="L125" s="27">
        <v>65</v>
      </c>
      <c r="M125" s="27">
        <v>68</v>
      </c>
      <c r="N125" s="27">
        <v>85</v>
      </c>
      <c r="O125" s="27">
        <v>174</v>
      </c>
      <c r="P125" s="27">
        <v>105</v>
      </c>
      <c r="Q125" s="27">
        <v>104</v>
      </c>
      <c r="R125" s="27">
        <v>180</v>
      </c>
      <c r="S125" s="27">
        <v>231</v>
      </c>
      <c r="T125" s="27">
        <v>271</v>
      </c>
      <c r="U125" s="27">
        <v>310</v>
      </c>
      <c r="V125" s="27">
        <v>378</v>
      </c>
      <c r="W125" s="27">
        <v>417</v>
      </c>
      <c r="X125" s="27">
        <v>442</v>
      </c>
      <c r="Y125" s="27">
        <v>515</v>
      </c>
      <c r="Z125" s="27">
        <v>462</v>
      </c>
      <c r="AA125" s="27">
        <v>468</v>
      </c>
      <c r="AB125" s="27">
        <v>421</v>
      </c>
      <c r="AC125" s="27">
        <v>394</v>
      </c>
      <c r="AD125" s="27">
        <v>233</v>
      </c>
      <c r="AE125" s="27">
        <v>392</v>
      </c>
      <c r="AF125" s="27">
        <v>391</v>
      </c>
      <c r="AG125" s="27">
        <v>436</v>
      </c>
      <c r="AH125" s="27">
        <v>540</v>
      </c>
      <c r="AI125" s="27">
        <v>490</v>
      </c>
      <c r="AJ125" s="27">
        <v>544</v>
      </c>
      <c r="AK125" s="27">
        <v>542</v>
      </c>
      <c r="AL125" s="27">
        <v>512</v>
      </c>
      <c r="AM125" s="107">
        <v>510</v>
      </c>
      <c r="AN125" s="107">
        <v>492</v>
      </c>
      <c r="AO125" s="107">
        <v>478</v>
      </c>
      <c r="AP125" s="107">
        <v>480</v>
      </c>
      <c r="AQ125" s="107">
        <v>501</v>
      </c>
      <c r="AR125" s="107">
        <v>516</v>
      </c>
      <c r="AS125" s="107">
        <v>575</v>
      </c>
      <c r="AT125" s="107">
        <v>615</v>
      </c>
      <c r="AU125" s="107">
        <v>644</v>
      </c>
      <c r="AV125" s="180">
        <v>679</v>
      </c>
      <c r="AW125" s="180">
        <v>756</v>
      </c>
      <c r="AX125" s="180">
        <v>875</v>
      </c>
      <c r="AY125" s="180">
        <v>989</v>
      </c>
      <c r="AZ125" s="344">
        <v>1077</v>
      </c>
      <c r="BA125" s="357">
        <v>1076</v>
      </c>
      <c r="BB125" s="357">
        <v>1077</v>
      </c>
      <c r="BC125" s="357">
        <v>1027</v>
      </c>
      <c r="BD125" s="370">
        <v>998</v>
      </c>
      <c r="BE125" s="370">
        <v>1035</v>
      </c>
      <c r="BF125" s="370">
        <v>980</v>
      </c>
      <c r="BG125" s="370">
        <v>1037</v>
      </c>
      <c r="BH125" s="370">
        <v>962</v>
      </c>
      <c r="BI125" s="385">
        <f>(BG125-BF125)/BF125</f>
        <v>5.8163265306122446E-2</v>
      </c>
      <c r="BJ125" s="385">
        <f>(BH125-BG125)/BG125</f>
        <v>-7.2324011571841845E-2</v>
      </c>
      <c r="BK125" s="569">
        <f>BG125-BF125</f>
        <v>57</v>
      </c>
      <c r="BL125" s="569">
        <f>BH125-BG125</f>
        <v>-75</v>
      </c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</row>
    <row r="126" spans="1:208" ht="11.1" customHeight="1">
      <c r="A126" s="129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80"/>
      <c r="AW126" s="180"/>
      <c r="AX126" s="180"/>
      <c r="AY126" s="180"/>
      <c r="AZ126" s="344"/>
      <c r="BA126" s="357"/>
      <c r="BB126" s="357"/>
      <c r="BC126" s="335"/>
      <c r="BD126" s="545"/>
      <c r="BE126" s="545"/>
      <c r="BF126" s="545"/>
      <c r="BG126" s="545"/>
      <c r="BH126" s="545"/>
      <c r="BI126" s="385"/>
      <c r="BJ126" s="385"/>
      <c r="BK126" s="569"/>
      <c r="BL126" s="569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</row>
    <row r="127" spans="1:208" ht="11.1" customHeight="1">
      <c r="A127" s="121" t="s">
        <v>137</v>
      </c>
      <c r="B127" s="356">
        <v>13</v>
      </c>
      <c r="C127" s="356">
        <v>27</v>
      </c>
      <c r="D127" s="356">
        <v>39</v>
      </c>
      <c r="E127" s="356">
        <v>44</v>
      </c>
      <c r="F127" s="356">
        <v>53</v>
      </c>
      <c r="G127" s="356">
        <v>60</v>
      </c>
      <c r="H127" s="356">
        <v>68</v>
      </c>
      <c r="I127" s="356">
        <v>82</v>
      </c>
      <c r="J127" s="356">
        <v>116</v>
      </c>
      <c r="K127" s="356">
        <v>166</v>
      </c>
      <c r="L127" s="520">
        <v>174</v>
      </c>
      <c r="M127" s="520">
        <v>223</v>
      </c>
      <c r="N127" s="520">
        <v>343</v>
      </c>
      <c r="O127" s="520">
        <v>429</v>
      </c>
      <c r="P127" s="520">
        <v>439</v>
      </c>
      <c r="Q127" s="520">
        <v>603</v>
      </c>
      <c r="R127" s="520">
        <v>689</v>
      </c>
      <c r="S127" s="520">
        <v>834</v>
      </c>
      <c r="T127" s="520">
        <v>884</v>
      </c>
      <c r="U127" s="520">
        <v>1045</v>
      </c>
      <c r="V127" s="520">
        <v>1280</v>
      </c>
      <c r="W127" s="520">
        <v>1390</v>
      </c>
      <c r="X127" s="520">
        <v>1363</v>
      </c>
      <c r="Y127" s="520">
        <v>1384</v>
      </c>
      <c r="Z127" s="520">
        <v>1469</v>
      </c>
      <c r="AA127" s="520">
        <v>1661</v>
      </c>
      <c r="AB127" s="520">
        <v>1782</v>
      </c>
      <c r="AC127" s="520">
        <v>2025</v>
      </c>
      <c r="AD127" s="520">
        <v>2436</v>
      </c>
      <c r="AE127" s="520">
        <v>2650</v>
      </c>
      <c r="AF127" s="520">
        <v>2935</v>
      </c>
      <c r="AG127" s="520">
        <v>3440</v>
      </c>
      <c r="AH127" s="520">
        <v>3826</v>
      </c>
      <c r="AI127" s="520">
        <v>4026</v>
      </c>
      <c r="AJ127" s="520">
        <v>4123</v>
      </c>
      <c r="AK127" s="520">
        <v>4324</v>
      </c>
      <c r="AL127" s="520">
        <v>3919</v>
      </c>
      <c r="AM127" s="520">
        <v>4220</v>
      </c>
      <c r="AN127" s="520">
        <v>4082</v>
      </c>
      <c r="AO127" s="520">
        <v>4343</v>
      </c>
      <c r="AP127" s="520">
        <v>4369</v>
      </c>
      <c r="AQ127" s="520">
        <v>4441</v>
      </c>
      <c r="AR127" s="520">
        <v>4540</v>
      </c>
      <c r="AS127" s="520">
        <v>4561</v>
      </c>
      <c r="AT127" s="520">
        <v>4570</v>
      </c>
      <c r="AU127" s="520">
        <v>4784</v>
      </c>
      <c r="AV127" s="520">
        <v>5159</v>
      </c>
      <c r="AW127" s="357">
        <v>4864</v>
      </c>
      <c r="AX127" s="357">
        <v>4773</v>
      </c>
      <c r="AY127" s="357">
        <v>5092</v>
      </c>
      <c r="AZ127" s="357">
        <v>5392</v>
      </c>
      <c r="BA127" s="357">
        <v>5568</v>
      </c>
      <c r="BB127" s="357">
        <v>5727</v>
      </c>
      <c r="BC127" s="357">
        <v>5291</v>
      </c>
      <c r="BD127" s="370">
        <v>6301</v>
      </c>
      <c r="BE127" s="370">
        <v>5177</v>
      </c>
      <c r="BF127" s="370">
        <v>5381</v>
      </c>
      <c r="BG127" s="370">
        <v>5465</v>
      </c>
      <c r="BH127" s="370">
        <v>4104</v>
      </c>
      <c r="BI127" s="385">
        <f>(BG127-BF127)/BF127</f>
        <v>1.5610481323174131E-2</v>
      </c>
      <c r="BJ127" s="385">
        <f>(BH127-BG127)/BG127</f>
        <v>-0.24903934126258007</v>
      </c>
      <c r="BK127" s="569">
        <f>BG127-BF127</f>
        <v>84</v>
      </c>
      <c r="BL127" s="569">
        <f>BH127-BG127</f>
        <v>-1361</v>
      </c>
    </row>
    <row r="128" spans="1:208" ht="13.95" customHeight="1" thickBot="1">
      <c r="A128" s="128" t="s">
        <v>116</v>
      </c>
      <c r="B128" s="141">
        <f t="shared" ref="B128:L128" si="55">SUM(B108+B117+B125+B127)</f>
        <v>29</v>
      </c>
      <c r="C128" s="141">
        <f t="shared" si="55"/>
        <v>45</v>
      </c>
      <c r="D128" s="141">
        <f t="shared" si="55"/>
        <v>64</v>
      </c>
      <c r="E128" s="141">
        <f t="shared" si="55"/>
        <v>84</v>
      </c>
      <c r="F128" s="141">
        <f t="shared" si="55"/>
        <v>94</v>
      </c>
      <c r="G128" s="141">
        <f t="shared" si="55"/>
        <v>97</v>
      </c>
      <c r="H128" s="141">
        <f t="shared" si="55"/>
        <v>100</v>
      </c>
      <c r="I128" s="141">
        <f t="shared" si="55"/>
        <v>121</v>
      </c>
      <c r="J128" s="141">
        <f t="shared" si="55"/>
        <v>163</v>
      </c>
      <c r="K128" s="141">
        <f t="shared" si="55"/>
        <v>227</v>
      </c>
      <c r="L128" s="371">
        <f t="shared" si="55"/>
        <v>248</v>
      </c>
      <c r="M128" s="371">
        <f t="shared" ref="M128:S128" si="56">SUM(M102+M108+M117+M125+M127)</f>
        <v>308</v>
      </c>
      <c r="N128" s="371">
        <f t="shared" si="56"/>
        <v>453</v>
      </c>
      <c r="O128" s="371">
        <f t="shared" si="56"/>
        <v>637</v>
      </c>
      <c r="P128" s="141">
        <f t="shared" si="56"/>
        <v>578</v>
      </c>
      <c r="Q128" s="141">
        <f t="shared" si="56"/>
        <v>753</v>
      </c>
      <c r="R128" s="141">
        <f t="shared" si="56"/>
        <v>934</v>
      </c>
      <c r="S128" s="141">
        <f t="shared" si="56"/>
        <v>1131</v>
      </c>
      <c r="T128" s="141">
        <f t="shared" ref="T128:AN128" si="57">SUM(T102+T108+T117+T123+T125+T127)</f>
        <v>1288</v>
      </c>
      <c r="U128" s="141">
        <f t="shared" si="57"/>
        <v>1538</v>
      </c>
      <c r="V128" s="141">
        <f t="shared" si="57"/>
        <v>1917</v>
      </c>
      <c r="W128" s="141">
        <f t="shared" si="57"/>
        <v>2246</v>
      </c>
      <c r="X128" s="141">
        <f t="shared" si="57"/>
        <v>2157</v>
      </c>
      <c r="Y128" s="141">
        <f t="shared" si="57"/>
        <v>2358</v>
      </c>
      <c r="Z128" s="141">
        <f t="shared" si="57"/>
        <v>2491</v>
      </c>
      <c r="AA128" s="141">
        <f t="shared" si="57"/>
        <v>2757.8869999999997</v>
      </c>
      <c r="AB128" s="141">
        <f t="shared" si="57"/>
        <v>2904</v>
      </c>
      <c r="AC128" s="141">
        <f t="shared" si="57"/>
        <v>3124</v>
      </c>
      <c r="AD128" s="141">
        <f t="shared" si="57"/>
        <v>3415</v>
      </c>
      <c r="AE128" s="141">
        <f t="shared" si="57"/>
        <v>3781</v>
      </c>
      <c r="AF128" s="141">
        <f t="shared" si="57"/>
        <v>4103</v>
      </c>
      <c r="AG128" s="141">
        <f t="shared" si="57"/>
        <v>4713</v>
      </c>
      <c r="AH128" s="141">
        <f t="shared" si="57"/>
        <v>5232</v>
      </c>
      <c r="AI128" s="141">
        <f t="shared" si="57"/>
        <v>5452</v>
      </c>
      <c r="AJ128" s="141">
        <f t="shared" si="57"/>
        <v>5641</v>
      </c>
      <c r="AK128" s="141">
        <f t="shared" si="57"/>
        <v>5984</v>
      </c>
      <c r="AL128" s="141">
        <f t="shared" si="57"/>
        <v>5520</v>
      </c>
      <c r="AM128" s="141">
        <f t="shared" si="57"/>
        <v>5840</v>
      </c>
      <c r="AN128" s="141">
        <f t="shared" si="57"/>
        <v>5711</v>
      </c>
      <c r="AO128" s="141">
        <f t="shared" ref="AO128:BE128" si="58">AO102+AO105+AO108+AO117+AO123+AO125+AO127</f>
        <v>6268</v>
      </c>
      <c r="AP128" s="141">
        <f t="shared" si="58"/>
        <v>6564</v>
      </c>
      <c r="AQ128" s="141">
        <f t="shared" si="58"/>
        <v>6866</v>
      </c>
      <c r="AR128" s="141">
        <f t="shared" si="58"/>
        <v>7291</v>
      </c>
      <c r="AS128" s="141">
        <f t="shared" si="58"/>
        <v>7787</v>
      </c>
      <c r="AT128" s="141">
        <f t="shared" si="58"/>
        <v>6943</v>
      </c>
      <c r="AU128" s="141">
        <f t="shared" si="58"/>
        <v>7292</v>
      </c>
      <c r="AV128" s="141">
        <f t="shared" si="58"/>
        <v>7733</v>
      </c>
      <c r="AW128" s="141">
        <f t="shared" si="58"/>
        <v>7552.8528618047594</v>
      </c>
      <c r="AX128" s="141">
        <f t="shared" si="58"/>
        <v>7655.2001096491231</v>
      </c>
      <c r="AY128" s="141">
        <f t="shared" si="58"/>
        <v>8007</v>
      </c>
      <c r="AZ128" s="141">
        <f t="shared" si="58"/>
        <v>8705</v>
      </c>
      <c r="BA128" s="371">
        <f t="shared" si="58"/>
        <v>9369</v>
      </c>
      <c r="BB128" s="371">
        <f t="shared" si="58"/>
        <v>9348</v>
      </c>
      <c r="BC128" s="371">
        <f t="shared" si="58"/>
        <v>8479</v>
      </c>
      <c r="BD128" s="409">
        <f t="shared" si="58"/>
        <v>9353</v>
      </c>
      <c r="BE128" s="409">
        <f t="shared" si="58"/>
        <v>8161.9788394827992</v>
      </c>
      <c r="BF128" s="409">
        <f t="shared" ref="BF128:BG128" si="59">BF102+BF105+BF108+BF117+BF123+BF125+BF127</f>
        <v>8396</v>
      </c>
      <c r="BG128" s="409">
        <f t="shared" si="59"/>
        <v>8495</v>
      </c>
      <c r="BH128" s="409">
        <f t="shared" ref="BH128" si="60">BH102+BH105+BH108+BH117+BH123+BH125+BH127</f>
        <v>7000</v>
      </c>
      <c r="BI128" s="422">
        <f>(BG128-BF128)/BF128</f>
        <v>1.179132920438304E-2</v>
      </c>
      <c r="BJ128" s="422">
        <f>(BH128-BG128)/BG128</f>
        <v>-0.17598587404355504</v>
      </c>
      <c r="BK128" s="574">
        <f>BG128-BF128</f>
        <v>99</v>
      </c>
      <c r="BL128" s="574">
        <f>BH128-BG128</f>
        <v>-1495</v>
      </c>
      <c r="BM128" s="1"/>
    </row>
    <row r="129" spans="1:208" ht="11.1" customHeight="1">
      <c r="A129" s="125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641"/>
      <c r="BG129" s="641"/>
      <c r="BH129" s="641"/>
      <c r="BI129" s="329"/>
      <c r="BJ129" s="329"/>
      <c r="BK129" s="577"/>
      <c r="BL129" s="577"/>
      <c r="BM129" s="1"/>
    </row>
    <row r="130" spans="1:208" s="182" customFormat="1" ht="12" customHeight="1" thickBot="1">
      <c r="A130" s="410" t="s">
        <v>43</v>
      </c>
      <c r="B130" s="408">
        <f t="shared" ref="B130:AG130" si="61">SUM(B46+B57+B73+B98+B128)</f>
        <v>354</v>
      </c>
      <c r="C130" s="408">
        <f t="shared" si="61"/>
        <v>421</v>
      </c>
      <c r="D130" s="408">
        <f t="shared" si="61"/>
        <v>483</v>
      </c>
      <c r="E130" s="408">
        <f t="shared" si="61"/>
        <v>552</v>
      </c>
      <c r="F130" s="408">
        <f t="shared" si="61"/>
        <v>590</v>
      </c>
      <c r="G130" s="408">
        <f t="shared" si="61"/>
        <v>604</v>
      </c>
      <c r="H130" s="408">
        <f t="shared" si="61"/>
        <v>645.84</v>
      </c>
      <c r="I130" s="408">
        <f t="shared" si="61"/>
        <v>702</v>
      </c>
      <c r="J130" s="408">
        <f t="shared" si="61"/>
        <v>819.5</v>
      </c>
      <c r="K130" s="408">
        <f t="shared" si="61"/>
        <v>957</v>
      </c>
      <c r="L130" s="408">
        <f t="shared" si="61"/>
        <v>1097.3980000000001</v>
      </c>
      <c r="M130" s="408">
        <f t="shared" si="61"/>
        <v>1428.0340000000001</v>
      </c>
      <c r="N130" s="408">
        <f t="shared" si="61"/>
        <v>1825.3109999999999</v>
      </c>
      <c r="O130" s="408">
        <f t="shared" si="61"/>
        <v>2528.2049999999999</v>
      </c>
      <c r="P130" s="408">
        <f t="shared" si="61"/>
        <v>2603.2359999999999</v>
      </c>
      <c r="Q130" s="408">
        <f t="shared" si="61"/>
        <v>3126.9430000000002</v>
      </c>
      <c r="R130" s="408">
        <f t="shared" si="61"/>
        <v>3701.2039999999997</v>
      </c>
      <c r="S130" s="408">
        <f t="shared" si="61"/>
        <v>4155.9110000000001</v>
      </c>
      <c r="T130" s="408">
        <f t="shared" si="61"/>
        <v>4578.973</v>
      </c>
      <c r="U130" s="408">
        <f t="shared" si="61"/>
        <v>5162.3860000000004</v>
      </c>
      <c r="V130" s="408">
        <f t="shared" si="61"/>
        <v>6055.5599999999995</v>
      </c>
      <c r="W130" s="408">
        <f t="shared" si="61"/>
        <v>6435.357</v>
      </c>
      <c r="X130" s="408">
        <f t="shared" si="61"/>
        <v>6205.1459999999997</v>
      </c>
      <c r="Y130" s="408">
        <f t="shared" si="61"/>
        <v>6485.6270000000004</v>
      </c>
      <c r="Z130" s="408">
        <f t="shared" si="61"/>
        <v>6844.5039999999999</v>
      </c>
      <c r="AA130" s="408">
        <f t="shared" si="61"/>
        <v>7213.9739999999993</v>
      </c>
      <c r="AB130" s="408">
        <f t="shared" si="61"/>
        <v>7513.732</v>
      </c>
      <c r="AC130" s="408">
        <f t="shared" si="61"/>
        <v>8248.7960000000003</v>
      </c>
      <c r="AD130" s="408">
        <f t="shared" si="61"/>
        <v>9152.6859999999997</v>
      </c>
      <c r="AE130" s="408">
        <f t="shared" si="61"/>
        <v>10103.557000000001</v>
      </c>
      <c r="AF130" s="408">
        <f t="shared" si="61"/>
        <v>11123.168</v>
      </c>
      <c r="AG130" s="408">
        <f t="shared" si="61"/>
        <v>12581.498</v>
      </c>
      <c r="AH130" s="408">
        <f t="shared" ref="AH130:BG130" si="62">SUM(AH46+AH57+AH73+AH98+AH128)</f>
        <v>14089.548999999999</v>
      </c>
      <c r="AI130" s="408">
        <f t="shared" si="62"/>
        <v>14498.263999999999</v>
      </c>
      <c r="AJ130" s="408">
        <f t="shared" si="62"/>
        <v>15023.646000000001</v>
      </c>
      <c r="AK130" s="408">
        <f t="shared" si="62"/>
        <v>15703</v>
      </c>
      <c r="AL130" s="408">
        <f t="shared" si="62"/>
        <v>15856</v>
      </c>
      <c r="AM130" s="408">
        <f t="shared" si="62"/>
        <v>16918</v>
      </c>
      <c r="AN130" s="408">
        <f t="shared" si="62"/>
        <v>18632</v>
      </c>
      <c r="AO130" s="408">
        <f t="shared" si="62"/>
        <v>19564</v>
      </c>
      <c r="AP130" s="408">
        <f t="shared" si="62"/>
        <v>21008.609704131053</v>
      </c>
      <c r="AQ130" s="408">
        <f t="shared" si="62"/>
        <v>22467.569116926967</v>
      </c>
      <c r="AR130" s="408">
        <f t="shared" si="62"/>
        <v>27054.774949426836</v>
      </c>
      <c r="AS130" s="408">
        <f t="shared" si="62"/>
        <v>35444</v>
      </c>
      <c r="AT130" s="408">
        <f t="shared" si="62"/>
        <v>32057</v>
      </c>
      <c r="AU130" s="408">
        <f t="shared" si="62"/>
        <v>33408</v>
      </c>
      <c r="AV130" s="408">
        <f t="shared" si="62"/>
        <v>35633</v>
      </c>
      <c r="AW130" s="408">
        <f t="shared" si="62"/>
        <v>37032.101153376512</v>
      </c>
      <c r="AX130" s="408">
        <f t="shared" si="62"/>
        <v>40042.927129929063</v>
      </c>
      <c r="AY130" s="408">
        <f t="shared" si="62"/>
        <v>43542</v>
      </c>
      <c r="AZ130" s="408">
        <f t="shared" si="62"/>
        <v>45667</v>
      </c>
      <c r="BA130" s="409">
        <f t="shared" si="62"/>
        <v>47089</v>
      </c>
      <c r="BB130" s="409">
        <f t="shared" si="62"/>
        <v>48233</v>
      </c>
      <c r="BC130" s="409">
        <f t="shared" si="62"/>
        <v>47276</v>
      </c>
      <c r="BD130" s="409">
        <f t="shared" si="62"/>
        <v>48346</v>
      </c>
      <c r="BE130" s="409">
        <f t="shared" si="62"/>
        <v>49648.978839482799</v>
      </c>
      <c r="BF130" s="409">
        <f t="shared" si="62"/>
        <v>51469</v>
      </c>
      <c r="BG130" s="409">
        <f t="shared" si="62"/>
        <v>53378</v>
      </c>
      <c r="BH130" s="409">
        <f t="shared" ref="BH130" si="63">SUM(BH46+BH57+BH73+BH98+BH128)</f>
        <v>56485</v>
      </c>
      <c r="BI130" s="422">
        <f>(BG130-BF130)/BF130</f>
        <v>3.709028735743846E-2</v>
      </c>
      <c r="BJ130" s="422">
        <f>(BH130-BG130)/BG130</f>
        <v>5.8207501217730148E-2</v>
      </c>
      <c r="BK130" s="574">
        <f>BG130-BF130</f>
        <v>1909</v>
      </c>
      <c r="BL130" s="574">
        <f>BH130-BG130</f>
        <v>3107</v>
      </c>
      <c r="BN130" s="403"/>
      <c r="BO130" s="403"/>
      <c r="BP130" s="403"/>
      <c r="BQ130" s="403"/>
      <c r="BR130" s="403"/>
      <c r="BS130" s="403"/>
      <c r="BT130" s="403"/>
      <c r="BU130" s="403"/>
      <c r="BV130" s="403"/>
      <c r="BW130" s="403"/>
      <c r="BX130" s="403"/>
      <c r="BY130" s="403"/>
      <c r="BZ130" s="403"/>
      <c r="CA130" s="403"/>
      <c r="CB130" s="403"/>
      <c r="CC130" s="403"/>
      <c r="CD130" s="403"/>
      <c r="CE130" s="403"/>
      <c r="CF130" s="403"/>
      <c r="CG130" s="403"/>
      <c r="CH130" s="403"/>
      <c r="CI130" s="403"/>
      <c r="CJ130" s="403"/>
      <c r="CK130" s="403"/>
      <c r="CL130" s="403"/>
      <c r="CM130" s="403"/>
      <c r="CN130" s="403"/>
      <c r="CO130" s="403"/>
      <c r="CP130" s="403"/>
      <c r="CQ130" s="403"/>
      <c r="CR130" s="403"/>
      <c r="CS130" s="403"/>
      <c r="CT130" s="403"/>
      <c r="CU130" s="403"/>
      <c r="CV130" s="403"/>
      <c r="CW130" s="403"/>
      <c r="CX130" s="403"/>
      <c r="CY130" s="403"/>
      <c r="CZ130" s="403"/>
      <c r="DA130" s="403"/>
      <c r="DB130" s="403"/>
      <c r="DC130" s="403"/>
      <c r="DD130" s="403"/>
      <c r="DE130" s="403"/>
      <c r="DF130" s="403"/>
      <c r="DG130" s="403"/>
      <c r="DH130" s="403"/>
      <c r="DI130" s="403"/>
      <c r="DJ130" s="403"/>
      <c r="DK130" s="403"/>
      <c r="DL130" s="403"/>
      <c r="DM130" s="403"/>
      <c r="DN130" s="403"/>
      <c r="DO130" s="403"/>
      <c r="DP130" s="403"/>
      <c r="DQ130" s="403"/>
      <c r="DR130" s="403"/>
      <c r="DS130" s="403"/>
      <c r="DT130" s="403"/>
      <c r="DU130" s="403"/>
      <c r="DV130" s="403"/>
      <c r="DW130" s="403"/>
      <c r="DX130" s="403"/>
      <c r="DY130" s="403"/>
      <c r="DZ130" s="403"/>
      <c r="EA130" s="403"/>
      <c r="EB130" s="403"/>
      <c r="EC130" s="403"/>
      <c r="ED130" s="403"/>
      <c r="EE130" s="403"/>
      <c r="EF130" s="403"/>
      <c r="EG130" s="403"/>
      <c r="EH130" s="403"/>
      <c r="EI130" s="403"/>
      <c r="EJ130" s="403"/>
      <c r="EK130" s="403"/>
      <c r="EL130" s="403"/>
      <c r="EM130" s="403"/>
      <c r="EN130" s="403"/>
      <c r="EO130" s="403"/>
      <c r="EP130" s="403"/>
      <c r="EQ130" s="403"/>
      <c r="ER130" s="403"/>
      <c r="ES130" s="403"/>
      <c r="ET130" s="403"/>
      <c r="EU130" s="403"/>
      <c r="EV130" s="403"/>
      <c r="EW130" s="403"/>
      <c r="EX130" s="403"/>
      <c r="EY130" s="403"/>
      <c r="EZ130" s="403"/>
      <c r="FA130" s="403"/>
      <c r="FB130" s="403"/>
      <c r="FC130" s="403"/>
      <c r="FD130" s="403"/>
      <c r="FE130" s="403"/>
      <c r="FF130" s="403"/>
      <c r="FG130" s="403"/>
      <c r="FH130" s="403"/>
      <c r="FI130" s="403"/>
      <c r="FJ130" s="403"/>
      <c r="FK130" s="403"/>
      <c r="FL130" s="403"/>
      <c r="FM130" s="403"/>
      <c r="FN130" s="403"/>
      <c r="FO130" s="403"/>
      <c r="FP130" s="403"/>
      <c r="FQ130" s="403"/>
      <c r="FR130" s="403"/>
      <c r="FS130" s="403"/>
      <c r="FT130" s="403"/>
      <c r="FU130" s="403"/>
      <c r="FV130" s="403"/>
      <c r="FW130" s="403"/>
      <c r="FX130" s="403"/>
      <c r="FY130" s="403"/>
      <c r="FZ130" s="403"/>
      <c r="GA130" s="403"/>
      <c r="GB130" s="403"/>
      <c r="GC130" s="403"/>
      <c r="GD130" s="403"/>
      <c r="GE130" s="403"/>
      <c r="GF130" s="403"/>
      <c r="GG130" s="403"/>
      <c r="GH130" s="403"/>
      <c r="GI130" s="403"/>
      <c r="GJ130" s="403"/>
      <c r="GK130" s="403"/>
      <c r="GL130" s="403"/>
      <c r="GM130" s="403"/>
      <c r="GN130" s="403"/>
      <c r="GO130" s="403"/>
      <c r="GP130" s="403"/>
      <c r="GQ130" s="403"/>
      <c r="GR130" s="403"/>
      <c r="GS130" s="403"/>
      <c r="GT130" s="403"/>
      <c r="GU130" s="403"/>
      <c r="GV130" s="403"/>
      <c r="GW130" s="403"/>
      <c r="GX130" s="403"/>
      <c r="GY130" s="403"/>
      <c r="GZ130" s="403"/>
    </row>
    <row r="131" spans="1:208" ht="15.75" customHeight="1">
      <c r="A131" s="125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12"/>
      <c r="AJ131" s="12"/>
      <c r="AK131" s="12"/>
      <c r="AL131" s="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00"/>
      <c r="AX131" s="200"/>
      <c r="AY131" s="200"/>
      <c r="AZ131" s="305"/>
      <c r="BA131" s="320"/>
      <c r="BB131" s="327"/>
      <c r="BC131" s="305"/>
      <c r="BD131" s="538"/>
      <c r="BE131" s="538"/>
      <c r="BF131" s="538"/>
      <c r="BG131" s="538"/>
      <c r="BH131" s="538"/>
      <c r="BI131" s="329"/>
      <c r="BJ131" s="329"/>
      <c r="BK131" s="570"/>
      <c r="BL131" s="570"/>
    </row>
    <row r="132" spans="1:208" ht="15.75" customHeight="1">
      <c r="A132" s="168" t="s">
        <v>44</v>
      </c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183"/>
      <c r="BG132" s="183"/>
      <c r="BH132" s="183"/>
      <c r="BI132" s="329"/>
      <c r="BJ132" s="329"/>
      <c r="BK132" s="570"/>
      <c r="BL132" s="570"/>
    </row>
    <row r="133" spans="1:208" ht="11.1" customHeight="1">
      <c r="A133" s="168"/>
      <c r="L133" s="20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0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6"/>
      <c r="AN133" s="26"/>
      <c r="AO133" s="96"/>
      <c r="AP133" s="96"/>
      <c r="AQ133" s="96"/>
      <c r="AR133" s="96"/>
      <c r="AS133" s="96"/>
      <c r="AT133" s="96"/>
      <c r="AU133" s="96"/>
      <c r="AV133" s="96"/>
      <c r="AW133" s="202"/>
      <c r="AX133" s="202"/>
      <c r="AY133" s="202"/>
      <c r="AZ133" s="302"/>
      <c r="BA133" s="319"/>
      <c r="BB133" s="325"/>
      <c r="BC133" s="302"/>
      <c r="BD133" s="547"/>
      <c r="BE133" s="547"/>
      <c r="BF133" s="547"/>
      <c r="BG133" s="547"/>
      <c r="BH133" s="547"/>
      <c r="BI133" s="329"/>
      <c r="BJ133" s="329"/>
      <c r="BK133" s="570"/>
      <c r="BL133" s="570"/>
    </row>
    <row r="134" spans="1:208" ht="15.75" customHeight="1">
      <c r="A134" s="130" t="s">
        <v>68</v>
      </c>
      <c r="L134" s="20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0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00"/>
      <c r="AX134" s="200"/>
      <c r="AY134" s="200"/>
      <c r="AZ134" s="305"/>
      <c r="BA134" s="320"/>
      <c r="BB134" s="327"/>
      <c r="BC134" s="305"/>
      <c r="BD134" s="538"/>
      <c r="BE134" s="538"/>
      <c r="BF134" s="538"/>
      <c r="BG134" s="538"/>
      <c r="BH134" s="538"/>
      <c r="BI134" s="329"/>
      <c r="BJ134" s="329"/>
      <c r="BK134" s="570"/>
      <c r="BL134" s="570"/>
    </row>
    <row r="135" spans="1:208" ht="6" customHeight="1">
      <c r="A135" s="123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12"/>
      <c r="AJ135" s="12"/>
      <c r="AK135" s="12"/>
      <c r="AL135" s="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00"/>
      <c r="AX135" s="200"/>
      <c r="AY135" s="200"/>
      <c r="AZ135" s="305"/>
      <c r="BA135" s="320"/>
      <c r="BB135" s="327"/>
      <c r="BC135" s="305"/>
      <c r="BD135" s="538"/>
      <c r="BE135" s="538"/>
      <c r="BF135" s="538"/>
      <c r="BG135" s="538"/>
      <c r="BH135" s="538"/>
      <c r="BI135" s="329"/>
      <c r="BJ135" s="329"/>
      <c r="BK135" s="570"/>
      <c r="BL135" s="570"/>
    </row>
    <row r="136" spans="1:208" ht="11.1" customHeight="1">
      <c r="A136" s="126" t="s">
        <v>45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12"/>
      <c r="AJ136" s="12"/>
      <c r="AK136" s="12"/>
      <c r="AL136" s="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00"/>
      <c r="AX136" s="200"/>
      <c r="AY136" s="200"/>
      <c r="AZ136" s="305"/>
      <c r="BA136" s="320"/>
      <c r="BB136" s="327"/>
      <c r="BC136" s="305"/>
      <c r="BD136" s="538"/>
      <c r="BE136" s="538"/>
      <c r="BF136" s="538"/>
      <c r="BG136" s="538"/>
      <c r="BH136" s="538"/>
      <c r="BI136" s="329"/>
      <c r="BJ136" s="329"/>
      <c r="BK136" s="570"/>
      <c r="BL136" s="570"/>
    </row>
    <row r="137" spans="1:208">
      <c r="A137" s="296" t="s">
        <v>138</v>
      </c>
      <c r="B137" s="28">
        <v>11</v>
      </c>
      <c r="C137" s="28">
        <v>12</v>
      </c>
      <c r="D137" s="28">
        <v>14</v>
      </c>
      <c r="E137" s="28">
        <v>16</v>
      </c>
      <c r="F137" s="28">
        <v>16</v>
      </c>
      <c r="G137" s="28">
        <v>17</v>
      </c>
      <c r="H137" s="28">
        <v>19</v>
      </c>
      <c r="I137" s="28">
        <v>21</v>
      </c>
      <c r="J137" s="28">
        <v>22</v>
      </c>
      <c r="K137" s="28">
        <v>27</v>
      </c>
      <c r="L137" s="8">
        <v>32</v>
      </c>
      <c r="M137" s="8">
        <v>37</v>
      </c>
      <c r="N137" s="8">
        <v>39</v>
      </c>
      <c r="O137" s="8">
        <v>43</v>
      </c>
      <c r="P137" s="8">
        <v>49</v>
      </c>
      <c r="Q137" s="8">
        <v>62</v>
      </c>
      <c r="R137" s="8">
        <v>75</v>
      </c>
      <c r="S137" s="8">
        <v>83</v>
      </c>
      <c r="T137" s="8">
        <v>91</v>
      </c>
      <c r="U137" s="8">
        <v>96</v>
      </c>
      <c r="V137" s="8">
        <v>113</v>
      </c>
      <c r="W137" s="8">
        <v>120</v>
      </c>
      <c r="X137" s="8">
        <v>128</v>
      </c>
      <c r="Y137" s="8">
        <v>145</v>
      </c>
      <c r="Z137" s="8">
        <v>164</v>
      </c>
      <c r="AA137" s="8">
        <v>169</v>
      </c>
      <c r="AB137" s="8">
        <v>184</v>
      </c>
      <c r="AC137" s="8">
        <v>193</v>
      </c>
      <c r="AD137" s="8">
        <v>218</v>
      </c>
      <c r="AE137" s="8">
        <v>235</v>
      </c>
      <c r="AF137" s="8">
        <v>256</v>
      </c>
      <c r="AG137" s="8">
        <v>285</v>
      </c>
      <c r="AH137" s="8">
        <v>274</v>
      </c>
      <c r="AI137" s="9">
        <v>347</v>
      </c>
      <c r="AJ137" s="9">
        <v>358</v>
      </c>
      <c r="AK137" s="9">
        <v>388</v>
      </c>
      <c r="AL137" s="9">
        <v>357</v>
      </c>
      <c r="AM137" s="36">
        <v>345</v>
      </c>
      <c r="AN137" s="36">
        <v>353</v>
      </c>
      <c r="AO137" s="36">
        <v>403</v>
      </c>
      <c r="AP137" s="36">
        <v>382</v>
      </c>
      <c r="AQ137" s="36">
        <v>417</v>
      </c>
      <c r="AR137" s="36">
        <v>413</v>
      </c>
      <c r="AS137" s="36">
        <v>429</v>
      </c>
      <c r="AT137" s="36">
        <v>451</v>
      </c>
      <c r="AU137" s="36">
        <v>474</v>
      </c>
      <c r="AV137" s="53">
        <v>538</v>
      </c>
      <c r="AW137" s="53">
        <v>605</v>
      </c>
      <c r="AX137" s="53">
        <v>660</v>
      </c>
      <c r="AY137" s="53">
        <v>704</v>
      </c>
      <c r="AZ137" s="53">
        <v>733</v>
      </c>
      <c r="BA137" s="448">
        <v>740</v>
      </c>
      <c r="BB137" s="448">
        <v>817</v>
      </c>
      <c r="BC137" s="448">
        <v>1077</v>
      </c>
      <c r="BD137" s="381">
        <v>1004</v>
      </c>
      <c r="BE137" s="381">
        <v>991</v>
      </c>
      <c r="BF137" s="381">
        <v>1042</v>
      </c>
      <c r="BG137" s="381">
        <v>1131</v>
      </c>
      <c r="BH137" s="381">
        <v>1206</v>
      </c>
      <c r="BI137" s="385">
        <f>(BG137-BF137)/BF137</f>
        <v>8.5412667946257195E-2</v>
      </c>
      <c r="BJ137" s="385">
        <f>(BH137-BG137)/BG137</f>
        <v>6.6312997347480113E-2</v>
      </c>
      <c r="BK137" s="569">
        <f>BG137-BF137</f>
        <v>89</v>
      </c>
      <c r="BL137" s="569">
        <f>BH137-BG137</f>
        <v>75</v>
      </c>
    </row>
    <row r="138" spans="1:208" ht="11.1" customHeight="1">
      <c r="A138" s="125" t="s">
        <v>78</v>
      </c>
      <c r="B138" s="153" t="s">
        <v>3</v>
      </c>
      <c r="C138" s="153" t="s">
        <v>3</v>
      </c>
      <c r="D138" s="153" t="s">
        <v>3</v>
      </c>
      <c r="E138" s="153" t="s">
        <v>3</v>
      </c>
      <c r="F138" s="153" t="s">
        <v>3</v>
      </c>
      <c r="G138" s="153" t="s">
        <v>3</v>
      </c>
      <c r="H138" s="153" t="s">
        <v>3</v>
      </c>
      <c r="I138" s="153" t="s">
        <v>3</v>
      </c>
      <c r="J138" s="153" t="s">
        <v>3</v>
      </c>
      <c r="K138" s="153" t="s">
        <v>3</v>
      </c>
      <c r="L138" s="153" t="s">
        <v>3</v>
      </c>
      <c r="M138" s="153" t="s">
        <v>3</v>
      </c>
      <c r="N138" s="153" t="s">
        <v>3</v>
      </c>
      <c r="O138" s="153" t="s">
        <v>3</v>
      </c>
      <c r="P138" s="153" t="s">
        <v>3</v>
      </c>
      <c r="Q138" s="153" t="s">
        <v>3</v>
      </c>
      <c r="R138" s="153" t="s">
        <v>3</v>
      </c>
      <c r="S138" s="153" t="s">
        <v>3</v>
      </c>
      <c r="T138" s="153" t="s">
        <v>3</v>
      </c>
      <c r="U138" s="153" t="s">
        <v>3</v>
      </c>
      <c r="V138" s="153" t="s">
        <v>3</v>
      </c>
      <c r="W138" s="153" t="s">
        <v>3</v>
      </c>
      <c r="X138" s="153" t="s">
        <v>3</v>
      </c>
      <c r="Y138" s="153" t="s">
        <v>3</v>
      </c>
      <c r="Z138" s="153" t="s">
        <v>3</v>
      </c>
      <c r="AA138" s="153" t="s">
        <v>3</v>
      </c>
      <c r="AB138" s="153" t="s">
        <v>3</v>
      </c>
      <c r="AC138" s="153" t="s">
        <v>3</v>
      </c>
      <c r="AD138" s="153" t="s">
        <v>3</v>
      </c>
      <c r="AE138" s="153" t="s">
        <v>3</v>
      </c>
      <c r="AF138" s="153" t="s">
        <v>3</v>
      </c>
      <c r="AG138" s="153">
        <v>19</v>
      </c>
      <c r="AH138" s="12">
        <v>16</v>
      </c>
      <c r="AI138" s="178">
        <v>21</v>
      </c>
      <c r="AJ138" s="178">
        <v>20</v>
      </c>
      <c r="AK138" s="178">
        <v>22</v>
      </c>
      <c r="AL138" s="178">
        <v>22</v>
      </c>
      <c r="AM138" s="179">
        <v>25</v>
      </c>
      <c r="AN138" s="179">
        <v>26</v>
      </c>
      <c r="AO138" s="179">
        <v>26</v>
      </c>
      <c r="AP138" s="179">
        <v>29</v>
      </c>
      <c r="AQ138" s="179">
        <v>33</v>
      </c>
      <c r="AR138" s="179">
        <v>46</v>
      </c>
      <c r="AS138" s="179">
        <v>55</v>
      </c>
      <c r="AT138" s="55">
        <v>56</v>
      </c>
      <c r="AU138" s="55">
        <v>66</v>
      </c>
      <c r="AV138" s="33">
        <v>75</v>
      </c>
      <c r="AW138" s="33">
        <v>80</v>
      </c>
      <c r="AX138" s="33">
        <v>85</v>
      </c>
      <c r="AY138" s="33">
        <v>100</v>
      </c>
      <c r="AZ138" s="33">
        <v>102</v>
      </c>
      <c r="BA138" s="356">
        <v>119</v>
      </c>
      <c r="BB138" s="356">
        <v>109</v>
      </c>
      <c r="BC138" s="356">
        <v>109</v>
      </c>
      <c r="BD138" s="367">
        <v>95</v>
      </c>
      <c r="BE138" s="367">
        <v>102</v>
      </c>
      <c r="BF138" s="367">
        <v>110</v>
      </c>
      <c r="BG138" s="367">
        <v>126</v>
      </c>
      <c r="BH138" s="367">
        <v>122</v>
      </c>
      <c r="BI138" s="385">
        <f>(BG138-BF138)/BF138</f>
        <v>0.14545454545454545</v>
      </c>
      <c r="BJ138" s="385">
        <f>(BH138-BG138)/BG138</f>
        <v>-3.1746031746031744E-2</v>
      </c>
      <c r="BK138" s="569">
        <f>BG138-BF138</f>
        <v>16</v>
      </c>
      <c r="BL138" s="569">
        <f>BH138-BG138</f>
        <v>-4</v>
      </c>
    </row>
    <row r="139" spans="1:208" ht="11.1" customHeight="1">
      <c r="A139" s="129" t="s">
        <v>139</v>
      </c>
      <c r="B139" s="56">
        <v>9</v>
      </c>
      <c r="C139" s="56">
        <v>11</v>
      </c>
      <c r="D139" s="56">
        <v>12</v>
      </c>
      <c r="E139" s="56">
        <v>14</v>
      </c>
      <c r="F139" s="56">
        <v>15</v>
      </c>
      <c r="G139" s="56">
        <v>16</v>
      </c>
      <c r="H139" s="56">
        <v>16</v>
      </c>
      <c r="I139" s="56">
        <v>17</v>
      </c>
      <c r="J139" s="56">
        <v>19</v>
      </c>
      <c r="K139" s="56">
        <v>18</v>
      </c>
      <c r="L139" s="56">
        <v>21</v>
      </c>
      <c r="M139" s="56">
        <v>25</v>
      </c>
      <c r="N139" s="56">
        <v>27</v>
      </c>
      <c r="O139" s="56">
        <v>31</v>
      </c>
      <c r="P139" s="56">
        <v>28</v>
      </c>
      <c r="Q139" s="60">
        <v>33</v>
      </c>
      <c r="R139" s="60">
        <v>34</v>
      </c>
      <c r="S139" s="60">
        <v>41</v>
      </c>
      <c r="T139" s="60">
        <v>44</v>
      </c>
      <c r="U139" s="60">
        <v>49</v>
      </c>
      <c r="V139" s="60">
        <v>20</v>
      </c>
      <c r="W139" s="60">
        <v>56</v>
      </c>
      <c r="X139" s="60">
        <v>66</v>
      </c>
      <c r="Y139" s="60">
        <v>66</v>
      </c>
      <c r="Z139" s="60">
        <v>68</v>
      </c>
      <c r="AA139" s="60">
        <v>61</v>
      </c>
      <c r="AB139" s="60">
        <v>54</v>
      </c>
      <c r="AC139" s="60">
        <v>21</v>
      </c>
      <c r="AD139" s="60">
        <v>40</v>
      </c>
      <c r="AE139" s="114">
        <v>40</v>
      </c>
      <c r="AF139" s="114">
        <v>249</v>
      </c>
      <c r="AG139" s="114">
        <v>226</v>
      </c>
      <c r="AH139" s="114">
        <v>236</v>
      </c>
      <c r="AI139" s="114">
        <v>200</v>
      </c>
      <c r="AJ139" s="114">
        <v>106</v>
      </c>
      <c r="AK139" s="114">
        <v>193</v>
      </c>
      <c r="AL139" s="114">
        <v>144</v>
      </c>
      <c r="AM139" s="65">
        <v>137</v>
      </c>
      <c r="AN139" s="65">
        <v>137</v>
      </c>
      <c r="AO139" s="65">
        <v>142</v>
      </c>
      <c r="AP139" s="65">
        <v>159</v>
      </c>
      <c r="AQ139" s="65">
        <v>158</v>
      </c>
      <c r="AR139" s="339">
        <v>153</v>
      </c>
      <c r="AS139" s="339">
        <v>151</v>
      </c>
      <c r="AT139" s="339">
        <v>171</v>
      </c>
      <c r="AU139" s="339">
        <v>175</v>
      </c>
      <c r="AV139" s="339">
        <v>198</v>
      </c>
      <c r="AW139" s="339">
        <v>216</v>
      </c>
      <c r="AX139" s="339">
        <v>241</v>
      </c>
      <c r="AY139" s="339">
        <v>232</v>
      </c>
      <c r="AZ139" s="339">
        <v>230</v>
      </c>
      <c r="BA139" s="417">
        <v>194</v>
      </c>
      <c r="BB139" s="425" t="s">
        <v>3</v>
      </c>
      <c r="BC139" s="425" t="s">
        <v>3</v>
      </c>
      <c r="BD139" s="550" t="s">
        <v>3</v>
      </c>
      <c r="BE139" s="550" t="s">
        <v>3</v>
      </c>
      <c r="BF139" s="550" t="s">
        <v>3</v>
      </c>
      <c r="BG139" s="550" t="s">
        <v>3</v>
      </c>
      <c r="BH139" s="550" t="s">
        <v>3</v>
      </c>
      <c r="BI139" s="424" t="s">
        <v>9</v>
      </c>
      <c r="BJ139" s="424" t="s">
        <v>9</v>
      </c>
      <c r="BK139" s="573" t="s">
        <v>9</v>
      </c>
      <c r="BL139" s="573" t="s">
        <v>9</v>
      </c>
    </row>
    <row r="140" spans="1:208" ht="11.1" customHeight="1">
      <c r="A140" s="128" t="s">
        <v>32</v>
      </c>
      <c r="B140" s="142">
        <f>SUM(B137:B139)</f>
        <v>20</v>
      </c>
      <c r="C140" s="142">
        <f t="shared" ref="C140:AQ140" si="64">SUM(C137:C139)</f>
        <v>23</v>
      </c>
      <c r="D140" s="142">
        <f t="shared" si="64"/>
        <v>26</v>
      </c>
      <c r="E140" s="142">
        <f t="shared" si="64"/>
        <v>30</v>
      </c>
      <c r="F140" s="142">
        <f t="shared" si="64"/>
        <v>31</v>
      </c>
      <c r="G140" s="142">
        <f t="shared" si="64"/>
        <v>33</v>
      </c>
      <c r="H140" s="142">
        <f t="shared" si="64"/>
        <v>35</v>
      </c>
      <c r="I140" s="142">
        <f t="shared" si="64"/>
        <v>38</v>
      </c>
      <c r="J140" s="142">
        <f>SUM(J137:J139)</f>
        <v>41</v>
      </c>
      <c r="K140" s="142">
        <f t="shared" si="64"/>
        <v>45</v>
      </c>
      <c r="L140" s="142">
        <f t="shared" si="64"/>
        <v>53</v>
      </c>
      <c r="M140" s="142">
        <f t="shared" si="64"/>
        <v>62</v>
      </c>
      <c r="N140" s="142">
        <f t="shared" si="64"/>
        <v>66</v>
      </c>
      <c r="O140" s="142">
        <f t="shared" si="64"/>
        <v>74</v>
      </c>
      <c r="P140" s="142">
        <f t="shared" si="64"/>
        <v>77</v>
      </c>
      <c r="Q140" s="142">
        <f t="shared" si="64"/>
        <v>95</v>
      </c>
      <c r="R140" s="142">
        <f t="shared" si="64"/>
        <v>109</v>
      </c>
      <c r="S140" s="142">
        <f t="shared" si="64"/>
        <v>124</v>
      </c>
      <c r="T140" s="142">
        <f t="shared" si="64"/>
        <v>135</v>
      </c>
      <c r="U140" s="142">
        <f t="shared" si="64"/>
        <v>145</v>
      </c>
      <c r="V140" s="142">
        <f t="shared" si="64"/>
        <v>133</v>
      </c>
      <c r="W140" s="142">
        <f t="shared" si="64"/>
        <v>176</v>
      </c>
      <c r="X140" s="142">
        <f t="shared" si="64"/>
        <v>194</v>
      </c>
      <c r="Y140" s="142">
        <f t="shared" si="64"/>
        <v>211</v>
      </c>
      <c r="Z140" s="142">
        <f t="shared" si="64"/>
        <v>232</v>
      </c>
      <c r="AA140" s="142">
        <f t="shared" si="64"/>
        <v>230</v>
      </c>
      <c r="AB140" s="142">
        <f t="shared" si="64"/>
        <v>238</v>
      </c>
      <c r="AC140" s="142">
        <f t="shared" si="64"/>
        <v>214</v>
      </c>
      <c r="AD140" s="142">
        <f t="shared" si="64"/>
        <v>258</v>
      </c>
      <c r="AE140" s="142">
        <f t="shared" si="64"/>
        <v>275</v>
      </c>
      <c r="AF140" s="142">
        <f t="shared" si="64"/>
        <v>505</v>
      </c>
      <c r="AG140" s="142">
        <f t="shared" si="64"/>
        <v>530</v>
      </c>
      <c r="AH140" s="142">
        <f t="shared" si="64"/>
        <v>526</v>
      </c>
      <c r="AI140" s="142">
        <f t="shared" si="64"/>
        <v>568</v>
      </c>
      <c r="AJ140" s="142">
        <f t="shared" si="64"/>
        <v>484</v>
      </c>
      <c r="AK140" s="142">
        <f t="shared" si="64"/>
        <v>603</v>
      </c>
      <c r="AL140" s="142">
        <f t="shared" si="64"/>
        <v>523</v>
      </c>
      <c r="AM140" s="142">
        <f t="shared" si="64"/>
        <v>507</v>
      </c>
      <c r="AN140" s="142">
        <f t="shared" si="64"/>
        <v>516</v>
      </c>
      <c r="AO140" s="142">
        <f t="shared" si="64"/>
        <v>571</v>
      </c>
      <c r="AP140" s="142">
        <f t="shared" si="64"/>
        <v>570</v>
      </c>
      <c r="AQ140" s="142">
        <f t="shared" si="64"/>
        <v>608</v>
      </c>
      <c r="AR140" s="142">
        <f t="shared" ref="AR140:BA140" si="65">SUM(AR137:AR139)</f>
        <v>612</v>
      </c>
      <c r="AS140" s="142">
        <f t="shared" si="65"/>
        <v>635</v>
      </c>
      <c r="AT140" s="142">
        <f t="shared" si="65"/>
        <v>678</v>
      </c>
      <c r="AU140" s="142">
        <f>SUM(AU137:AU139)</f>
        <v>715</v>
      </c>
      <c r="AV140" s="222">
        <f>SUM(AV137:AV139)</f>
        <v>811</v>
      </c>
      <c r="AW140" s="222">
        <f>SUM(AW137:AW139)</f>
        <v>901</v>
      </c>
      <c r="AX140" s="222">
        <f>SUM(AX137:AX139)</f>
        <v>986</v>
      </c>
      <c r="AY140" s="222">
        <f t="shared" si="65"/>
        <v>1036</v>
      </c>
      <c r="AZ140" s="222">
        <f>SUM(AZ137:AZ139)</f>
        <v>1065</v>
      </c>
      <c r="BA140" s="377">
        <f t="shared" si="65"/>
        <v>1053</v>
      </c>
      <c r="BB140" s="377">
        <f t="shared" ref="BB140:BG140" si="66">SUM(BB137:BB139)</f>
        <v>926</v>
      </c>
      <c r="BC140" s="377">
        <f t="shared" si="66"/>
        <v>1186</v>
      </c>
      <c r="BD140" s="376">
        <f t="shared" si="66"/>
        <v>1099</v>
      </c>
      <c r="BE140" s="376">
        <f t="shared" si="66"/>
        <v>1093</v>
      </c>
      <c r="BF140" s="376">
        <f t="shared" si="66"/>
        <v>1152</v>
      </c>
      <c r="BG140" s="376">
        <f t="shared" si="66"/>
        <v>1257</v>
      </c>
      <c r="BH140" s="376">
        <f t="shared" ref="BH140" si="67">SUM(BH137:BH139)</f>
        <v>1328</v>
      </c>
      <c r="BI140" s="415">
        <f>(BG140-BF140)/BF140</f>
        <v>9.1145833333333329E-2</v>
      </c>
      <c r="BJ140" s="415">
        <f>(BH140-BG140)/BG140</f>
        <v>5.6483691328560064E-2</v>
      </c>
      <c r="BK140" s="572">
        <f>BG140-BF140</f>
        <v>105</v>
      </c>
      <c r="BL140" s="572">
        <f>BH140-BG140</f>
        <v>71</v>
      </c>
    </row>
    <row r="141" spans="1:208" ht="15.75" customHeight="1">
      <c r="A141" s="12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184"/>
      <c r="BG141" s="184"/>
      <c r="BH141" s="184"/>
      <c r="BI141" s="329"/>
      <c r="BJ141" s="329"/>
      <c r="BK141" s="570"/>
      <c r="BL141" s="570"/>
    </row>
    <row r="142" spans="1:208" ht="10.5" customHeight="1">
      <c r="A142" s="426" t="s">
        <v>111</v>
      </c>
      <c r="B142" s="365" t="s">
        <v>3</v>
      </c>
      <c r="C142" s="365" t="s">
        <v>3</v>
      </c>
      <c r="D142" s="365" t="s">
        <v>3</v>
      </c>
      <c r="E142" s="365" t="s">
        <v>3</v>
      </c>
      <c r="F142" s="365" t="s">
        <v>3</v>
      </c>
      <c r="G142" s="365" t="s">
        <v>3</v>
      </c>
      <c r="H142" s="365" t="s">
        <v>3</v>
      </c>
      <c r="I142" s="365" t="s">
        <v>3</v>
      </c>
      <c r="J142" s="365" t="s">
        <v>3</v>
      </c>
      <c r="K142" s="365" t="s">
        <v>3</v>
      </c>
      <c r="L142" s="365" t="s">
        <v>3</v>
      </c>
      <c r="M142" s="365" t="s">
        <v>3</v>
      </c>
      <c r="N142" s="365" t="s">
        <v>3</v>
      </c>
      <c r="O142" s="365" t="s">
        <v>3</v>
      </c>
      <c r="P142" s="365" t="s">
        <v>3</v>
      </c>
      <c r="Q142" s="365" t="s">
        <v>3</v>
      </c>
      <c r="R142" s="365" t="s">
        <v>3</v>
      </c>
      <c r="S142" s="365" t="s">
        <v>3</v>
      </c>
      <c r="T142" s="365" t="s">
        <v>3</v>
      </c>
      <c r="U142" s="365" t="s">
        <v>3</v>
      </c>
      <c r="V142" s="365" t="s">
        <v>3</v>
      </c>
      <c r="W142" s="365" t="s">
        <v>3</v>
      </c>
      <c r="X142" s="365" t="s">
        <v>3</v>
      </c>
      <c r="Y142" s="365" t="s">
        <v>3</v>
      </c>
      <c r="Z142" s="365" t="s">
        <v>3</v>
      </c>
      <c r="AA142" s="365" t="s">
        <v>3</v>
      </c>
      <c r="AB142" s="365" t="s">
        <v>3</v>
      </c>
      <c r="AC142" s="365" t="s">
        <v>3</v>
      </c>
      <c r="AD142" s="365" t="s">
        <v>3</v>
      </c>
      <c r="AE142" s="365" t="s">
        <v>3</v>
      </c>
      <c r="AF142" s="365" t="s">
        <v>3</v>
      </c>
      <c r="AG142" s="365" t="s">
        <v>3</v>
      </c>
      <c r="AH142" s="365" t="s">
        <v>3</v>
      </c>
      <c r="AI142" s="365" t="s">
        <v>3</v>
      </c>
      <c r="AJ142" s="365" t="s">
        <v>3</v>
      </c>
      <c r="AK142" s="365" t="s">
        <v>3</v>
      </c>
      <c r="AL142" s="365" t="s">
        <v>3</v>
      </c>
      <c r="AM142" s="365" t="s">
        <v>3</v>
      </c>
      <c r="AN142" s="365" t="s">
        <v>3</v>
      </c>
      <c r="AO142" s="365" t="s">
        <v>3</v>
      </c>
      <c r="AP142" s="365" t="s">
        <v>3</v>
      </c>
      <c r="AQ142" s="365" t="s">
        <v>3</v>
      </c>
      <c r="AR142" s="365" t="s">
        <v>3</v>
      </c>
      <c r="AS142" s="365" t="s">
        <v>3</v>
      </c>
      <c r="AT142" s="365" t="s">
        <v>3</v>
      </c>
      <c r="AU142" s="365" t="s">
        <v>3</v>
      </c>
      <c r="AV142" s="365" t="s">
        <v>3</v>
      </c>
      <c r="AW142" s="365" t="s">
        <v>3</v>
      </c>
      <c r="AX142" s="365" t="s">
        <v>3</v>
      </c>
      <c r="AY142" s="365" t="s">
        <v>3</v>
      </c>
      <c r="AZ142" s="365" t="s">
        <v>3</v>
      </c>
      <c r="BA142" s="320">
        <v>53</v>
      </c>
      <c r="BB142" s="320">
        <v>234</v>
      </c>
      <c r="BC142" s="320">
        <v>357</v>
      </c>
      <c r="BD142" s="374">
        <v>431</v>
      </c>
      <c r="BE142" s="374">
        <v>483</v>
      </c>
      <c r="BF142" s="374">
        <v>586</v>
      </c>
      <c r="BG142" s="374">
        <v>681</v>
      </c>
      <c r="BH142" s="374">
        <v>630</v>
      </c>
      <c r="BI142" s="385">
        <f>(BG142-BF142)/BF142</f>
        <v>0.1621160409556314</v>
      </c>
      <c r="BJ142" s="385">
        <f>(BH142-BG142)/BG142</f>
        <v>-7.4889867841409691E-2</v>
      </c>
      <c r="BK142" s="569">
        <f>BG142-BF142</f>
        <v>95</v>
      </c>
      <c r="BL142" s="569">
        <f>BH142-BG142</f>
        <v>-51</v>
      </c>
    </row>
    <row r="143" spans="1:208" ht="6" customHeight="1">
      <c r="A143" s="12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26"/>
      <c r="AN143" s="26"/>
      <c r="AO143" s="26"/>
      <c r="AP143" s="26"/>
      <c r="AQ143" s="26"/>
      <c r="AR143" s="26"/>
      <c r="AS143" s="26"/>
      <c r="AT143" s="26"/>
      <c r="AU143" s="26"/>
      <c r="AV143" s="161"/>
      <c r="AW143" s="161"/>
      <c r="AX143" s="161"/>
      <c r="AY143" s="161"/>
      <c r="AZ143" s="305"/>
      <c r="BA143" s="320"/>
      <c r="BB143" s="327"/>
      <c r="BC143" s="305"/>
      <c r="BD143" s="538"/>
      <c r="BE143" s="538"/>
      <c r="BF143" s="538"/>
      <c r="BG143" s="538"/>
      <c r="BH143" s="538"/>
      <c r="BI143" s="329"/>
      <c r="BJ143" s="329"/>
      <c r="BK143" s="570"/>
      <c r="BL143" s="570"/>
    </row>
    <row r="144" spans="1:208" ht="11.1" customHeight="1">
      <c r="A144" s="125" t="s">
        <v>22</v>
      </c>
      <c r="B144" s="28">
        <v>2</v>
      </c>
      <c r="C144" s="28">
        <v>3</v>
      </c>
      <c r="D144" s="28">
        <v>2</v>
      </c>
      <c r="E144" s="28">
        <v>3</v>
      </c>
      <c r="F144" s="28">
        <v>3</v>
      </c>
      <c r="G144" s="28">
        <v>3</v>
      </c>
      <c r="H144" s="28">
        <v>3</v>
      </c>
      <c r="I144" s="28">
        <v>3</v>
      </c>
      <c r="J144" s="28">
        <v>3</v>
      </c>
      <c r="K144" s="28">
        <v>4</v>
      </c>
      <c r="L144" s="13">
        <v>4</v>
      </c>
      <c r="M144" s="13">
        <v>4</v>
      </c>
      <c r="N144" s="13">
        <v>5</v>
      </c>
      <c r="O144" s="13">
        <v>6</v>
      </c>
      <c r="P144" s="13">
        <v>6</v>
      </c>
      <c r="Q144" s="13">
        <v>7</v>
      </c>
      <c r="R144" s="13">
        <v>8</v>
      </c>
      <c r="S144" s="13">
        <v>8</v>
      </c>
      <c r="T144" s="13">
        <v>9</v>
      </c>
      <c r="U144" s="13">
        <v>10</v>
      </c>
      <c r="V144" s="13">
        <v>12</v>
      </c>
      <c r="W144" s="13">
        <v>14</v>
      </c>
      <c r="X144" s="13">
        <v>15</v>
      </c>
      <c r="Y144" s="13">
        <v>15</v>
      </c>
      <c r="Z144" s="13">
        <v>18</v>
      </c>
      <c r="AA144" s="13">
        <v>22</v>
      </c>
      <c r="AB144" s="13">
        <v>26</v>
      </c>
      <c r="AC144" s="13">
        <v>27</v>
      </c>
      <c r="AD144" s="13">
        <v>33</v>
      </c>
      <c r="AE144" s="13">
        <v>34</v>
      </c>
      <c r="AF144" s="13">
        <v>36</v>
      </c>
      <c r="AG144" s="13">
        <v>37</v>
      </c>
      <c r="AH144" s="13">
        <v>39</v>
      </c>
      <c r="AI144" s="13">
        <v>38</v>
      </c>
      <c r="AJ144" s="13">
        <v>35</v>
      </c>
      <c r="AK144" s="13">
        <v>40</v>
      </c>
      <c r="AL144" s="70">
        <v>40</v>
      </c>
      <c r="AM144" s="70">
        <v>33</v>
      </c>
      <c r="AN144" s="70">
        <v>32</v>
      </c>
      <c r="AO144" s="70">
        <v>34</v>
      </c>
      <c r="AP144" s="70">
        <v>32</v>
      </c>
      <c r="AQ144" s="70">
        <v>38</v>
      </c>
      <c r="AR144" s="70">
        <v>36</v>
      </c>
      <c r="AS144" s="70">
        <v>37</v>
      </c>
      <c r="AT144" s="70">
        <v>39</v>
      </c>
      <c r="AU144" s="70">
        <v>40</v>
      </c>
      <c r="AV144" s="70">
        <v>39</v>
      </c>
      <c r="AW144" s="70">
        <v>40</v>
      </c>
      <c r="AX144" s="70">
        <v>42</v>
      </c>
      <c r="AY144" s="70">
        <v>45</v>
      </c>
      <c r="AZ144" s="70">
        <v>50</v>
      </c>
      <c r="BA144" s="378">
        <v>53</v>
      </c>
      <c r="BB144" s="378">
        <v>53</v>
      </c>
      <c r="BC144" s="378">
        <v>53</v>
      </c>
      <c r="BD144" s="551">
        <v>53</v>
      </c>
      <c r="BE144" s="551">
        <v>57</v>
      </c>
      <c r="BF144" s="551">
        <v>63</v>
      </c>
      <c r="BG144" s="551">
        <v>81</v>
      </c>
      <c r="BH144" s="551">
        <v>73</v>
      </c>
      <c r="BI144" s="385">
        <f>(BG144-BF144)/BF144</f>
        <v>0.2857142857142857</v>
      </c>
      <c r="BJ144" s="385">
        <f>(BH144-BG144)/BG144</f>
        <v>-9.8765432098765427E-2</v>
      </c>
      <c r="BK144" s="569">
        <f>BG144-BF144</f>
        <v>18</v>
      </c>
      <c r="BL144" s="569">
        <f>BH144-BG144</f>
        <v>-8</v>
      </c>
    </row>
    <row r="145" spans="1:208" ht="6" customHeight="1">
      <c r="A145" s="12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26"/>
      <c r="AN145" s="26"/>
      <c r="AO145" s="26"/>
      <c r="AP145" s="26"/>
      <c r="AQ145" s="26"/>
      <c r="AR145" s="26"/>
      <c r="AS145" s="26"/>
      <c r="AT145" s="26"/>
      <c r="AU145" s="26"/>
      <c r="AV145" s="161"/>
      <c r="AW145" s="161"/>
      <c r="AX145" s="161"/>
      <c r="AY145" s="161"/>
      <c r="AZ145" s="305"/>
      <c r="BA145" s="320"/>
      <c r="BB145" s="327"/>
      <c r="BC145" s="305"/>
      <c r="BD145" s="538"/>
      <c r="BE145" s="538"/>
      <c r="BF145" s="538"/>
      <c r="BG145" s="538"/>
      <c r="BH145" s="538"/>
      <c r="BI145" s="329"/>
      <c r="BJ145" s="329"/>
      <c r="BK145" s="570"/>
      <c r="BL145" s="570"/>
    </row>
    <row r="146" spans="1:208" s="182" customFormat="1">
      <c r="A146" s="186" t="s">
        <v>5</v>
      </c>
      <c r="B146" s="587">
        <v>13</v>
      </c>
      <c r="C146" s="587">
        <v>14</v>
      </c>
      <c r="D146" s="587">
        <v>14</v>
      </c>
      <c r="E146" s="587">
        <v>14</v>
      </c>
      <c r="F146" s="587">
        <v>15</v>
      </c>
      <c r="G146" s="587">
        <v>15</v>
      </c>
      <c r="H146" s="587">
        <v>5</v>
      </c>
      <c r="I146" s="587">
        <v>11</v>
      </c>
      <c r="J146" s="587">
        <v>20</v>
      </c>
      <c r="K146" s="587">
        <v>12</v>
      </c>
      <c r="L146" s="588">
        <v>30</v>
      </c>
      <c r="M146" s="588">
        <v>47</v>
      </c>
      <c r="N146" s="588">
        <v>22</v>
      </c>
      <c r="O146" s="588">
        <v>40</v>
      </c>
      <c r="P146" s="588">
        <v>70</v>
      </c>
      <c r="Q146" s="588">
        <v>69</v>
      </c>
      <c r="R146" s="588">
        <v>68</v>
      </c>
      <c r="S146" s="588">
        <v>71</v>
      </c>
      <c r="T146" s="588">
        <v>85</v>
      </c>
      <c r="U146" s="588">
        <v>89</v>
      </c>
      <c r="V146" s="588">
        <v>121</v>
      </c>
      <c r="W146" s="588">
        <v>45</v>
      </c>
      <c r="X146" s="588">
        <v>131</v>
      </c>
      <c r="Y146" s="588">
        <v>94</v>
      </c>
      <c r="Z146" s="588">
        <v>162</v>
      </c>
      <c r="AA146" s="588">
        <v>276</v>
      </c>
      <c r="AB146" s="588">
        <v>525</v>
      </c>
      <c r="AC146" s="588">
        <v>312</v>
      </c>
      <c r="AD146" s="588">
        <v>479</v>
      </c>
      <c r="AE146" s="588">
        <v>510</v>
      </c>
      <c r="AF146" s="588">
        <v>476</v>
      </c>
      <c r="AG146" s="588">
        <v>263</v>
      </c>
      <c r="AH146" s="588">
        <v>367</v>
      </c>
      <c r="AI146" s="588">
        <v>614</v>
      </c>
      <c r="AJ146" s="588">
        <v>397</v>
      </c>
      <c r="AK146" s="588">
        <v>696</v>
      </c>
      <c r="AL146" s="588">
        <v>538</v>
      </c>
      <c r="AM146" s="185">
        <v>716</v>
      </c>
      <c r="AN146" s="185">
        <v>584</v>
      </c>
      <c r="AO146" s="228">
        <v>522</v>
      </c>
      <c r="AP146" s="228">
        <v>660</v>
      </c>
      <c r="AQ146" s="228">
        <v>602</v>
      </c>
      <c r="AR146" s="277">
        <v>654</v>
      </c>
      <c r="AS146" s="277">
        <v>645</v>
      </c>
      <c r="AT146" s="277">
        <v>667</v>
      </c>
      <c r="AU146" s="277">
        <v>511</v>
      </c>
      <c r="AV146" s="277">
        <v>587</v>
      </c>
      <c r="AW146" s="277">
        <v>572.3551942421426</v>
      </c>
      <c r="AX146" s="277">
        <v>655.43877310099901</v>
      </c>
      <c r="AY146" s="277">
        <v>759</v>
      </c>
      <c r="AZ146" s="277">
        <v>866</v>
      </c>
      <c r="BA146" s="370">
        <v>985</v>
      </c>
      <c r="BB146" s="370">
        <v>1009</v>
      </c>
      <c r="BC146" s="370">
        <v>1015</v>
      </c>
      <c r="BD146" s="370">
        <v>1007.7563657153557</v>
      </c>
      <c r="BE146" s="370">
        <v>1013</v>
      </c>
      <c r="BF146" s="370">
        <v>1163</v>
      </c>
      <c r="BG146" s="370">
        <v>1060</v>
      </c>
      <c r="BH146" s="370">
        <v>1117</v>
      </c>
      <c r="BI146" s="385">
        <f>(BG146-BF146)/BF146</f>
        <v>-8.8564058469475501E-2</v>
      </c>
      <c r="BJ146" s="385">
        <f>(BH146-BG146)/BG146</f>
        <v>5.3773584905660379E-2</v>
      </c>
      <c r="BK146" s="569">
        <f>BG146-BF146</f>
        <v>-103</v>
      </c>
      <c r="BL146" s="569">
        <f>BH146-BG146</f>
        <v>57</v>
      </c>
      <c r="BM146" s="589"/>
    </row>
    <row r="147" spans="1:208" ht="6" customHeight="1">
      <c r="A147" s="125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26"/>
      <c r="AN147" s="26"/>
      <c r="AO147" s="96"/>
      <c r="AP147" s="96"/>
      <c r="AQ147" s="96"/>
      <c r="AR147" s="104"/>
      <c r="AS147" s="104"/>
      <c r="AT147" s="104"/>
      <c r="AU147" s="104"/>
      <c r="AV147" s="104"/>
      <c r="AW147" s="104"/>
      <c r="AX147" s="104"/>
      <c r="AY147" s="104"/>
      <c r="AZ147" s="104"/>
      <c r="BA147" s="357"/>
      <c r="BB147" s="323"/>
      <c r="BC147" s="335"/>
      <c r="BD147" s="545"/>
      <c r="BE147" s="545"/>
      <c r="BF147" s="545"/>
      <c r="BG147" s="545"/>
      <c r="BH147" s="545"/>
      <c r="BI147" s="329"/>
      <c r="BJ147" s="329"/>
      <c r="BK147" s="570"/>
      <c r="BL147" s="570"/>
    </row>
    <row r="148" spans="1:208" s="331" customFormat="1" ht="12" customHeight="1">
      <c r="A148" s="426" t="s">
        <v>114</v>
      </c>
      <c r="B148" s="365" t="s">
        <v>3</v>
      </c>
      <c r="C148" s="365" t="s">
        <v>3</v>
      </c>
      <c r="D148" s="365" t="s">
        <v>3</v>
      </c>
      <c r="E148" s="365" t="s">
        <v>3</v>
      </c>
      <c r="F148" s="365" t="s">
        <v>3</v>
      </c>
      <c r="G148" s="365" t="s">
        <v>3</v>
      </c>
      <c r="H148" s="365" t="s">
        <v>3</v>
      </c>
      <c r="I148" s="365" t="s">
        <v>3</v>
      </c>
      <c r="J148" s="365" t="s">
        <v>3</v>
      </c>
      <c r="K148" s="365" t="s">
        <v>3</v>
      </c>
      <c r="L148" s="365" t="s">
        <v>3</v>
      </c>
      <c r="M148" s="365" t="s">
        <v>3</v>
      </c>
      <c r="N148" s="365" t="s">
        <v>3</v>
      </c>
      <c r="O148" s="365" t="s">
        <v>3</v>
      </c>
      <c r="P148" s="365" t="s">
        <v>3</v>
      </c>
      <c r="Q148" s="365" t="s">
        <v>3</v>
      </c>
      <c r="R148" s="365" t="s">
        <v>3</v>
      </c>
      <c r="S148" s="365" t="s">
        <v>3</v>
      </c>
      <c r="T148" s="365" t="s">
        <v>3</v>
      </c>
      <c r="U148" s="365" t="s">
        <v>3</v>
      </c>
      <c r="V148" s="365" t="s">
        <v>3</v>
      </c>
      <c r="W148" s="365" t="s">
        <v>3</v>
      </c>
      <c r="X148" s="365" t="s">
        <v>3</v>
      </c>
      <c r="Y148" s="365" t="s">
        <v>3</v>
      </c>
      <c r="Z148" s="365" t="s">
        <v>3</v>
      </c>
      <c r="AA148" s="365" t="s">
        <v>3</v>
      </c>
      <c r="AB148" s="365" t="s">
        <v>3</v>
      </c>
      <c r="AC148" s="365" t="s">
        <v>3</v>
      </c>
      <c r="AD148" s="365" t="s">
        <v>3</v>
      </c>
      <c r="AE148" s="365" t="s">
        <v>3</v>
      </c>
      <c r="AF148" s="427">
        <v>5</v>
      </c>
      <c r="AG148" s="427">
        <v>1</v>
      </c>
      <c r="AH148" s="427">
        <v>1</v>
      </c>
      <c r="AI148" s="427">
        <v>1</v>
      </c>
      <c r="AJ148" s="427">
        <v>1</v>
      </c>
      <c r="AK148" s="427">
        <v>2</v>
      </c>
      <c r="AL148" s="427">
        <v>2</v>
      </c>
      <c r="AM148" s="320">
        <v>1</v>
      </c>
      <c r="AN148" s="320">
        <v>2</v>
      </c>
      <c r="AO148" s="319">
        <v>1</v>
      </c>
      <c r="AP148" s="319">
        <v>3</v>
      </c>
      <c r="AQ148" s="319">
        <v>2</v>
      </c>
      <c r="AR148" s="357">
        <v>2</v>
      </c>
      <c r="AS148" s="357">
        <v>2</v>
      </c>
      <c r="AT148" s="357">
        <v>2</v>
      </c>
      <c r="AU148" s="357">
        <v>2</v>
      </c>
      <c r="AV148" s="357">
        <v>2</v>
      </c>
      <c r="AW148" s="357">
        <v>14</v>
      </c>
      <c r="AX148" s="357">
        <f>13+3</f>
        <v>16</v>
      </c>
      <c r="AY148" s="357">
        <f>13+3</f>
        <v>16</v>
      </c>
      <c r="AZ148" s="357">
        <f>13+4</f>
        <v>17</v>
      </c>
      <c r="BA148" s="357">
        <f>14+3</f>
        <v>17</v>
      </c>
      <c r="BB148" s="357">
        <v>17</v>
      </c>
      <c r="BC148" s="357">
        <f>15+3</f>
        <v>18</v>
      </c>
      <c r="BD148" s="370">
        <f>18+3</f>
        <v>21</v>
      </c>
      <c r="BE148" s="370">
        <v>18</v>
      </c>
      <c r="BF148" s="370">
        <v>19</v>
      </c>
      <c r="BG148" s="370">
        <v>19</v>
      </c>
      <c r="BH148" s="370">
        <v>19</v>
      </c>
      <c r="BI148" s="385">
        <f>(BG148-BF148)/BF148</f>
        <v>0</v>
      </c>
      <c r="BJ148" s="385">
        <f>(BH148-BG148)/BG148</f>
        <v>0</v>
      </c>
      <c r="BK148" s="569">
        <f>BG148-BF148</f>
        <v>0</v>
      </c>
      <c r="BL148" s="569">
        <f>BH148-BG148</f>
        <v>0</v>
      </c>
    </row>
    <row r="149" spans="1:208" ht="6" customHeight="1">
      <c r="A149" s="125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333"/>
      <c r="M149" s="333"/>
      <c r="N149" s="333"/>
      <c r="O149" s="333"/>
      <c r="P149" s="333"/>
      <c r="Q149" s="333"/>
      <c r="R149" s="333"/>
      <c r="S149" s="333"/>
      <c r="T149" s="333"/>
      <c r="U149" s="333"/>
      <c r="V149" s="333"/>
      <c r="W149" s="333"/>
      <c r="X149" s="333"/>
      <c r="Y149" s="333"/>
      <c r="Z149" s="333"/>
      <c r="AA149" s="333"/>
      <c r="AB149" s="333"/>
      <c r="AC149" s="333"/>
      <c r="AD149" s="333"/>
      <c r="AE149" s="333"/>
      <c r="AF149" s="333"/>
      <c r="AG149" s="333"/>
      <c r="AH149" s="333"/>
      <c r="AI149" s="333"/>
      <c r="AJ149" s="333"/>
      <c r="AK149" s="333"/>
      <c r="AL149" s="333"/>
      <c r="AM149" s="26"/>
      <c r="AN149" s="26"/>
      <c r="AO149" s="96"/>
      <c r="AP149" s="96"/>
      <c r="AQ149" s="96"/>
      <c r="AR149" s="334"/>
      <c r="AS149" s="334"/>
      <c r="AT149" s="334"/>
      <c r="AU149" s="334"/>
      <c r="AV149" s="334"/>
      <c r="AW149" s="334"/>
      <c r="AX149" s="334"/>
      <c r="AY149" s="334"/>
      <c r="AZ149" s="334"/>
      <c r="BA149" s="357"/>
      <c r="BB149" s="323"/>
      <c r="BC149" s="335"/>
      <c r="BD149" s="370"/>
      <c r="BE149" s="545"/>
      <c r="BF149" s="545"/>
      <c r="BG149" s="370"/>
      <c r="BH149" s="370"/>
      <c r="BI149" s="329"/>
      <c r="BJ149" s="329"/>
      <c r="BK149" s="570"/>
      <c r="BL149" s="570"/>
    </row>
    <row r="150" spans="1:208" ht="11.25" customHeight="1">
      <c r="A150" s="129" t="s">
        <v>140</v>
      </c>
      <c r="B150" s="153" t="s">
        <v>3</v>
      </c>
      <c r="C150" s="153" t="s">
        <v>3</v>
      </c>
      <c r="D150" s="153" t="s">
        <v>3</v>
      </c>
      <c r="E150" s="153" t="s">
        <v>3</v>
      </c>
      <c r="F150" s="153" t="s">
        <v>3</v>
      </c>
      <c r="G150" s="153" t="s">
        <v>3</v>
      </c>
      <c r="H150" s="153" t="s">
        <v>3</v>
      </c>
      <c r="I150" s="153" t="s">
        <v>3</v>
      </c>
      <c r="J150" s="153" t="s">
        <v>3</v>
      </c>
      <c r="K150" s="153" t="s">
        <v>3</v>
      </c>
      <c r="L150" s="153" t="s">
        <v>3</v>
      </c>
      <c r="M150" s="153" t="s">
        <v>3</v>
      </c>
      <c r="N150" s="153" t="s">
        <v>3</v>
      </c>
      <c r="O150" s="153" t="s">
        <v>3</v>
      </c>
      <c r="P150" s="153" t="s">
        <v>3</v>
      </c>
      <c r="Q150" s="153" t="s">
        <v>3</v>
      </c>
      <c r="R150" s="153" t="s">
        <v>3</v>
      </c>
      <c r="S150" s="153" t="s">
        <v>3</v>
      </c>
      <c r="T150" s="153" t="s">
        <v>3</v>
      </c>
      <c r="U150" s="153" t="s">
        <v>3</v>
      </c>
      <c r="V150" s="153" t="s">
        <v>3</v>
      </c>
      <c r="W150" s="153" t="s">
        <v>3</v>
      </c>
      <c r="X150" s="153" t="s">
        <v>3</v>
      </c>
      <c r="Y150" s="153" t="s">
        <v>3</v>
      </c>
      <c r="Z150" s="153" t="s">
        <v>3</v>
      </c>
      <c r="AA150" s="153" t="s">
        <v>3</v>
      </c>
      <c r="AB150" s="153" t="s">
        <v>3</v>
      </c>
      <c r="AC150" s="153" t="s">
        <v>3</v>
      </c>
      <c r="AD150" s="153" t="s">
        <v>3</v>
      </c>
      <c r="AE150" s="153" t="s">
        <v>3</v>
      </c>
      <c r="AF150" s="13">
        <v>1</v>
      </c>
      <c r="AG150" s="13">
        <v>11</v>
      </c>
      <c r="AH150" s="13">
        <v>13</v>
      </c>
      <c r="AI150" s="13">
        <v>16</v>
      </c>
      <c r="AJ150" s="13">
        <v>14</v>
      </c>
      <c r="AK150" s="13">
        <v>13</v>
      </c>
      <c r="AL150" s="13">
        <v>14</v>
      </c>
      <c r="AM150" s="26">
        <v>15</v>
      </c>
      <c r="AN150" s="26">
        <v>17</v>
      </c>
      <c r="AO150" s="26">
        <v>18</v>
      </c>
      <c r="AP150" s="26">
        <v>18</v>
      </c>
      <c r="AQ150" s="26">
        <v>19</v>
      </c>
      <c r="AR150" s="26">
        <v>23</v>
      </c>
      <c r="AS150" s="26">
        <v>23</v>
      </c>
      <c r="AT150" s="26">
        <v>23</v>
      </c>
      <c r="AU150" s="26">
        <v>32</v>
      </c>
      <c r="AV150" s="161">
        <v>31</v>
      </c>
      <c r="AW150" s="161">
        <v>33</v>
      </c>
      <c r="AX150" s="221">
        <v>37</v>
      </c>
      <c r="AY150" s="221">
        <v>33</v>
      </c>
      <c r="AZ150" s="243" t="s">
        <v>3</v>
      </c>
      <c r="BA150" s="379" t="s">
        <v>3</v>
      </c>
      <c r="BB150" s="379" t="s">
        <v>3</v>
      </c>
      <c r="BC150" s="379" t="s">
        <v>3</v>
      </c>
      <c r="BD150" s="379" t="s">
        <v>3</v>
      </c>
      <c r="BE150" s="379" t="s">
        <v>3</v>
      </c>
      <c r="BF150" s="379" t="s">
        <v>3</v>
      </c>
      <c r="BG150" s="379" t="s">
        <v>3</v>
      </c>
      <c r="BH150" s="379" t="s">
        <v>3</v>
      </c>
      <c r="BI150" s="424" t="s">
        <v>9</v>
      </c>
      <c r="BJ150" s="424" t="s">
        <v>9</v>
      </c>
      <c r="BK150" s="573" t="s">
        <v>9</v>
      </c>
      <c r="BL150" s="573" t="s">
        <v>9</v>
      </c>
    </row>
    <row r="151" spans="1:208" ht="6" customHeight="1">
      <c r="A151" s="12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00"/>
      <c r="AX151" s="200"/>
      <c r="AY151" s="200"/>
      <c r="AZ151" s="305"/>
      <c r="BA151" s="320"/>
      <c r="BB151" s="320"/>
      <c r="BC151" s="305"/>
      <c r="BD151" s="538"/>
      <c r="BE151" s="538"/>
      <c r="BF151" s="538"/>
      <c r="BG151" s="538"/>
      <c r="BH151" s="538"/>
      <c r="BI151" s="385"/>
      <c r="BJ151" s="385"/>
      <c r="BK151" s="571"/>
      <c r="BL151" s="571"/>
    </row>
    <row r="152" spans="1:208" ht="10.5" customHeight="1">
      <c r="A152" s="129" t="s">
        <v>141</v>
      </c>
      <c r="B152" s="153" t="s">
        <v>3</v>
      </c>
      <c r="C152" s="153" t="s">
        <v>3</v>
      </c>
      <c r="D152" s="153" t="s">
        <v>3</v>
      </c>
      <c r="E152" s="153" t="s">
        <v>3</v>
      </c>
      <c r="F152" s="153" t="s">
        <v>3</v>
      </c>
      <c r="G152" s="153" t="s">
        <v>3</v>
      </c>
      <c r="H152" s="153" t="s">
        <v>3</v>
      </c>
      <c r="I152" s="153" t="s">
        <v>3</v>
      </c>
      <c r="J152" s="153" t="s">
        <v>3</v>
      </c>
      <c r="K152" s="153" t="s">
        <v>3</v>
      </c>
      <c r="L152" s="153" t="s">
        <v>3</v>
      </c>
      <c r="M152" s="153" t="s">
        <v>3</v>
      </c>
      <c r="N152" s="153" t="s">
        <v>3</v>
      </c>
      <c r="O152" s="153" t="s">
        <v>3</v>
      </c>
      <c r="P152" s="153" t="s">
        <v>3</v>
      </c>
      <c r="Q152" s="153" t="s">
        <v>3</v>
      </c>
      <c r="R152" s="153" t="s">
        <v>3</v>
      </c>
      <c r="S152" s="153" t="s">
        <v>3</v>
      </c>
      <c r="T152" s="153" t="s">
        <v>3</v>
      </c>
      <c r="U152" s="153" t="s">
        <v>3</v>
      </c>
      <c r="V152" s="153" t="s">
        <v>3</v>
      </c>
      <c r="W152" s="153" t="s">
        <v>3</v>
      </c>
      <c r="X152" s="153" t="s">
        <v>3</v>
      </c>
      <c r="Y152" s="153" t="s">
        <v>3</v>
      </c>
      <c r="Z152" s="153" t="s">
        <v>3</v>
      </c>
      <c r="AA152" s="153" t="s">
        <v>3</v>
      </c>
      <c r="AB152" s="153" t="s">
        <v>3</v>
      </c>
      <c r="AC152" s="153" t="s">
        <v>3</v>
      </c>
      <c r="AD152" s="153" t="s">
        <v>3</v>
      </c>
      <c r="AE152" s="153" t="s">
        <v>3</v>
      </c>
      <c r="AF152" s="153" t="s">
        <v>3</v>
      </c>
      <c r="AG152" s="153" t="s">
        <v>3</v>
      </c>
      <c r="AH152" s="153" t="s">
        <v>3</v>
      </c>
      <c r="AI152" s="153" t="s">
        <v>3</v>
      </c>
      <c r="AJ152" s="153" t="s">
        <v>3</v>
      </c>
      <c r="AK152" s="153" t="s">
        <v>3</v>
      </c>
      <c r="AL152" s="153" t="s">
        <v>3</v>
      </c>
      <c r="AM152" s="153" t="s">
        <v>3</v>
      </c>
      <c r="AN152" s="153" t="s">
        <v>3</v>
      </c>
      <c r="AO152" s="153" t="s">
        <v>3</v>
      </c>
      <c r="AP152" s="153" t="s">
        <v>3</v>
      </c>
      <c r="AQ152" s="153" t="s">
        <v>3</v>
      </c>
      <c r="AR152" s="153" t="s">
        <v>3</v>
      </c>
      <c r="AS152" s="153" t="s">
        <v>3</v>
      </c>
      <c r="AT152" s="153" t="s">
        <v>3</v>
      </c>
      <c r="AU152" s="153" t="s">
        <v>3</v>
      </c>
      <c r="AV152" s="153" t="s">
        <v>3</v>
      </c>
      <c r="AW152" s="153" t="s">
        <v>3</v>
      </c>
      <c r="AX152" s="153" t="s">
        <v>3</v>
      </c>
      <c r="AY152" s="153">
        <v>33</v>
      </c>
      <c r="AZ152" s="320">
        <v>123</v>
      </c>
      <c r="BA152" s="320">
        <v>173</v>
      </c>
      <c r="BB152" s="320">
        <v>228</v>
      </c>
      <c r="BC152" s="320">
        <v>235</v>
      </c>
      <c r="BD152" s="374">
        <v>247</v>
      </c>
      <c r="BE152" s="374">
        <v>245</v>
      </c>
      <c r="BF152" s="374">
        <v>251</v>
      </c>
      <c r="BG152" s="374">
        <v>268</v>
      </c>
      <c r="BH152" s="374">
        <v>270</v>
      </c>
      <c r="BI152" s="385">
        <f>(BG152-BF152)/BF152</f>
        <v>6.7729083665338641E-2</v>
      </c>
      <c r="BJ152" s="385">
        <f>(BH152-BG152)/BG152</f>
        <v>7.462686567164179E-3</v>
      </c>
      <c r="BK152" s="569">
        <f>BG152-BF152</f>
        <v>17</v>
      </c>
      <c r="BL152" s="569">
        <f>BH152-BG152</f>
        <v>2</v>
      </c>
    </row>
    <row r="153" spans="1:208" ht="6" customHeight="1">
      <c r="A153" s="12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00"/>
      <c r="AX153" s="200"/>
      <c r="AY153" s="200"/>
      <c r="AZ153" s="305"/>
      <c r="BA153" s="320"/>
      <c r="BB153" s="327"/>
      <c r="BC153" s="305"/>
      <c r="BD153" s="538"/>
      <c r="BE153" s="538"/>
      <c r="BF153" s="538"/>
      <c r="BG153" s="538"/>
      <c r="BH153" s="538"/>
      <c r="BI153" s="329"/>
      <c r="BJ153" s="329"/>
      <c r="BK153" s="570"/>
      <c r="BL153" s="570"/>
    </row>
    <row r="154" spans="1:208" ht="11.25" customHeight="1">
      <c r="A154" s="126" t="s">
        <v>142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00"/>
      <c r="AX154" s="200"/>
      <c r="AY154" s="200"/>
      <c r="AZ154" s="305"/>
      <c r="BA154" s="320"/>
      <c r="BB154" s="327"/>
      <c r="BC154" s="305"/>
      <c r="BD154" s="538"/>
      <c r="BE154" s="538"/>
      <c r="BF154" s="538"/>
      <c r="BG154" s="538"/>
      <c r="BH154" s="538"/>
      <c r="BI154" s="329"/>
      <c r="BJ154" s="329"/>
      <c r="BK154" s="570"/>
      <c r="BL154" s="570"/>
    </row>
    <row r="155" spans="1:208" ht="11.1" customHeight="1">
      <c r="A155" s="129" t="s">
        <v>143</v>
      </c>
      <c r="B155" s="48" t="s">
        <v>3</v>
      </c>
      <c r="C155" s="48" t="s">
        <v>3</v>
      </c>
      <c r="D155" s="48" t="s">
        <v>3</v>
      </c>
      <c r="E155" s="48" t="s">
        <v>3</v>
      </c>
      <c r="F155" s="48" t="s">
        <v>3</v>
      </c>
      <c r="G155" s="48" t="s">
        <v>3</v>
      </c>
      <c r="H155" s="48" t="s">
        <v>3</v>
      </c>
      <c r="I155" s="48" t="s">
        <v>3</v>
      </c>
      <c r="J155" s="48" t="s">
        <v>3</v>
      </c>
      <c r="K155" s="48" t="s">
        <v>3</v>
      </c>
      <c r="L155" s="48" t="s">
        <v>3</v>
      </c>
      <c r="M155" s="48" t="s">
        <v>3</v>
      </c>
      <c r="N155" s="48" t="s">
        <v>3</v>
      </c>
      <c r="O155" s="48" t="s">
        <v>3</v>
      </c>
      <c r="P155" s="48" t="s">
        <v>3</v>
      </c>
      <c r="Q155" s="48" t="s">
        <v>3</v>
      </c>
      <c r="R155" s="48" t="s">
        <v>3</v>
      </c>
      <c r="S155" s="13">
        <v>53</v>
      </c>
      <c r="T155" s="13">
        <v>58</v>
      </c>
      <c r="U155" s="13">
        <v>68</v>
      </c>
      <c r="V155" s="13">
        <v>86</v>
      </c>
      <c r="W155" s="13">
        <v>100</v>
      </c>
      <c r="X155" s="13">
        <v>119</v>
      </c>
      <c r="Y155" s="13">
        <v>132</v>
      </c>
      <c r="Z155" s="13">
        <v>141</v>
      </c>
      <c r="AA155" s="13">
        <v>152</v>
      </c>
      <c r="AB155" s="13">
        <v>164</v>
      </c>
      <c r="AC155" s="13">
        <v>170</v>
      </c>
      <c r="AD155" s="13">
        <v>187</v>
      </c>
      <c r="AE155" s="13">
        <v>197</v>
      </c>
      <c r="AF155" s="13">
        <v>212</v>
      </c>
      <c r="AG155" s="13">
        <v>237</v>
      </c>
      <c r="AH155" s="13">
        <v>276</v>
      </c>
      <c r="AI155" s="13">
        <v>326</v>
      </c>
      <c r="AJ155" s="13">
        <v>361</v>
      </c>
      <c r="AK155" s="13">
        <v>392</v>
      </c>
      <c r="AL155" s="13">
        <v>424</v>
      </c>
      <c r="AM155" s="6">
        <v>436</v>
      </c>
      <c r="AN155" s="6">
        <v>452</v>
      </c>
      <c r="AO155" s="6">
        <v>477</v>
      </c>
      <c r="AP155" s="6">
        <v>537</v>
      </c>
      <c r="AQ155" s="6">
        <v>445</v>
      </c>
      <c r="AR155" s="6">
        <v>471</v>
      </c>
      <c r="AS155" s="6">
        <v>503</v>
      </c>
      <c r="AT155" s="6">
        <v>494</v>
      </c>
      <c r="AU155" s="6">
        <v>519</v>
      </c>
      <c r="AV155" s="26">
        <v>556</v>
      </c>
      <c r="AW155" s="185">
        <v>593</v>
      </c>
      <c r="AX155" s="185">
        <v>642</v>
      </c>
      <c r="AY155" s="185">
        <v>725</v>
      </c>
      <c r="AZ155" s="374">
        <v>802</v>
      </c>
      <c r="BA155" s="374">
        <v>934</v>
      </c>
      <c r="BB155" s="367">
        <v>1057</v>
      </c>
      <c r="BC155" s="367">
        <v>1119</v>
      </c>
      <c r="BD155" s="637">
        <v>1169</v>
      </c>
      <c r="BE155" s="637">
        <v>1252</v>
      </c>
      <c r="BF155" s="367">
        <v>1311</v>
      </c>
      <c r="BG155" s="367">
        <v>1311</v>
      </c>
      <c r="BH155" s="367">
        <v>1311</v>
      </c>
      <c r="BI155" s="385">
        <f>(BG155-BE155)/BE155</f>
        <v>4.7124600638977637E-2</v>
      </c>
      <c r="BJ155" s="385">
        <f t="shared" ref="BI155:BJ157" si="68">(BH155-BG155)/BG155</f>
        <v>0</v>
      </c>
      <c r="BK155" s="569">
        <f>BG155-BE155</f>
        <v>59</v>
      </c>
      <c r="BL155" s="569">
        <f t="shared" ref="BK155:BL157" si="69">BH155-BG155</f>
        <v>0</v>
      </c>
      <c r="GZ155" s="1">
        <v>171</v>
      </c>
    </row>
    <row r="156" spans="1:208" ht="11.1" customHeight="1">
      <c r="A156" s="125" t="s">
        <v>23</v>
      </c>
      <c r="B156" s="28">
        <v>2</v>
      </c>
      <c r="C156" s="28">
        <v>2</v>
      </c>
      <c r="D156" s="28">
        <v>2</v>
      </c>
      <c r="E156" s="28">
        <v>2</v>
      </c>
      <c r="F156" s="28">
        <v>2</v>
      </c>
      <c r="G156" s="28">
        <v>2</v>
      </c>
      <c r="H156" s="28">
        <v>3</v>
      </c>
      <c r="I156" s="28">
        <v>3</v>
      </c>
      <c r="J156" s="28">
        <v>4</v>
      </c>
      <c r="K156" s="28">
        <v>4</v>
      </c>
      <c r="L156" s="15">
        <v>5</v>
      </c>
      <c r="M156" s="15">
        <v>6</v>
      </c>
      <c r="N156" s="15">
        <v>6</v>
      </c>
      <c r="O156" s="15">
        <v>8</v>
      </c>
      <c r="P156" s="15">
        <v>9</v>
      </c>
      <c r="Q156" s="15">
        <v>11</v>
      </c>
      <c r="R156" s="15">
        <v>12</v>
      </c>
      <c r="S156" s="15">
        <v>13</v>
      </c>
      <c r="T156" s="15">
        <v>14</v>
      </c>
      <c r="U156" s="15">
        <v>18</v>
      </c>
      <c r="V156" s="15">
        <v>19</v>
      </c>
      <c r="W156" s="15">
        <v>21</v>
      </c>
      <c r="X156" s="15">
        <v>22</v>
      </c>
      <c r="Y156" s="15">
        <v>25</v>
      </c>
      <c r="Z156" s="15">
        <v>25</v>
      </c>
      <c r="AA156" s="15">
        <v>27</v>
      </c>
      <c r="AB156" s="15">
        <v>30</v>
      </c>
      <c r="AC156" s="15">
        <v>24</v>
      </c>
      <c r="AD156" s="15">
        <v>25</v>
      </c>
      <c r="AE156" s="15">
        <v>27</v>
      </c>
      <c r="AF156" s="15">
        <v>30</v>
      </c>
      <c r="AG156" s="15">
        <v>39</v>
      </c>
      <c r="AH156" s="15">
        <v>42</v>
      </c>
      <c r="AI156" s="15">
        <v>51</v>
      </c>
      <c r="AJ156" s="15">
        <v>58</v>
      </c>
      <c r="AK156" s="15">
        <v>68</v>
      </c>
      <c r="AL156" s="15">
        <v>67</v>
      </c>
      <c r="AM156" s="42">
        <v>71</v>
      </c>
      <c r="AN156" s="42">
        <v>70</v>
      </c>
      <c r="AO156" s="42">
        <v>78</v>
      </c>
      <c r="AP156" s="42">
        <v>79</v>
      </c>
      <c r="AQ156" s="135">
        <v>94</v>
      </c>
      <c r="AR156" s="135">
        <v>101</v>
      </c>
      <c r="AS156" s="135">
        <v>110</v>
      </c>
      <c r="AT156" s="42">
        <v>112</v>
      </c>
      <c r="AU156" s="42">
        <v>122</v>
      </c>
      <c r="AV156" s="42">
        <v>123</v>
      </c>
      <c r="AW156" s="228">
        <v>154</v>
      </c>
      <c r="AX156" s="228">
        <v>148</v>
      </c>
      <c r="AY156" s="316">
        <v>164</v>
      </c>
      <c r="AZ156" s="316">
        <v>141</v>
      </c>
      <c r="BA156" s="316">
        <v>146</v>
      </c>
      <c r="BB156" s="316">
        <v>173</v>
      </c>
      <c r="BC156" s="316">
        <v>176</v>
      </c>
      <c r="BD156" s="445">
        <v>198</v>
      </c>
      <c r="BE156" s="445">
        <v>223</v>
      </c>
      <c r="BF156" s="518">
        <v>241</v>
      </c>
      <c r="BG156" s="518">
        <v>255</v>
      </c>
      <c r="BH156" s="518">
        <v>255</v>
      </c>
      <c r="BI156" s="385">
        <f t="shared" si="68"/>
        <v>5.8091286307053944E-2</v>
      </c>
      <c r="BJ156" s="385">
        <f t="shared" si="68"/>
        <v>0</v>
      </c>
      <c r="BK156" s="569">
        <f t="shared" si="69"/>
        <v>14</v>
      </c>
      <c r="BL156" s="569">
        <f t="shared" si="69"/>
        <v>0</v>
      </c>
    </row>
    <row r="157" spans="1:208" ht="11.1" customHeight="1">
      <c r="A157" s="128" t="s">
        <v>32</v>
      </c>
      <c r="B157" s="137">
        <f t="shared" ref="B157:Q157" si="70">SUM(B155:B156)</f>
        <v>2</v>
      </c>
      <c r="C157" s="137">
        <f t="shared" si="70"/>
        <v>2</v>
      </c>
      <c r="D157" s="137">
        <f t="shared" si="70"/>
        <v>2</v>
      </c>
      <c r="E157" s="137">
        <f t="shared" si="70"/>
        <v>2</v>
      </c>
      <c r="F157" s="137">
        <f t="shared" si="70"/>
        <v>2</v>
      </c>
      <c r="G157" s="137">
        <f t="shared" si="70"/>
        <v>2</v>
      </c>
      <c r="H157" s="137">
        <f t="shared" si="70"/>
        <v>3</v>
      </c>
      <c r="I157" s="137">
        <f t="shared" si="70"/>
        <v>3</v>
      </c>
      <c r="J157" s="137">
        <f t="shared" si="70"/>
        <v>4</v>
      </c>
      <c r="K157" s="137">
        <f t="shared" si="70"/>
        <v>4</v>
      </c>
      <c r="L157" s="137">
        <f t="shared" si="70"/>
        <v>5</v>
      </c>
      <c r="M157" s="137">
        <f t="shared" si="70"/>
        <v>6</v>
      </c>
      <c r="N157" s="137">
        <f t="shared" si="70"/>
        <v>6</v>
      </c>
      <c r="O157" s="137">
        <f t="shared" si="70"/>
        <v>8</v>
      </c>
      <c r="P157" s="137">
        <f t="shared" si="70"/>
        <v>9</v>
      </c>
      <c r="Q157" s="137">
        <f t="shared" si="70"/>
        <v>11</v>
      </c>
      <c r="R157" s="137">
        <f>SUM(R155:R156)</f>
        <v>12</v>
      </c>
      <c r="S157" s="137">
        <f>SUM(S155:S156)</f>
        <v>66</v>
      </c>
      <c r="T157" s="137">
        <f>SUM(T155:T156)</f>
        <v>72</v>
      </c>
      <c r="U157" s="137">
        <f>SUM(U155:U156)</f>
        <v>86</v>
      </c>
      <c r="V157" s="137">
        <f t="shared" ref="V157:AK157" si="71">SUM(V155:V156)</f>
        <v>105</v>
      </c>
      <c r="W157" s="137">
        <f t="shared" si="71"/>
        <v>121</v>
      </c>
      <c r="X157" s="137">
        <f t="shared" si="71"/>
        <v>141</v>
      </c>
      <c r="Y157" s="137">
        <f t="shared" si="71"/>
        <v>157</v>
      </c>
      <c r="Z157" s="137">
        <f t="shared" si="71"/>
        <v>166</v>
      </c>
      <c r="AA157" s="137">
        <f t="shared" si="71"/>
        <v>179</v>
      </c>
      <c r="AB157" s="137">
        <f t="shared" si="71"/>
        <v>194</v>
      </c>
      <c r="AC157" s="137">
        <f t="shared" si="71"/>
        <v>194</v>
      </c>
      <c r="AD157" s="137">
        <f t="shared" si="71"/>
        <v>212</v>
      </c>
      <c r="AE157" s="137">
        <f t="shared" si="71"/>
        <v>224</v>
      </c>
      <c r="AF157" s="137">
        <f t="shared" si="71"/>
        <v>242</v>
      </c>
      <c r="AG157" s="137">
        <f t="shared" si="71"/>
        <v>276</v>
      </c>
      <c r="AH157" s="137">
        <f t="shared" si="71"/>
        <v>318</v>
      </c>
      <c r="AI157" s="137">
        <f t="shared" si="71"/>
        <v>377</v>
      </c>
      <c r="AJ157" s="137">
        <f t="shared" si="71"/>
        <v>419</v>
      </c>
      <c r="AK157" s="137">
        <f t="shared" si="71"/>
        <v>460</v>
      </c>
      <c r="AL157" s="137">
        <f t="shared" ref="AL157:AT157" si="72">SUM(AL155:AL156)</f>
        <v>491</v>
      </c>
      <c r="AM157" s="137">
        <f t="shared" si="72"/>
        <v>507</v>
      </c>
      <c r="AN157" s="137">
        <f t="shared" si="72"/>
        <v>522</v>
      </c>
      <c r="AO157" s="137">
        <f t="shared" si="72"/>
        <v>555</v>
      </c>
      <c r="AP157" s="137">
        <f t="shared" si="72"/>
        <v>616</v>
      </c>
      <c r="AQ157" s="137">
        <f t="shared" si="72"/>
        <v>539</v>
      </c>
      <c r="AR157" s="137">
        <f t="shared" si="72"/>
        <v>572</v>
      </c>
      <c r="AS157" s="137">
        <f t="shared" si="72"/>
        <v>613</v>
      </c>
      <c r="AT157" s="137">
        <f t="shared" si="72"/>
        <v>606</v>
      </c>
      <c r="AU157" s="137">
        <f t="shared" ref="AU157:BA157" si="73">SUM(AU155:AU156)</f>
        <v>641</v>
      </c>
      <c r="AV157" s="208">
        <f t="shared" si="73"/>
        <v>679</v>
      </c>
      <c r="AW157" s="208">
        <f t="shared" si="73"/>
        <v>747</v>
      </c>
      <c r="AX157" s="208">
        <f t="shared" si="73"/>
        <v>790</v>
      </c>
      <c r="AY157" s="208">
        <f t="shared" si="73"/>
        <v>889</v>
      </c>
      <c r="AZ157" s="208">
        <f t="shared" si="73"/>
        <v>943</v>
      </c>
      <c r="BA157" s="358">
        <f t="shared" si="73"/>
        <v>1080</v>
      </c>
      <c r="BB157" s="358">
        <f t="shared" ref="BB157:BG157" si="74">SUM(BB155:BB156)</f>
        <v>1230</v>
      </c>
      <c r="BC157" s="358">
        <f t="shared" si="74"/>
        <v>1295</v>
      </c>
      <c r="BD157" s="638">
        <f t="shared" si="74"/>
        <v>1367</v>
      </c>
      <c r="BE157" s="638">
        <f>SUM(BE155:BE156)</f>
        <v>1475</v>
      </c>
      <c r="BF157" s="407">
        <f t="shared" si="74"/>
        <v>1552</v>
      </c>
      <c r="BG157" s="407">
        <f t="shared" si="74"/>
        <v>1566</v>
      </c>
      <c r="BH157" s="407">
        <f t="shared" ref="BH157" si="75">SUM(BH155:BH156)</f>
        <v>1566</v>
      </c>
      <c r="BI157" s="415">
        <f t="shared" si="68"/>
        <v>9.0206185567010301E-3</v>
      </c>
      <c r="BJ157" s="415">
        <f t="shared" si="68"/>
        <v>0</v>
      </c>
      <c r="BK157" s="572">
        <f t="shared" si="69"/>
        <v>14</v>
      </c>
      <c r="BL157" s="572">
        <f t="shared" si="69"/>
        <v>0</v>
      </c>
    </row>
    <row r="158" spans="1:208" ht="12.75" customHeight="1">
      <c r="A158" s="12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644"/>
      <c r="BG158" s="644"/>
      <c r="BH158" s="644"/>
      <c r="BI158" s="385"/>
      <c r="BJ158" s="385"/>
      <c r="BK158" s="571"/>
      <c r="BL158" s="571"/>
    </row>
    <row r="159" spans="1:208" ht="11.1" customHeight="1">
      <c r="A159" s="129" t="s">
        <v>144</v>
      </c>
      <c r="B159" s="28">
        <v>3</v>
      </c>
      <c r="C159" s="28">
        <v>3</v>
      </c>
      <c r="D159" s="28">
        <v>4</v>
      </c>
      <c r="E159" s="28">
        <v>4</v>
      </c>
      <c r="F159" s="28">
        <v>4</v>
      </c>
      <c r="G159" s="28">
        <v>4</v>
      </c>
      <c r="H159" s="28">
        <v>5</v>
      </c>
      <c r="I159" s="28">
        <v>5</v>
      </c>
      <c r="J159" s="28">
        <v>6</v>
      </c>
      <c r="K159" s="28">
        <v>6</v>
      </c>
      <c r="L159" s="15">
        <v>6</v>
      </c>
      <c r="M159" s="15">
        <v>7</v>
      </c>
      <c r="N159" s="15">
        <v>8</v>
      </c>
      <c r="O159" s="15">
        <v>8</v>
      </c>
      <c r="P159" s="15">
        <v>9</v>
      </c>
      <c r="Q159" s="15">
        <v>10</v>
      </c>
      <c r="R159" s="15">
        <v>11</v>
      </c>
      <c r="S159" s="15">
        <v>13</v>
      </c>
      <c r="T159" s="15">
        <v>15</v>
      </c>
      <c r="U159" s="15">
        <v>9</v>
      </c>
      <c r="V159" s="15">
        <v>21</v>
      </c>
      <c r="W159" s="15">
        <v>19</v>
      </c>
      <c r="X159" s="15">
        <v>22</v>
      </c>
      <c r="Y159" s="15">
        <v>13</v>
      </c>
      <c r="Z159" s="15">
        <v>21</v>
      </c>
      <c r="AA159" s="15">
        <v>22</v>
      </c>
      <c r="AB159" s="15">
        <v>23</v>
      </c>
      <c r="AC159" s="15">
        <v>30</v>
      </c>
      <c r="AD159" s="15">
        <v>35</v>
      </c>
      <c r="AE159" s="15">
        <v>38</v>
      </c>
      <c r="AF159" s="15">
        <v>44</v>
      </c>
      <c r="AG159" s="15">
        <v>51</v>
      </c>
      <c r="AH159" s="15">
        <v>60</v>
      </c>
      <c r="AI159" s="15">
        <v>60</v>
      </c>
      <c r="AJ159" s="15">
        <v>63</v>
      </c>
      <c r="AK159" s="15">
        <v>69</v>
      </c>
      <c r="AL159" s="15">
        <v>50</v>
      </c>
      <c r="AM159" s="44">
        <v>75</v>
      </c>
      <c r="AN159" s="44">
        <v>67</v>
      </c>
      <c r="AO159" s="44">
        <v>65</v>
      </c>
      <c r="AP159" s="44">
        <v>69</v>
      </c>
      <c r="AQ159" s="44">
        <v>66</v>
      </c>
      <c r="AR159" s="44">
        <v>93</v>
      </c>
      <c r="AS159" s="44">
        <v>91</v>
      </c>
      <c r="AT159" s="44">
        <v>92</v>
      </c>
      <c r="AU159" s="44">
        <v>93</v>
      </c>
      <c r="AV159" s="213">
        <v>102</v>
      </c>
      <c r="AW159" s="104">
        <v>98.852348993288587</v>
      </c>
      <c r="AX159" s="277">
        <v>111.45061728395062</v>
      </c>
      <c r="AY159" s="277">
        <v>119</v>
      </c>
      <c r="AZ159" s="277">
        <v>115</v>
      </c>
      <c r="BA159" s="370">
        <v>159</v>
      </c>
      <c r="BB159" s="370">
        <v>152</v>
      </c>
      <c r="BC159" s="370">
        <v>163</v>
      </c>
      <c r="BD159" s="370">
        <v>162</v>
      </c>
      <c r="BE159" s="370">
        <v>186</v>
      </c>
      <c r="BF159" s="370">
        <v>181</v>
      </c>
      <c r="BG159" s="370">
        <v>201</v>
      </c>
      <c r="BH159" s="370">
        <v>204</v>
      </c>
      <c r="BI159" s="385">
        <f>(BG159-BF159)/BF159</f>
        <v>0.11049723756906077</v>
      </c>
      <c r="BJ159" s="385">
        <f>(BH159-BG159)/BG159</f>
        <v>1.4925373134328358E-2</v>
      </c>
      <c r="BK159" s="569">
        <f>BG159-BF159</f>
        <v>20</v>
      </c>
      <c r="BL159" s="569">
        <f>BH159-BG159</f>
        <v>3</v>
      </c>
    </row>
    <row r="160" spans="1:208" s="182" customFormat="1" ht="12" customHeight="1" thickBot="1">
      <c r="A160" s="404" t="s">
        <v>46</v>
      </c>
      <c r="B160" s="408">
        <f>SUM(B140+B144+B146+B157+B159)</f>
        <v>40</v>
      </c>
      <c r="C160" s="408">
        <f t="shared" ref="C160:AE160" si="76">SUM(C140+C144+C146+C157+C159)</f>
        <v>45</v>
      </c>
      <c r="D160" s="408">
        <f t="shared" si="76"/>
        <v>48</v>
      </c>
      <c r="E160" s="408">
        <f t="shared" si="76"/>
        <v>53</v>
      </c>
      <c r="F160" s="408">
        <f t="shared" si="76"/>
        <v>55</v>
      </c>
      <c r="G160" s="408">
        <f t="shared" si="76"/>
        <v>57</v>
      </c>
      <c r="H160" s="408">
        <f>SUM(H140+H144+H146+H157+H159)</f>
        <v>51</v>
      </c>
      <c r="I160" s="408">
        <f t="shared" si="76"/>
        <v>60</v>
      </c>
      <c r="J160" s="408">
        <f t="shared" si="76"/>
        <v>74</v>
      </c>
      <c r="K160" s="408">
        <f>SUM(K140+K144+K146+K157+K159)</f>
        <v>71</v>
      </c>
      <c r="L160" s="408">
        <f t="shared" si="76"/>
        <v>98</v>
      </c>
      <c r="M160" s="408">
        <f t="shared" si="76"/>
        <v>126</v>
      </c>
      <c r="N160" s="408">
        <f t="shared" si="76"/>
        <v>107</v>
      </c>
      <c r="O160" s="408">
        <f t="shared" si="76"/>
        <v>136</v>
      </c>
      <c r="P160" s="408">
        <f t="shared" si="76"/>
        <v>171</v>
      </c>
      <c r="Q160" s="408">
        <f>SUM(Q140+Q144+Q146+Q157+Q159)</f>
        <v>192</v>
      </c>
      <c r="R160" s="408">
        <f t="shared" si="76"/>
        <v>208</v>
      </c>
      <c r="S160" s="408">
        <f t="shared" si="76"/>
        <v>282</v>
      </c>
      <c r="T160" s="408">
        <f>SUM(T140+T144+T146+T157+T159)</f>
        <v>316</v>
      </c>
      <c r="U160" s="408">
        <f t="shared" si="76"/>
        <v>339</v>
      </c>
      <c r="V160" s="408">
        <f t="shared" si="76"/>
        <v>392</v>
      </c>
      <c r="W160" s="408">
        <f t="shared" si="76"/>
        <v>375</v>
      </c>
      <c r="X160" s="408">
        <f t="shared" si="76"/>
        <v>503</v>
      </c>
      <c r="Y160" s="408">
        <f t="shared" si="76"/>
        <v>490</v>
      </c>
      <c r="Z160" s="408">
        <f t="shared" si="76"/>
        <v>599</v>
      </c>
      <c r="AA160" s="408">
        <f t="shared" si="76"/>
        <v>729</v>
      </c>
      <c r="AB160" s="408">
        <f t="shared" si="76"/>
        <v>1006</v>
      </c>
      <c r="AC160" s="408">
        <f>SUM(AC140+AC144+AC146+AC157+AC159)</f>
        <v>777</v>
      </c>
      <c r="AD160" s="408">
        <f t="shared" si="76"/>
        <v>1017</v>
      </c>
      <c r="AE160" s="408">
        <f t="shared" si="76"/>
        <v>1081</v>
      </c>
      <c r="AF160" s="408">
        <f>AF140+AF144+AF150+AF146+AF148+AF157+AF159</f>
        <v>1309</v>
      </c>
      <c r="AG160" s="408">
        <f t="shared" ref="AG160:AV160" si="77">AG140+AG144+AG150+AG146+AG148+AG157+AG159</f>
        <v>1169</v>
      </c>
      <c r="AH160" s="408">
        <f t="shared" si="77"/>
        <v>1324</v>
      </c>
      <c r="AI160" s="408">
        <f t="shared" si="77"/>
        <v>1674</v>
      </c>
      <c r="AJ160" s="408">
        <f t="shared" si="77"/>
        <v>1413</v>
      </c>
      <c r="AK160" s="408">
        <f t="shared" si="77"/>
        <v>1883</v>
      </c>
      <c r="AL160" s="408">
        <f t="shared" si="77"/>
        <v>1658</v>
      </c>
      <c r="AM160" s="408">
        <f>AM140+AM144+AM150+AM146+AM148+AM157+AM159</f>
        <v>1854</v>
      </c>
      <c r="AN160" s="408">
        <f t="shared" si="77"/>
        <v>1740</v>
      </c>
      <c r="AO160" s="408">
        <f t="shared" si="77"/>
        <v>1766</v>
      </c>
      <c r="AP160" s="408">
        <f t="shared" si="77"/>
        <v>1968</v>
      </c>
      <c r="AQ160" s="408">
        <f>AQ140+AQ144+AQ150+AQ146+AQ148+AQ157+AQ159</f>
        <v>1874</v>
      </c>
      <c r="AR160" s="408">
        <f t="shared" si="77"/>
        <v>1992</v>
      </c>
      <c r="AS160" s="408">
        <f t="shared" si="77"/>
        <v>2046</v>
      </c>
      <c r="AT160" s="408">
        <f t="shared" si="77"/>
        <v>2107</v>
      </c>
      <c r="AU160" s="408">
        <f t="shared" si="77"/>
        <v>2034</v>
      </c>
      <c r="AV160" s="408">
        <f t="shared" si="77"/>
        <v>2251</v>
      </c>
      <c r="AW160" s="408">
        <f>AW140+AW144+AW150+AW146+AW148+AW157+AW159</f>
        <v>2406.2075432354313</v>
      </c>
      <c r="AX160" s="408">
        <f>AX140+AX144+AX150+AX146+AX148+AX157+AX159</f>
        <v>2637.8893903849498</v>
      </c>
      <c r="AY160" s="408">
        <f>AY140+AY144+AY150+AY146+AY148+AY157+AY159+AY152</f>
        <v>2930</v>
      </c>
      <c r="AZ160" s="408">
        <f>AZ140+AZ144+AZ146+AZ148+AZ152+AZ157+AZ159</f>
        <v>3179</v>
      </c>
      <c r="BA160" s="409">
        <f t="shared" ref="BA160:BG160" si="78">BA140+BA144+BA146+BA148+BA152+BA157+BA159+BA142</f>
        <v>3573</v>
      </c>
      <c r="BB160" s="409">
        <f t="shared" si="78"/>
        <v>3849</v>
      </c>
      <c r="BC160" s="409">
        <f t="shared" si="78"/>
        <v>4322</v>
      </c>
      <c r="BD160" s="409">
        <f t="shared" si="78"/>
        <v>4387.756365715356</v>
      </c>
      <c r="BE160" s="409">
        <f t="shared" si="78"/>
        <v>4570</v>
      </c>
      <c r="BF160" s="409">
        <f t="shared" si="78"/>
        <v>4967</v>
      </c>
      <c r="BG160" s="409">
        <f t="shared" si="78"/>
        <v>5133</v>
      </c>
      <c r="BH160" s="409">
        <f t="shared" ref="BH160" si="79">BH140+BH144+BH146+BH148+BH152+BH157+BH159+BH142</f>
        <v>5207</v>
      </c>
      <c r="BI160" s="422">
        <f>(BG160-BF160)/BF160</f>
        <v>3.3420575800281863E-2</v>
      </c>
      <c r="BJ160" s="422">
        <f>(BH160-BG160)/BG160</f>
        <v>1.441652055328268E-2</v>
      </c>
      <c r="BK160" s="574">
        <f>BG160-BF160</f>
        <v>166</v>
      </c>
      <c r="BL160" s="574">
        <f>BH160-BG160</f>
        <v>74</v>
      </c>
    </row>
    <row r="161" spans="1:64" ht="11.1" customHeight="1">
      <c r="A161" s="12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52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12"/>
      <c r="AJ161" s="12"/>
      <c r="AK161" s="12"/>
      <c r="AL161" s="6"/>
      <c r="AM161" s="26"/>
      <c r="AN161" s="26"/>
      <c r="AO161" s="96"/>
      <c r="AP161" s="96"/>
      <c r="AQ161" s="96"/>
      <c r="AR161" s="96"/>
      <c r="AS161" s="96"/>
      <c r="AT161" s="96"/>
      <c r="AU161" s="96"/>
      <c r="AV161" s="96"/>
      <c r="AW161" s="202"/>
      <c r="AX161" s="202"/>
      <c r="AY161" s="202"/>
      <c r="AZ161" s="302"/>
      <c r="BA161" s="319"/>
      <c r="BB161" s="325"/>
      <c r="BC161" s="302"/>
      <c r="BD161" s="547"/>
      <c r="BE161" s="547"/>
      <c r="BF161" s="547"/>
      <c r="BG161" s="547"/>
      <c r="BH161" s="547"/>
      <c r="BI161" s="329"/>
      <c r="BJ161" s="329"/>
      <c r="BK161" s="570"/>
      <c r="BL161" s="570"/>
    </row>
    <row r="162" spans="1:64">
      <c r="A162" s="167" t="s">
        <v>47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595"/>
      <c r="BB162" s="595"/>
      <c r="BC162" s="595"/>
      <c r="BD162" s="595"/>
      <c r="BE162" s="595"/>
      <c r="BF162" s="639"/>
      <c r="BG162" s="639"/>
      <c r="BH162" s="639"/>
      <c r="BI162" s="38"/>
      <c r="BJ162" s="38"/>
      <c r="BK162" s="570"/>
      <c r="BL162" s="570"/>
    </row>
    <row r="163" spans="1:64" ht="6" customHeight="1">
      <c r="A163" s="125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9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12"/>
      <c r="AJ163" s="12"/>
      <c r="AK163" s="12"/>
      <c r="AL163" s="6"/>
      <c r="AM163" s="26"/>
      <c r="AN163" s="19"/>
      <c r="AO163" s="19"/>
      <c r="AP163" s="19"/>
      <c r="AQ163" s="19"/>
      <c r="AR163" s="19"/>
      <c r="AS163" s="19"/>
      <c r="AT163" s="19"/>
      <c r="AU163" s="19"/>
      <c r="AV163" s="196"/>
      <c r="AW163" s="206"/>
      <c r="AX163" s="206"/>
      <c r="AY163" s="206"/>
      <c r="AZ163" s="312"/>
      <c r="BA163" s="380"/>
      <c r="BB163" s="328"/>
      <c r="BC163" s="312"/>
      <c r="BD163" s="552"/>
      <c r="BE163" s="552"/>
      <c r="BF163" s="552"/>
      <c r="BG163" s="552"/>
      <c r="BH163" s="552"/>
      <c r="BI163" s="329"/>
      <c r="BJ163" s="329"/>
      <c r="BK163" s="570"/>
      <c r="BL163" s="570"/>
    </row>
    <row r="164" spans="1:64" ht="11.85" customHeight="1">
      <c r="A164" s="126" t="s">
        <v>30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9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12"/>
      <c r="AJ164" s="12"/>
      <c r="AK164" s="12"/>
      <c r="AL164" s="6"/>
      <c r="AM164" s="26"/>
      <c r="AN164" s="19"/>
      <c r="AO164" s="19"/>
      <c r="AP164" s="19"/>
      <c r="AQ164" s="19"/>
      <c r="AR164" s="19"/>
      <c r="AS164" s="19"/>
      <c r="AT164" s="19"/>
      <c r="AU164" s="19"/>
      <c r="AV164" s="223"/>
      <c r="AW164" s="223"/>
      <c r="AX164" s="223"/>
      <c r="AY164" s="223"/>
      <c r="AZ164" s="312"/>
      <c r="BA164" s="380"/>
      <c r="BB164" s="328"/>
      <c r="BC164" s="312"/>
      <c r="BD164" s="552"/>
      <c r="BE164" s="552"/>
      <c r="BF164" s="552"/>
      <c r="BG164" s="552"/>
      <c r="BH164" s="552"/>
      <c r="BI164" s="329"/>
      <c r="BJ164" s="329"/>
      <c r="BK164" s="570"/>
      <c r="BL164" s="570"/>
    </row>
    <row r="165" spans="1:64" ht="11.85" customHeight="1">
      <c r="A165" s="129" t="s">
        <v>145</v>
      </c>
      <c r="B165" s="29">
        <v>42</v>
      </c>
      <c r="C165" s="29">
        <v>54</v>
      </c>
      <c r="D165" s="29">
        <v>49</v>
      </c>
      <c r="E165" s="29">
        <v>66</v>
      </c>
      <c r="F165" s="29">
        <v>75</v>
      </c>
      <c r="G165" s="53">
        <v>108</v>
      </c>
      <c r="H165" s="53">
        <v>111</v>
      </c>
      <c r="I165" s="53">
        <v>121</v>
      </c>
      <c r="J165" s="53">
        <v>134</v>
      </c>
      <c r="K165" s="53">
        <v>153</v>
      </c>
      <c r="L165" s="39">
        <v>186</v>
      </c>
      <c r="M165" s="39">
        <v>211</v>
      </c>
      <c r="N165" s="39">
        <v>201</v>
      </c>
      <c r="O165" s="39">
        <v>85</v>
      </c>
      <c r="P165" s="39">
        <v>96</v>
      </c>
      <c r="Q165" s="39">
        <v>96</v>
      </c>
      <c r="R165" s="39">
        <v>102</v>
      </c>
      <c r="S165" s="39">
        <v>86</v>
      </c>
      <c r="T165" s="39">
        <v>51</v>
      </c>
      <c r="U165" s="39">
        <v>52</v>
      </c>
      <c r="V165" s="39">
        <v>60</v>
      </c>
      <c r="W165" s="39">
        <v>61</v>
      </c>
      <c r="X165" s="39">
        <v>129</v>
      </c>
      <c r="Y165" s="39">
        <v>157</v>
      </c>
      <c r="Z165" s="39">
        <v>135</v>
      </c>
      <c r="AA165" s="39">
        <v>151</v>
      </c>
      <c r="AB165" s="39">
        <v>162</v>
      </c>
      <c r="AC165" s="39">
        <v>129</v>
      </c>
      <c r="AD165" s="39">
        <v>156</v>
      </c>
      <c r="AE165" s="39">
        <v>158</v>
      </c>
      <c r="AF165" s="39">
        <v>161</v>
      </c>
      <c r="AG165" s="39">
        <v>181</v>
      </c>
      <c r="AH165" s="39">
        <v>194</v>
      </c>
      <c r="AI165" s="39">
        <v>221</v>
      </c>
      <c r="AJ165" s="39">
        <v>197</v>
      </c>
      <c r="AK165" s="39">
        <v>216</v>
      </c>
      <c r="AL165" s="39">
        <v>194</v>
      </c>
      <c r="AM165" s="98">
        <v>182</v>
      </c>
      <c r="AN165" s="98">
        <v>190</v>
      </c>
      <c r="AO165" s="98">
        <v>214</v>
      </c>
      <c r="AP165" s="98">
        <v>198</v>
      </c>
      <c r="AQ165" s="98">
        <v>229</v>
      </c>
      <c r="AR165" s="36">
        <v>220</v>
      </c>
      <c r="AS165" s="36">
        <v>184</v>
      </c>
      <c r="AT165" s="53">
        <v>256</v>
      </c>
      <c r="AU165" s="53">
        <v>255</v>
      </c>
      <c r="AV165" s="53">
        <v>295</v>
      </c>
      <c r="AW165" s="53">
        <v>258.59459459459458</v>
      </c>
      <c r="AX165" s="289">
        <v>310</v>
      </c>
      <c r="AY165" s="289">
        <v>304</v>
      </c>
      <c r="AZ165" s="289">
        <v>289</v>
      </c>
      <c r="BA165" s="381">
        <v>286</v>
      </c>
      <c r="BB165" s="381">
        <v>295</v>
      </c>
      <c r="BC165" s="381">
        <v>308</v>
      </c>
      <c r="BD165" s="381">
        <v>330</v>
      </c>
      <c r="BE165" s="381">
        <v>345</v>
      </c>
      <c r="BF165" s="381">
        <v>363</v>
      </c>
      <c r="BG165" s="381">
        <v>310</v>
      </c>
      <c r="BH165" s="381">
        <v>324</v>
      </c>
      <c r="BI165" s="385">
        <f>(BG165-BF165)/BF165</f>
        <v>-0.14600550964187328</v>
      </c>
      <c r="BJ165" s="385">
        <f>(BH165-BG165)/BG165</f>
        <v>4.5161290322580643E-2</v>
      </c>
      <c r="BK165" s="569">
        <f>BG165-BF165</f>
        <v>-53</v>
      </c>
      <c r="BL165" s="569">
        <f>BH165-BG165</f>
        <v>14</v>
      </c>
    </row>
    <row r="166" spans="1:64" ht="6" customHeight="1">
      <c r="A166" s="125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9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12"/>
      <c r="AJ166" s="12"/>
      <c r="AK166" s="12"/>
      <c r="AL166" s="6"/>
      <c r="AM166" s="26"/>
      <c r="AN166" s="19"/>
      <c r="AO166" s="19"/>
      <c r="AP166" s="19"/>
      <c r="AQ166" s="19"/>
      <c r="AR166" s="19"/>
      <c r="AS166" s="19"/>
      <c r="AT166" s="223"/>
      <c r="AU166" s="223"/>
      <c r="AV166" s="223"/>
      <c r="AW166" s="223"/>
      <c r="AX166" s="223"/>
      <c r="AY166" s="223"/>
      <c r="AZ166" s="312"/>
      <c r="BA166" s="380"/>
      <c r="BB166" s="328"/>
      <c r="BC166" s="312"/>
      <c r="BD166" s="552"/>
      <c r="BE166" s="552"/>
      <c r="BF166" s="552"/>
      <c r="BG166" s="552"/>
      <c r="BH166" s="552"/>
      <c r="BI166" s="329"/>
      <c r="BJ166" s="329"/>
      <c r="BK166" s="570"/>
      <c r="BL166" s="570"/>
    </row>
    <row r="167" spans="1:64" ht="10.5" customHeight="1">
      <c r="A167" s="126" t="s">
        <v>50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9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12"/>
      <c r="AJ167" s="12"/>
      <c r="AK167" s="12"/>
      <c r="AL167" s="6"/>
      <c r="AM167" s="26"/>
      <c r="AN167" s="19"/>
      <c r="AO167" s="19"/>
      <c r="AP167" s="19"/>
      <c r="AQ167" s="19"/>
      <c r="AR167" s="19"/>
      <c r="AS167" s="19"/>
      <c r="AT167" s="223"/>
      <c r="AU167" s="223"/>
      <c r="AV167" s="223"/>
      <c r="AW167" s="223"/>
      <c r="AX167" s="223"/>
      <c r="AY167" s="223"/>
      <c r="AZ167" s="312"/>
      <c r="BA167" s="380"/>
      <c r="BB167" s="328"/>
      <c r="BC167" s="312"/>
      <c r="BD167" s="552"/>
      <c r="BE167" s="552"/>
      <c r="BF167" s="552"/>
      <c r="BG167" s="552"/>
      <c r="BH167" s="552"/>
      <c r="BI167" s="329"/>
      <c r="BJ167" s="329"/>
      <c r="BK167" s="570"/>
      <c r="BL167" s="570"/>
    </row>
    <row r="168" spans="1:64" ht="10.5" customHeight="1">
      <c r="A168" s="125" t="s">
        <v>75</v>
      </c>
      <c r="B168" s="102" t="s">
        <v>3</v>
      </c>
      <c r="C168" s="102" t="s">
        <v>3</v>
      </c>
      <c r="D168" s="102" t="s">
        <v>3</v>
      </c>
      <c r="E168" s="102" t="s">
        <v>3</v>
      </c>
      <c r="F168" s="102" t="s">
        <v>3</v>
      </c>
      <c r="G168" s="102" t="s">
        <v>3</v>
      </c>
      <c r="H168" s="102" t="s">
        <v>3</v>
      </c>
      <c r="I168" s="102" t="s">
        <v>3</v>
      </c>
      <c r="J168" s="102" t="s">
        <v>3</v>
      </c>
      <c r="K168" s="102" t="s">
        <v>3</v>
      </c>
      <c r="L168" s="102" t="s">
        <v>3</v>
      </c>
      <c r="M168" s="102" t="s">
        <v>3</v>
      </c>
      <c r="N168" s="102" t="s">
        <v>3</v>
      </c>
      <c r="O168" s="102" t="s">
        <v>3</v>
      </c>
      <c r="P168" s="102" t="s">
        <v>3</v>
      </c>
      <c r="Q168" s="102" t="s">
        <v>3</v>
      </c>
      <c r="R168" s="102" t="s">
        <v>3</v>
      </c>
      <c r="S168" s="102" t="s">
        <v>3</v>
      </c>
      <c r="T168" s="102">
        <v>4</v>
      </c>
      <c r="U168" s="40">
        <v>12</v>
      </c>
      <c r="V168" s="40">
        <v>16</v>
      </c>
      <c r="W168" s="40">
        <v>19</v>
      </c>
      <c r="X168" s="40">
        <v>17</v>
      </c>
      <c r="Y168" s="40">
        <v>15</v>
      </c>
      <c r="Z168" s="40">
        <v>14</v>
      </c>
      <c r="AA168" s="40">
        <v>13</v>
      </c>
      <c r="AB168" s="40">
        <v>14</v>
      </c>
      <c r="AC168" s="40">
        <v>13</v>
      </c>
      <c r="AD168" s="40">
        <v>14</v>
      </c>
      <c r="AE168" s="40">
        <v>13</v>
      </c>
      <c r="AF168" s="40">
        <v>21</v>
      </c>
      <c r="AG168" s="40">
        <v>22</v>
      </c>
      <c r="AH168" s="40">
        <v>28</v>
      </c>
      <c r="AI168" s="40">
        <v>25</v>
      </c>
      <c r="AJ168" s="40">
        <v>28</v>
      </c>
      <c r="AK168" s="40">
        <v>24</v>
      </c>
      <c r="AL168" s="40">
        <v>25</v>
      </c>
      <c r="AM168" s="55">
        <v>28</v>
      </c>
      <c r="AN168" s="139">
        <v>35</v>
      </c>
      <c r="AO168" s="139">
        <v>31</v>
      </c>
      <c r="AP168" s="139">
        <v>30</v>
      </c>
      <c r="AQ168" s="139">
        <v>25</v>
      </c>
      <c r="AR168" s="139">
        <v>36</v>
      </c>
      <c r="AS168" s="139">
        <v>34</v>
      </c>
      <c r="AT168" s="68">
        <v>42</v>
      </c>
      <c r="AU168" s="68">
        <v>41</v>
      </c>
      <c r="AV168" s="68">
        <v>48</v>
      </c>
      <c r="AW168" s="68">
        <v>46</v>
      </c>
      <c r="AX168" s="68">
        <v>52</v>
      </c>
      <c r="AY168" s="68">
        <v>47</v>
      </c>
      <c r="AZ168" s="68">
        <v>49</v>
      </c>
      <c r="BA168" s="293">
        <v>76</v>
      </c>
      <c r="BB168" s="293">
        <v>81</v>
      </c>
      <c r="BC168" s="293">
        <v>82</v>
      </c>
      <c r="BD168" s="314">
        <v>82</v>
      </c>
      <c r="BE168" s="314">
        <v>68</v>
      </c>
      <c r="BF168" s="314">
        <v>79</v>
      </c>
      <c r="BG168" s="314">
        <v>118</v>
      </c>
      <c r="BH168" s="314">
        <v>83</v>
      </c>
      <c r="BI168" s="385">
        <f>(BG168-BF168)/BF168</f>
        <v>0.49367088607594939</v>
      </c>
      <c r="BJ168" s="385">
        <f>(BH168-BG168)/BG168</f>
        <v>-0.29661016949152541</v>
      </c>
      <c r="BK168" s="569">
        <f>BG168-BF168</f>
        <v>39</v>
      </c>
      <c r="BL168" s="569">
        <f>BH168-BG168</f>
        <v>-35</v>
      </c>
    </row>
    <row r="169" spans="1:64" ht="8.25" customHeight="1">
      <c r="A169" s="125"/>
      <c r="B169" s="102"/>
      <c r="C169" s="38"/>
      <c r="D169" s="38"/>
      <c r="E169" s="38"/>
      <c r="F169" s="38"/>
      <c r="G169" s="38"/>
      <c r="H169" s="38"/>
      <c r="I169" s="38"/>
      <c r="J169" s="38"/>
      <c r="K169" s="38"/>
      <c r="L169" s="39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12"/>
      <c r="AJ169" s="12"/>
      <c r="AK169" s="12"/>
      <c r="AL169" s="6"/>
      <c r="AM169" s="26"/>
      <c r="AN169" s="19"/>
      <c r="AO169" s="19"/>
      <c r="AP169" s="19"/>
      <c r="AQ169" s="19"/>
      <c r="AR169" s="19"/>
      <c r="AS169" s="19"/>
      <c r="AT169" s="223"/>
      <c r="AU169" s="223"/>
      <c r="AV169" s="223"/>
      <c r="AW169" s="223"/>
      <c r="AX169" s="223"/>
      <c r="AY169" s="223"/>
      <c r="AZ169" s="312"/>
      <c r="BA169" s="380"/>
      <c r="BB169" s="328"/>
      <c r="BC169" s="312"/>
      <c r="BD169" s="552"/>
      <c r="BE169" s="552"/>
      <c r="BF169" s="552"/>
      <c r="BG169" s="552"/>
      <c r="BH169" s="552"/>
      <c r="BI169" s="329"/>
      <c r="BJ169" s="329"/>
      <c r="BK169" s="570"/>
      <c r="BL169" s="570"/>
    </row>
    <row r="170" spans="1:64" ht="11.85" customHeight="1">
      <c r="A170" s="126" t="s">
        <v>42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6"/>
      <c r="AM170" s="26"/>
      <c r="AN170" s="55"/>
      <c r="AO170" s="65"/>
      <c r="AP170" s="65"/>
      <c r="AQ170" s="65"/>
      <c r="AR170" s="65"/>
      <c r="AS170" s="65"/>
      <c r="AT170" s="65"/>
      <c r="AU170" s="65"/>
      <c r="AV170" s="344"/>
      <c r="AW170" s="344"/>
      <c r="AX170" s="344"/>
      <c r="AY170" s="344"/>
      <c r="AZ170" s="335"/>
      <c r="BA170" s="357"/>
      <c r="BB170" s="357"/>
      <c r="BC170" s="335"/>
      <c r="BD170" s="545"/>
      <c r="BE170" s="545"/>
      <c r="BF170" s="545"/>
      <c r="BG170" s="545"/>
      <c r="BH170" s="545"/>
      <c r="BI170" s="385"/>
      <c r="BJ170" s="385"/>
      <c r="BK170" s="571"/>
      <c r="BL170" s="571"/>
    </row>
    <row r="171" spans="1:64" ht="11.85" customHeight="1">
      <c r="A171" s="129" t="s">
        <v>146</v>
      </c>
      <c r="B171" s="28">
        <v>7</v>
      </c>
      <c r="C171" s="28">
        <v>8</v>
      </c>
      <c r="D171" s="28">
        <v>9</v>
      </c>
      <c r="E171" s="28">
        <v>11</v>
      </c>
      <c r="F171" s="28">
        <v>12</v>
      </c>
      <c r="G171" s="28">
        <v>13</v>
      </c>
      <c r="H171" s="28">
        <v>13</v>
      </c>
      <c r="I171" s="28">
        <v>14</v>
      </c>
      <c r="J171" s="28">
        <v>15</v>
      </c>
      <c r="K171" s="28">
        <v>16</v>
      </c>
      <c r="L171" s="12">
        <v>18</v>
      </c>
      <c r="M171" s="12">
        <v>19</v>
      </c>
      <c r="N171" s="12">
        <v>21</v>
      </c>
      <c r="O171" s="12">
        <v>22</v>
      </c>
      <c r="P171" s="12">
        <v>27</v>
      </c>
      <c r="Q171" s="12">
        <v>34</v>
      </c>
      <c r="R171" s="12">
        <v>36</v>
      </c>
      <c r="S171" s="12">
        <v>41</v>
      </c>
      <c r="T171" s="12">
        <v>38</v>
      </c>
      <c r="U171" s="12">
        <v>50</v>
      </c>
      <c r="V171" s="12">
        <v>67</v>
      </c>
      <c r="W171" s="12">
        <v>69</v>
      </c>
      <c r="X171" s="12">
        <v>80</v>
      </c>
      <c r="Y171" s="12">
        <v>78</v>
      </c>
      <c r="Z171" s="12">
        <v>89</v>
      </c>
      <c r="AA171" s="12">
        <v>94</v>
      </c>
      <c r="AB171" s="12">
        <v>94</v>
      </c>
      <c r="AC171" s="12">
        <v>95</v>
      </c>
      <c r="AD171" s="12">
        <v>99</v>
      </c>
      <c r="AE171" s="12">
        <v>109</v>
      </c>
      <c r="AF171" s="12">
        <v>113</v>
      </c>
      <c r="AG171" s="12">
        <v>118</v>
      </c>
      <c r="AH171" s="12">
        <v>130</v>
      </c>
      <c r="AI171" s="12">
        <v>142</v>
      </c>
      <c r="AJ171" s="12">
        <v>148</v>
      </c>
      <c r="AK171" s="12">
        <v>161</v>
      </c>
      <c r="AL171" s="6">
        <v>169</v>
      </c>
      <c r="AM171" s="26">
        <v>158</v>
      </c>
      <c r="AN171" s="55">
        <v>163</v>
      </c>
      <c r="AO171" s="55">
        <v>168</v>
      </c>
      <c r="AP171" s="55">
        <v>167</v>
      </c>
      <c r="AQ171" s="55">
        <v>178</v>
      </c>
      <c r="AR171" s="55">
        <v>186</v>
      </c>
      <c r="AS171" s="55">
        <v>198</v>
      </c>
      <c r="AT171" s="55">
        <v>201</v>
      </c>
      <c r="AU171" s="55">
        <v>212</v>
      </c>
      <c r="AV171" s="33">
        <v>220</v>
      </c>
      <c r="AW171" s="33">
        <v>227</v>
      </c>
      <c r="AX171" s="33">
        <v>235</v>
      </c>
      <c r="AY171" s="33">
        <v>274</v>
      </c>
      <c r="AZ171" s="33">
        <v>289</v>
      </c>
      <c r="BA171" s="356">
        <v>303</v>
      </c>
      <c r="BB171" s="356">
        <v>301</v>
      </c>
      <c r="BC171" s="356">
        <v>294</v>
      </c>
      <c r="BD171" s="367">
        <v>290</v>
      </c>
      <c r="BE171" s="367">
        <v>299</v>
      </c>
      <c r="BF171" s="367">
        <v>311</v>
      </c>
      <c r="BG171" s="367">
        <v>322</v>
      </c>
      <c r="BH171" s="367">
        <v>383</v>
      </c>
      <c r="BI171" s="385">
        <f>(BG171-BF171)/BF171</f>
        <v>3.5369774919614148E-2</v>
      </c>
      <c r="BJ171" s="385">
        <f>(BH171-BG171)/BG171</f>
        <v>0.18944099378881987</v>
      </c>
      <c r="BK171" s="569">
        <f>BG171-BF171</f>
        <v>11</v>
      </c>
      <c r="BL171" s="569">
        <f>BH171-BG171</f>
        <v>61</v>
      </c>
    </row>
    <row r="172" spans="1:64" ht="11.85" customHeight="1">
      <c r="A172" s="129" t="s">
        <v>147</v>
      </c>
      <c r="B172" s="102" t="s">
        <v>3</v>
      </c>
      <c r="C172" s="102" t="s">
        <v>3</v>
      </c>
      <c r="D172" s="102" t="s">
        <v>3</v>
      </c>
      <c r="E172" s="102" t="s">
        <v>3</v>
      </c>
      <c r="F172" s="102" t="s">
        <v>3</v>
      </c>
      <c r="G172" s="102" t="s">
        <v>3</v>
      </c>
      <c r="H172" s="102" t="s">
        <v>3</v>
      </c>
      <c r="I172" s="102" t="s">
        <v>3</v>
      </c>
      <c r="J172" s="102" t="s">
        <v>3</v>
      </c>
      <c r="K172" s="102" t="s">
        <v>3</v>
      </c>
      <c r="L172" s="102" t="s">
        <v>3</v>
      </c>
      <c r="M172" s="30" t="s">
        <v>3</v>
      </c>
      <c r="N172" s="30" t="s">
        <v>3</v>
      </c>
      <c r="O172" s="30" t="s">
        <v>3</v>
      </c>
      <c r="P172" s="40">
        <v>33</v>
      </c>
      <c r="Q172" s="40">
        <v>121</v>
      </c>
      <c r="R172" s="40">
        <v>136</v>
      </c>
      <c r="S172" s="40">
        <v>117</v>
      </c>
      <c r="T172" s="40">
        <v>79</v>
      </c>
      <c r="U172" s="40">
        <v>82</v>
      </c>
      <c r="V172" s="40">
        <v>132</v>
      </c>
      <c r="W172" s="40">
        <v>96</v>
      </c>
      <c r="X172" s="40">
        <v>65</v>
      </c>
      <c r="Y172" s="40">
        <v>44</v>
      </c>
      <c r="Z172" s="40">
        <v>32</v>
      </c>
      <c r="AA172" s="40">
        <v>25</v>
      </c>
      <c r="AB172" s="40">
        <v>24</v>
      </c>
      <c r="AC172" s="40">
        <v>23</v>
      </c>
      <c r="AD172" s="40">
        <v>21</v>
      </c>
      <c r="AE172" s="40">
        <v>19</v>
      </c>
      <c r="AF172" s="40">
        <v>16</v>
      </c>
      <c r="AG172" s="40">
        <v>14</v>
      </c>
      <c r="AH172" s="40">
        <v>15</v>
      </c>
      <c r="AI172" s="40">
        <v>13</v>
      </c>
      <c r="AJ172" s="40">
        <v>13</v>
      </c>
      <c r="AK172" s="40">
        <v>12</v>
      </c>
      <c r="AL172" s="40">
        <v>8</v>
      </c>
      <c r="AM172" s="55">
        <v>5</v>
      </c>
      <c r="AN172" s="55">
        <v>3</v>
      </c>
      <c r="AO172" s="55">
        <v>2</v>
      </c>
      <c r="AP172" s="55">
        <v>2</v>
      </c>
      <c r="AQ172" s="55">
        <v>2</v>
      </c>
      <c r="AR172" s="55">
        <v>2</v>
      </c>
      <c r="AS172" s="55">
        <v>1</v>
      </c>
      <c r="AT172" s="33">
        <v>1</v>
      </c>
      <c r="AU172" s="224" t="s">
        <v>3</v>
      </c>
      <c r="AV172" s="224" t="s">
        <v>3</v>
      </c>
      <c r="AW172" s="224" t="s">
        <v>3</v>
      </c>
      <c r="AX172" s="224" t="s">
        <v>3</v>
      </c>
      <c r="AY172" s="224" t="s">
        <v>3</v>
      </c>
      <c r="AZ172" s="224" t="s">
        <v>3</v>
      </c>
      <c r="BA172" s="382" t="s">
        <v>3</v>
      </c>
      <c r="BB172" s="382" t="s">
        <v>3</v>
      </c>
      <c r="BC172" s="382" t="s">
        <v>3</v>
      </c>
      <c r="BD172" s="553" t="s">
        <v>3</v>
      </c>
      <c r="BE172" s="553" t="s">
        <v>3</v>
      </c>
      <c r="BF172" s="553" t="s">
        <v>3</v>
      </c>
      <c r="BG172" s="553" t="s">
        <v>3</v>
      </c>
      <c r="BH172" s="553" t="s">
        <v>3</v>
      </c>
      <c r="BI172" s="392" t="s">
        <v>9</v>
      </c>
      <c r="BJ172" s="392" t="s">
        <v>9</v>
      </c>
      <c r="BK172" s="570"/>
      <c r="BL172" s="570"/>
    </row>
    <row r="173" spans="1:64" ht="11.85" customHeight="1">
      <c r="A173" s="404" t="s">
        <v>32</v>
      </c>
      <c r="B173" s="152">
        <f>SUM(B171:B172)</f>
        <v>7</v>
      </c>
      <c r="C173" s="152">
        <f t="shared" ref="C173:BG173" si="80">SUM(C171:C172)</f>
        <v>8</v>
      </c>
      <c r="D173" s="152">
        <f t="shared" si="80"/>
        <v>9</v>
      </c>
      <c r="E173" s="152">
        <f t="shared" si="80"/>
        <v>11</v>
      </c>
      <c r="F173" s="152">
        <f t="shared" si="80"/>
        <v>12</v>
      </c>
      <c r="G173" s="152">
        <f t="shared" si="80"/>
        <v>13</v>
      </c>
      <c r="H173" s="152">
        <f t="shared" si="80"/>
        <v>13</v>
      </c>
      <c r="I173" s="152">
        <f t="shared" si="80"/>
        <v>14</v>
      </c>
      <c r="J173" s="152">
        <f t="shared" si="80"/>
        <v>15</v>
      </c>
      <c r="K173" s="152">
        <f t="shared" si="80"/>
        <v>16</v>
      </c>
      <c r="L173" s="152">
        <f t="shared" si="80"/>
        <v>18</v>
      </c>
      <c r="M173" s="152">
        <f t="shared" si="80"/>
        <v>19</v>
      </c>
      <c r="N173" s="152">
        <f t="shared" si="80"/>
        <v>21</v>
      </c>
      <c r="O173" s="152">
        <f t="shared" si="80"/>
        <v>22</v>
      </c>
      <c r="P173" s="152">
        <f t="shared" si="80"/>
        <v>60</v>
      </c>
      <c r="Q173" s="152">
        <f t="shared" si="80"/>
        <v>155</v>
      </c>
      <c r="R173" s="152">
        <f t="shared" si="80"/>
        <v>172</v>
      </c>
      <c r="S173" s="152">
        <f t="shared" si="80"/>
        <v>158</v>
      </c>
      <c r="T173" s="152">
        <f t="shared" si="80"/>
        <v>117</v>
      </c>
      <c r="U173" s="152">
        <f t="shared" si="80"/>
        <v>132</v>
      </c>
      <c r="V173" s="152">
        <f t="shared" si="80"/>
        <v>199</v>
      </c>
      <c r="W173" s="152">
        <f t="shared" si="80"/>
        <v>165</v>
      </c>
      <c r="X173" s="152">
        <f t="shared" si="80"/>
        <v>145</v>
      </c>
      <c r="Y173" s="152">
        <f t="shared" si="80"/>
        <v>122</v>
      </c>
      <c r="Z173" s="152">
        <f t="shared" si="80"/>
        <v>121</v>
      </c>
      <c r="AA173" s="152">
        <f t="shared" si="80"/>
        <v>119</v>
      </c>
      <c r="AB173" s="152">
        <f t="shared" si="80"/>
        <v>118</v>
      </c>
      <c r="AC173" s="152">
        <f t="shared" si="80"/>
        <v>118</v>
      </c>
      <c r="AD173" s="152">
        <f t="shared" si="80"/>
        <v>120</v>
      </c>
      <c r="AE173" s="152">
        <f t="shared" si="80"/>
        <v>128</v>
      </c>
      <c r="AF173" s="152">
        <f t="shared" si="80"/>
        <v>129</v>
      </c>
      <c r="AG173" s="152">
        <f t="shared" si="80"/>
        <v>132</v>
      </c>
      <c r="AH173" s="152">
        <f t="shared" si="80"/>
        <v>145</v>
      </c>
      <c r="AI173" s="152">
        <f t="shared" si="80"/>
        <v>155</v>
      </c>
      <c r="AJ173" s="152">
        <f t="shared" si="80"/>
        <v>161</v>
      </c>
      <c r="AK173" s="152">
        <f t="shared" si="80"/>
        <v>173</v>
      </c>
      <c r="AL173" s="152">
        <f t="shared" si="80"/>
        <v>177</v>
      </c>
      <c r="AM173" s="152">
        <f t="shared" si="80"/>
        <v>163</v>
      </c>
      <c r="AN173" s="152">
        <f t="shared" si="80"/>
        <v>166</v>
      </c>
      <c r="AO173" s="152">
        <f t="shared" si="80"/>
        <v>170</v>
      </c>
      <c r="AP173" s="152">
        <f t="shared" si="80"/>
        <v>169</v>
      </c>
      <c r="AQ173" s="152">
        <f t="shared" si="80"/>
        <v>180</v>
      </c>
      <c r="AR173" s="152">
        <f t="shared" si="80"/>
        <v>188</v>
      </c>
      <c r="AS173" s="152">
        <f t="shared" si="80"/>
        <v>199</v>
      </c>
      <c r="AT173" s="152">
        <f t="shared" si="80"/>
        <v>202</v>
      </c>
      <c r="AU173" s="152">
        <f t="shared" si="80"/>
        <v>212</v>
      </c>
      <c r="AV173" s="152">
        <f t="shared" si="80"/>
        <v>220</v>
      </c>
      <c r="AW173" s="152">
        <f t="shared" si="80"/>
        <v>227</v>
      </c>
      <c r="AX173" s="152">
        <f t="shared" si="80"/>
        <v>235</v>
      </c>
      <c r="AY173" s="152">
        <f t="shared" si="80"/>
        <v>274</v>
      </c>
      <c r="AZ173" s="152">
        <f t="shared" si="80"/>
        <v>289</v>
      </c>
      <c r="BA173" s="152">
        <f t="shared" si="80"/>
        <v>303</v>
      </c>
      <c r="BB173" s="152">
        <f t="shared" si="80"/>
        <v>301</v>
      </c>
      <c r="BC173" s="394">
        <f t="shared" si="80"/>
        <v>294</v>
      </c>
      <c r="BD173" s="395">
        <f t="shared" si="80"/>
        <v>290</v>
      </c>
      <c r="BE173" s="395">
        <f t="shared" si="80"/>
        <v>299</v>
      </c>
      <c r="BF173" s="395">
        <f t="shared" si="80"/>
        <v>311</v>
      </c>
      <c r="BG173" s="395">
        <f t="shared" si="80"/>
        <v>322</v>
      </c>
      <c r="BH173" s="395">
        <f t="shared" ref="BH173" si="81">SUM(BH171:BH172)</f>
        <v>383</v>
      </c>
      <c r="BI173" s="415">
        <f>(BG173-BF173)/BF173</f>
        <v>3.5369774919614148E-2</v>
      </c>
      <c r="BJ173" s="415">
        <f>(BH173-BG173)/BG173</f>
        <v>0.18944099378881987</v>
      </c>
      <c r="BK173" s="572">
        <f>BG173-BF173</f>
        <v>11</v>
      </c>
      <c r="BL173" s="572">
        <f>BH173-BG173</f>
        <v>61</v>
      </c>
    </row>
    <row r="174" spans="1:64" ht="6" customHeight="1">
      <c r="A174" s="125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9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12"/>
      <c r="AJ174" s="12"/>
      <c r="AK174" s="12"/>
      <c r="AL174" s="6"/>
      <c r="AM174" s="26"/>
      <c r="AN174" s="19"/>
      <c r="AO174" s="19"/>
      <c r="AP174" s="19"/>
      <c r="AQ174" s="19"/>
      <c r="AR174" s="19"/>
      <c r="AS174" s="19"/>
      <c r="AT174" s="223"/>
      <c r="AU174" s="223"/>
      <c r="AV174" s="223"/>
      <c r="AW174" s="223"/>
      <c r="AX174" s="223"/>
      <c r="AY174" s="223"/>
      <c r="AZ174" s="312"/>
      <c r="BA174" s="380"/>
      <c r="BB174" s="328"/>
      <c r="BC174" s="312"/>
      <c r="BD174" s="554"/>
      <c r="BE174" s="552"/>
      <c r="BF174" s="552"/>
      <c r="BG174" s="554"/>
      <c r="BH174" s="554"/>
      <c r="BI174" s="329"/>
      <c r="BJ174" s="329"/>
      <c r="BK174" s="570"/>
      <c r="BL174" s="570"/>
    </row>
    <row r="175" spans="1:64" ht="10.5" customHeight="1">
      <c r="A175" s="126" t="s">
        <v>76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95"/>
      <c r="AB175" s="595"/>
      <c r="AC175" s="595"/>
      <c r="AD175" s="595"/>
      <c r="AE175" s="595"/>
      <c r="AF175" s="595"/>
      <c r="AG175" s="595"/>
      <c r="AH175" s="595"/>
      <c r="AI175" s="595"/>
      <c r="AJ175" s="595"/>
      <c r="AK175" s="595"/>
      <c r="AL175" s="595"/>
      <c r="AM175" s="595"/>
      <c r="AN175" s="595"/>
      <c r="AO175" s="595"/>
      <c r="AP175" s="595"/>
      <c r="AQ175" s="595"/>
      <c r="AR175" s="595"/>
      <c r="AS175" s="595"/>
      <c r="AT175" s="595"/>
      <c r="AU175" s="595"/>
      <c r="AV175" s="595"/>
      <c r="AW175" s="595"/>
      <c r="AX175" s="595"/>
      <c r="AY175" s="595"/>
      <c r="AZ175" s="595"/>
      <c r="BA175" s="595"/>
      <c r="BB175" s="595"/>
      <c r="BC175" s="595"/>
      <c r="BD175" s="595"/>
      <c r="BE175" s="595"/>
      <c r="BF175" s="639"/>
      <c r="BG175" s="639"/>
      <c r="BH175" s="639"/>
      <c r="BI175" s="329"/>
      <c r="BJ175" s="329"/>
      <c r="BK175" s="570"/>
      <c r="BL175" s="570"/>
    </row>
    <row r="176" spans="1:64" ht="10.5" customHeight="1">
      <c r="A176" s="125" t="s">
        <v>77</v>
      </c>
      <c r="B176" s="51" t="s">
        <v>3</v>
      </c>
      <c r="C176" s="51" t="s">
        <v>3</v>
      </c>
      <c r="D176" s="51" t="s">
        <v>3</v>
      </c>
      <c r="E176" s="51" t="s">
        <v>3</v>
      </c>
      <c r="F176" s="51" t="s">
        <v>3</v>
      </c>
      <c r="G176" s="51" t="s">
        <v>3</v>
      </c>
      <c r="H176" s="51" t="s">
        <v>3</v>
      </c>
      <c r="I176" s="51" t="s">
        <v>3</v>
      </c>
      <c r="J176" s="51" t="s">
        <v>3</v>
      </c>
      <c r="K176" s="51" t="s">
        <v>3</v>
      </c>
      <c r="L176" s="51" t="s">
        <v>3</v>
      </c>
      <c r="M176" s="51" t="s">
        <v>3</v>
      </c>
      <c r="N176" s="51" t="s">
        <v>3</v>
      </c>
      <c r="O176" s="51" t="s">
        <v>3</v>
      </c>
      <c r="P176" s="51" t="s">
        <v>3</v>
      </c>
      <c r="Q176" s="51" t="s">
        <v>3</v>
      </c>
      <c r="R176" s="51" t="s">
        <v>3</v>
      </c>
      <c r="S176" s="51" t="s">
        <v>3</v>
      </c>
      <c r="T176" s="51" t="s">
        <v>3</v>
      </c>
      <c r="U176" s="51" t="s">
        <v>3</v>
      </c>
      <c r="V176" s="51" t="s">
        <v>3</v>
      </c>
      <c r="W176" s="51" t="s">
        <v>3</v>
      </c>
      <c r="X176" s="51" t="s">
        <v>3</v>
      </c>
      <c r="Y176" s="51" t="s">
        <v>3</v>
      </c>
      <c r="Z176" s="51" t="s">
        <v>3</v>
      </c>
      <c r="AA176" s="51" t="s">
        <v>3</v>
      </c>
      <c r="AB176" s="51" t="s">
        <v>3</v>
      </c>
      <c r="AC176" s="51" t="s">
        <v>3</v>
      </c>
      <c r="AD176" s="51" t="s">
        <v>3</v>
      </c>
      <c r="AE176" s="51" t="s">
        <v>3</v>
      </c>
      <c r="AF176" s="56" t="s">
        <v>10</v>
      </c>
      <c r="AG176" s="356">
        <v>1</v>
      </c>
      <c r="AH176" s="356">
        <v>2</v>
      </c>
      <c r="AI176" s="356">
        <v>2</v>
      </c>
      <c r="AJ176" s="356">
        <v>3</v>
      </c>
      <c r="AK176" s="356">
        <v>3</v>
      </c>
      <c r="AL176" s="356">
        <v>2</v>
      </c>
      <c r="AM176" s="356">
        <v>2</v>
      </c>
      <c r="AN176" s="293">
        <v>4</v>
      </c>
      <c r="AO176" s="293">
        <v>14</v>
      </c>
      <c r="AP176" s="293">
        <v>10</v>
      </c>
      <c r="AQ176" s="293">
        <v>12</v>
      </c>
      <c r="AR176" s="356">
        <v>8</v>
      </c>
      <c r="AS176" s="55">
        <v>12</v>
      </c>
      <c r="AT176" s="68">
        <v>11</v>
      </c>
      <c r="AU176" s="68">
        <v>13</v>
      </c>
      <c r="AV176" s="68">
        <v>15</v>
      </c>
      <c r="AW176" s="68">
        <v>16</v>
      </c>
      <c r="AX176" s="233">
        <v>18</v>
      </c>
      <c r="AY176" s="233">
        <v>19</v>
      </c>
      <c r="AZ176" s="233">
        <v>19</v>
      </c>
      <c r="BA176" s="314">
        <v>19</v>
      </c>
      <c r="BB176" s="314">
        <v>18</v>
      </c>
      <c r="BC176" s="314">
        <f>16</f>
        <v>16</v>
      </c>
      <c r="BD176" s="314">
        <v>19</v>
      </c>
      <c r="BE176" s="314">
        <v>16</v>
      </c>
      <c r="BF176" s="314">
        <v>20</v>
      </c>
      <c r="BG176" s="314">
        <v>24</v>
      </c>
      <c r="BH176" s="314">
        <v>25</v>
      </c>
      <c r="BI176" s="385">
        <f>(BG176-BF176)/BF176</f>
        <v>0.2</v>
      </c>
      <c r="BJ176" s="385">
        <f>(BH176-BG176)/BG176</f>
        <v>4.1666666666666664E-2</v>
      </c>
      <c r="BK176" s="569">
        <f>BG176-BF176</f>
        <v>4</v>
      </c>
      <c r="BL176" s="569">
        <f>BH176-BG176</f>
        <v>1</v>
      </c>
    </row>
    <row r="177" spans="1:64" ht="6.75" customHeight="1">
      <c r="A177" s="125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9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12"/>
      <c r="AJ177" s="12"/>
      <c r="AK177" s="12"/>
      <c r="AL177" s="6"/>
      <c r="AM177" s="26"/>
      <c r="AN177" s="19"/>
      <c r="AO177" s="19"/>
      <c r="AP177" s="19"/>
      <c r="AQ177" s="19"/>
      <c r="AR177" s="19"/>
      <c r="AS177" s="19"/>
      <c r="AT177" s="223"/>
      <c r="AU177" s="223"/>
      <c r="AV177" s="223"/>
      <c r="AW177" s="223"/>
      <c r="AX177" s="223"/>
      <c r="AY177" s="223"/>
      <c r="AZ177" s="312"/>
      <c r="BA177" s="380"/>
      <c r="BB177" s="328"/>
      <c r="BC177" s="312"/>
      <c r="BD177" s="554"/>
      <c r="BE177" s="552"/>
      <c r="BF177" s="552"/>
      <c r="BG177" s="554"/>
      <c r="BH177" s="554"/>
      <c r="BI177" s="329"/>
      <c r="BJ177" s="329"/>
      <c r="BK177" s="570"/>
      <c r="BL177" s="570"/>
    </row>
    <row r="178" spans="1:64" ht="11.1" customHeight="1">
      <c r="A178" s="129" t="s">
        <v>148</v>
      </c>
      <c r="B178" s="33">
        <v>7</v>
      </c>
      <c r="C178" s="33">
        <v>8</v>
      </c>
      <c r="D178" s="33">
        <v>9</v>
      </c>
      <c r="E178" s="33">
        <v>9</v>
      </c>
      <c r="F178" s="33">
        <v>10</v>
      </c>
      <c r="G178" s="33">
        <v>11</v>
      </c>
      <c r="H178" s="33">
        <v>8</v>
      </c>
      <c r="I178" s="33">
        <v>12</v>
      </c>
      <c r="J178" s="33">
        <v>9</v>
      </c>
      <c r="K178" s="33">
        <v>10</v>
      </c>
      <c r="L178" s="40">
        <v>11</v>
      </c>
      <c r="M178" s="40">
        <v>12</v>
      </c>
      <c r="N178" s="40">
        <v>13</v>
      </c>
      <c r="O178" s="40">
        <v>14</v>
      </c>
      <c r="P178" s="40">
        <v>15</v>
      </c>
      <c r="Q178" s="40">
        <v>17</v>
      </c>
      <c r="R178" s="40">
        <v>20</v>
      </c>
      <c r="S178" s="40">
        <v>23</v>
      </c>
      <c r="T178" s="40">
        <v>25</v>
      </c>
      <c r="U178" s="40">
        <v>27</v>
      </c>
      <c r="V178" s="40">
        <v>28</v>
      </c>
      <c r="W178" s="40">
        <v>29</v>
      </c>
      <c r="X178" s="40">
        <v>26</v>
      </c>
      <c r="Y178" s="40">
        <v>24</v>
      </c>
      <c r="Z178" s="40">
        <v>22</v>
      </c>
      <c r="AA178" s="40">
        <v>4</v>
      </c>
      <c r="AB178" s="19" t="s">
        <v>3</v>
      </c>
      <c r="AC178" s="19" t="s">
        <v>3</v>
      </c>
      <c r="AD178" s="19" t="s">
        <v>3</v>
      </c>
      <c r="AE178" s="19" t="s">
        <v>3</v>
      </c>
      <c r="AF178" s="19" t="s">
        <v>3</v>
      </c>
      <c r="AG178" s="19" t="s">
        <v>3</v>
      </c>
      <c r="AH178" s="19" t="s">
        <v>3</v>
      </c>
      <c r="AI178" s="19" t="s">
        <v>3</v>
      </c>
      <c r="AJ178" s="19" t="s">
        <v>3</v>
      </c>
      <c r="AK178" s="19" t="s">
        <v>3</v>
      </c>
      <c r="AL178" s="19" t="s">
        <v>3</v>
      </c>
      <c r="AM178" s="19" t="s">
        <v>3</v>
      </c>
      <c r="AN178" s="19" t="s">
        <v>3</v>
      </c>
      <c r="AO178" s="19" t="s">
        <v>3</v>
      </c>
      <c r="AP178" s="19" t="s">
        <v>3</v>
      </c>
      <c r="AQ178" s="19" t="s">
        <v>3</v>
      </c>
      <c r="AR178" s="19" t="s">
        <v>3</v>
      </c>
      <c r="AS178" s="19" t="s">
        <v>3</v>
      </c>
      <c r="AT178" s="223" t="s">
        <v>3</v>
      </c>
      <c r="AU178" s="223" t="s">
        <v>3</v>
      </c>
      <c r="AV178" s="223" t="s">
        <v>3</v>
      </c>
      <c r="AW178" s="223" t="s">
        <v>3</v>
      </c>
      <c r="AX178" s="223" t="s">
        <v>3</v>
      </c>
      <c r="AY178" s="223" t="s">
        <v>3</v>
      </c>
      <c r="AZ178" s="223" t="s">
        <v>3</v>
      </c>
      <c r="BA178" s="380" t="s">
        <v>3</v>
      </c>
      <c r="BB178" s="380" t="s">
        <v>3</v>
      </c>
      <c r="BC178" s="380" t="s">
        <v>3</v>
      </c>
      <c r="BD178" s="554" t="s">
        <v>3</v>
      </c>
      <c r="BE178" s="554" t="s">
        <v>3</v>
      </c>
      <c r="BF178" s="554" t="s">
        <v>3</v>
      </c>
      <c r="BG178" s="554" t="s">
        <v>3</v>
      </c>
      <c r="BH178" s="554" t="s">
        <v>3</v>
      </c>
      <c r="BI178" s="419" t="s">
        <v>9</v>
      </c>
      <c r="BJ178" s="419" t="s">
        <v>9</v>
      </c>
      <c r="BK178" s="571"/>
      <c r="BL178" s="571"/>
    </row>
    <row r="179" spans="1:64" ht="6" customHeight="1">
      <c r="A179" s="125"/>
      <c r="B179"/>
      <c r="C179"/>
      <c r="D179"/>
      <c r="E179"/>
      <c r="F179"/>
      <c r="G179"/>
      <c r="H179"/>
      <c r="I179"/>
      <c r="J179"/>
      <c r="K179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12"/>
      <c r="AJ179" s="12"/>
      <c r="AK179" s="12"/>
      <c r="AL179" s="6"/>
      <c r="AM179" s="26"/>
      <c r="AN179" s="26"/>
      <c r="AO179" s="26"/>
      <c r="AP179" s="26"/>
      <c r="AQ179" s="26"/>
      <c r="AR179" s="26"/>
      <c r="AS179" s="26"/>
      <c r="AT179" s="161"/>
      <c r="AU179" s="161"/>
      <c r="AV179" s="161"/>
      <c r="AW179" s="161"/>
      <c r="AX179" s="161"/>
      <c r="AY179" s="161"/>
      <c r="AZ179" s="305"/>
      <c r="BA179" s="320"/>
      <c r="BB179" s="320"/>
      <c r="BC179" s="305"/>
      <c r="BD179" s="374"/>
      <c r="BE179" s="538"/>
      <c r="BF179" s="538"/>
      <c r="BG179" s="374"/>
      <c r="BH179" s="374"/>
      <c r="BI179" s="385"/>
      <c r="BJ179" s="385"/>
      <c r="BK179" s="571"/>
      <c r="BL179" s="571"/>
    </row>
    <row r="180" spans="1:64" ht="11.1" customHeight="1">
      <c r="A180" s="129" t="s">
        <v>149</v>
      </c>
      <c r="B180" s="28">
        <v>1</v>
      </c>
      <c r="C180" s="28">
        <v>1</v>
      </c>
      <c r="D180" s="28">
        <v>1</v>
      </c>
      <c r="E180" s="28">
        <v>1</v>
      </c>
      <c r="F180" s="28">
        <v>1</v>
      </c>
      <c r="G180" s="28">
        <v>1</v>
      </c>
      <c r="H180" s="28">
        <v>1</v>
      </c>
      <c r="I180" s="28">
        <v>1</v>
      </c>
      <c r="J180" s="28">
        <v>2</v>
      </c>
      <c r="K180" s="28">
        <v>2</v>
      </c>
      <c r="L180" s="83">
        <v>2</v>
      </c>
      <c r="M180" s="83">
        <v>3</v>
      </c>
      <c r="N180" s="83">
        <v>3</v>
      </c>
      <c r="O180" s="83">
        <v>3</v>
      </c>
      <c r="P180" s="83">
        <v>3</v>
      </c>
      <c r="Q180" s="83">
        <v>1</v>
      </c>
      <c r="R180" s="83">
        <v>11</v>
      </c>
      <c r="S180" s="83">
        <v>13</v>
      </c>
      <c r="T180" s="83">
        <v>14</v>
      </c>
      <c r="U180" s="83">
        <v>15</v>
      </c>
      <c r="V180" s="83">
        <v>16</v>
      </c>
      <c r="W180" s="83">
        <v>18</v>
      </c>
      <c r="X180" s="83">
        <v>21</v>
      </c>
      <c r="Y180" s="83">
        <v>23</v>
      </c>
      <c r="Z180" s="83">
        <v>25</v>
      </c>
      <c r="AA180" s="83">
        <v>28</v>
      </c>
      <c r="AB180" s="83">
        <v>28</v>
      </c>
      <c r="AC180" s="83">
        <v>29</v>
      </c>
      <c r="AD180" s="83">
        <v>32</v>
      </c>
      <c r="AE180" s="83">
        <v>34</v>
      </c>
      <c r="AF180" s="83">
        <v>36</v>
      </c>
      <c r="AG180" s="83">
        <v>44</v>
      </c>
      <c r="AH180" s="83">
        <v>47</v>
      </c>
      <c r="AI180" s="83">
        <v>48</v>
      </c>
      <c r="AJ180" s="83">
        <v>47</v>
      </c>
      <c r="AK180" s="83">
        <v>50</v>
      </c>
      <c r="AL180" s="100">
        <v>50</v>
      </c>
      <c r="AM180" s="100">
        <v>53</v>
      </c>
      <c r="AN180" s="55">
        <v>59</v>
      </c>
      <c r="AO180" s="55">
        <v>61</v>
      </c>
      <c r="AP180" s="55">
        <v>62</v>
      </c>
      <c r="AQ180" s="55">
        <v>68</v>
      </c>
      <c r="AR180" s="55">
        <v>72</v>
      </c>
      <c r="AS180" s="55">
        <v>83</v>
      </c>
      <c r="AT180" s="33">
        <v>91</v>
      </c>
      <c r="AU180" s="33">
        <v>94</v>
      </c>
      <c r="AV180" s="33">
        <v>100</v>
      </c>
      <c r="AW180" s="33">
        <v>98</v>
      </c>
      <c r="AX180" s="33">
        <v>103</v>
      </c>
      <c r="AY180" s="33">
        <v>129</v>
      </c>
      <c r="AZ180" s="33">
        <v>167</v>
      </c>
      <c r="BA180" s="356">
        <v>188</v>
      </c>
      <c r="BB180" s="356">
        <v>203</v>
      </c>
      <c r="BC180" s="356">
        <f>222+1</f>
        <v>223</v>
      </c>
      <c r="BD180" s="367">
        <v>203</v>
      </c>
      <c r="BE180" s="367">
        <v>229</v>
      </c>
      <c r="BF180" s="367">
        <v>246</v>
      </c>
      <c r="BG180" s="367">
        <v>278</v>
      </c>
      <c r="BH180" s="367">
        <v>272</v>
      </c>
      <c r="BI180" s="385">
        <f>(BG180-BF180)/BF180</f>
        <v>0.13008130081300814</v>
      </c>
      <c r="BJ180" s="385">
        <f>(BH180-BG180)/BG180</f>
        <v>-2.1582733812949641E-2</v>
      </c>
      <c r="BK180" s="569">
        <f>BG180-BF180</f>
        <v>32</v>
      </c>
      <c r="BL180" s="569">
        <f>BH180-BG180</f>
        <v>-6</v>
      </c>
    </row>
    <row r="181" spans="1:64" ht="6" customHeight="1">
      <c r="A181" s="125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6"/>
      <c r="AM181" s="26"/>
      <c r="AN181" s="55"/>
      <c r="AO181" s="55"/>
      <c r="AP181" s="55"/>
      <c r="AQ181" s="55"/>
      <c r="AR181" s="55"/>
      <c r="AS181" s="55"/>
      <c r="AT181" s="55"/>
      <c r="AU181" s="55"/>
      <c r="AV181" s="33"/>
      <c r="AW181" s="33"/>
      <c r="AX181" s="33"/>
      <c r="AY181" s="33"/>
      <c r="AZ181" s="303"/>
      <c r="BA181" s="356"/>
      <c r="BB181" s="324"/>
      <c r="BC181" s="303"/>
      <c r="BD181" s="367"/>
      <c r="BE181" s="540"/>
      <c r="BF181" s="540"/>
      <c r="BG181" s="367"/>
      <c r="BH181" s="367"/>
      <c r="BI181" s="329"/>
      <c r="BJ181" s="329"/>
      <c r="BK181" s="570"/>
      <c r="BL181" s="570"/>
    </row>
    <row r="182" spans="1:64" ht="11.1" customHeight="1">
      <c r="A182" s="125" t="s">
        <v>24</v>
      </c>
      <c r="B182" s="28">
        <v>11</v>
      </c>
      <c r="C182" s="28">
        <v>14</v>
      </c>
      <c r="D182" s="28">
        <v>13</v>
      </c>
      <c r="E182" s="28">
        <v>15</v>
      </c>
      <c r="F182" s="28">
        <v>17</v>
      </c>
      <c r="G182" s="28">
        <v>17</v>
      </c>
      <c r="H182" s="28">
        <v>17</v>
      </c>
      <c r="I182" s="28">
        <v>18</v>
      </c>
      <c r="J182" s="28">
        <v>19</v>
      </c>
      <c r="K182" s="28">
        <v>20</v>
      </c>
      <c r="L182" s="12">
        <v>24</v>
      </c>
      <c r="M182" s="12">
        <v>27</v>
      </c>
      <c r="N182" s="12">
        <v>29</v>
      </c>
      <c r="O182" s="12">
        <v>34</v>
      </c>
      <c r="P182" s="12">
        <v>38</v>
      </c>
      <c r="Q182" s="12">
        <v>48</v>
      </c>
      <c r="R182" s="12">
        <v>53</v>
      </c>
      <c r="S182" s="12">
        <v>56</v>
      </c>
      <c r="T182" s="12">
        <v>64</v>
      </c>
      <c r="U182" s="12">
        <v>70</v>
      </c>
      <c r="V182" s="12">
        <v>76</v>
      </c>
      <c r="W182" s="12">
        <v>81</v>
      </c>
      <c r="X182" s="12">
        <v>80</v>
      </c>
      <c r="Y182" s="12">
        <v>82</v>
      </c>
      <c r="Z182" s="12">
        <v>87</v>
      </c>
      <c r="AA182" s="12">
        <v>94</v>
      </c>
      <c r="AB182" s="12">
        <v>93</v>
      </c>
      <c r="AC182" s="12">
        <v>92</v>
      </c>
      <c r="AD182" s="12">
        <v>101</v>
      </c>
      <c r="AE182" s="12">
        <v>100</v>
      </c>
      <c r="AF182" s="12">
        <v>108</v>
      </c>
      <c r="AG182" s="12">
        <v>114</v>
      </c>
      <c r="AH182" s="12">
        <v>129</v>
      </c>
      <c r="AI182" s="12">
        <v>133</v>
      </c>
      <c r="AJ182" s="12">
        <v>158</v>
      </c>
      <c r="AK182" s="12">
        <v>198</v>
      </c>
      <c r="AL182" s="70">
        <v>195</v>
      </c>
      <c r="AM182" s="70">
        <v>213</v>
      </c>
      <c r="AN182" s="55">
        <v>222</v>
      </c>
      <c r="AO182" s="55">
        <v>231</v>
      </c>
      <c r="AP182" s="55">
        <v>269</v>
      </c>
      <c r="AQ182" s="55">
        <v>296</v>
      </c>
      <c r="AR182" s="55">
        <v>336</v>
      </c>
      <c r="AS182" s="55">
        <v>351</v>
      </c>
      <c r="AT182" s="55">
        <v>364</v>
      </c>
      <c r="AU182" s="55">
        <v>362</v>
      </c>
      <c r="AV182" s="33">
        <v>363</v>
      </c>
      <c r="AW182" s="33">
        <v>372</v>
      </c>
      <c r="AX182" s="33">
        <v>391</v>
      </c>
      <c r="AY182" s="33">
        <v>434</v>
      </c>
      <c r="AZ182" s="33">
        <v>434</v>
      </c>
      <c r="BA182" s="356">
        <v>415</v>
      </c>
      <c r="BB182" s="356">
        <v>428</v>
      </c>
      <c r="BC182" s="356">
        <v>440</v>
      </c>
      <c r="BD182" s="367">
        <v>433</v>
      </c>
      <c r="BE182" s="367">
        <v>452</v>
      </c>
      <c r="BF182" s="367">
        <v>459</v>
      </c>
      <c r="BG182" s="367">
        <v>504</v>
      </c>
      <c r="BH182" s="367">
        <v>446</v>
      </c>
      <c r="BI182" s="385">
        <f>(BG182-BF182)/BF182</f>
        <v>9.8039215686274508E-2</v>
      </c>
      <c r="BJ182" s="385">
        <f>(BH182-BG182)/BG182</f>
        <v>-0.11507936507936507</v>
      </c>
      <c r="BK182" s="569">
        <f>BG182-BF182</f>
        <v>45</v>
      </c>
      <c r="BL182" s="569">
        <f>BH182-BG182</f>
        <v>-58</v>
      </c>
    </row>
    <row r="183" spans="1:64" ht="6" customHeight="1">
      <c r="A183" s="125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6"/>
      <c r="AM183" s="26"/>
      <c r="AN183" s="55"/>
      <c r="AO183" s="65"/>
      <c r="AP183" s="65"/>
      <c r="AQ183" s="65"/>
      <c r="AR183" s="65"/>
      <c r="AS183" s="65"/>
      <c r="AT183" s="65"/>
      <c r="AU183" s="65"/>
      <c r="AV183" s="104"/>
      <c r="AW183" s="104"/>
      <c r="AX183" s="104"/>
      <c r="AY183" s="104"/>
      <c r="AZ183" s="304"/>
      <c r="BA183" s="357"/>
      <c r="BB183" s="323"/>
      <c r="BC183" s="335"/>
      <c r="BD183" s="370"/>
      <c r="BE183" s="545"/>
      <c r="BF183" s="545"/>
      <c r="BG183" s="370"/>
      <c r="BH183" s="370"/>
      <c r="BI183" s="329"/>
      <c r="BJ183" s="329"/>
      <c r="BK183" s="570"/>
      <c r="BL183" s="570"/>
    </row>
    <row r="184" spans="1:64" ht="11.1" customHeight="1">
      <c r="A184" s="125" t="s">
        <v>25</v>
      </c>
      <c r="B184" s="30" t="s">
        <v>3</v>
      </c>
      <c r="C184" s="30" t="s">
        <v>3</v>
      </c>
      <c r="D184" s="28">
        <v>1</v>
      </c>
      <c r="E184" s="28">
        <v>2</v>
      </c>
      <c r="F184" s="28">
        <v>3</v>
      </c>
      <c r="G184" s="28">
        <v>3</v>
      </c>
      <c r="H184" s="28">
        <v>3</v>
      </c>
      <c r="I184" s="28">
        <v>3</v>
      </c>
      <c r="J184" s="28">
        <v>4</v>
      </c>
      <c r="K184" s="28">
        <v>4</v>
      </c>
      <c r="L184" s="12">
        <v>4</v>
      </c>
      <c r="M184" s="12">
        <v>5</v>
      </c>
      <c r="N184" s="12">
        <v>5</v>
      </c>
      <c r="O184" s="12">
        <v>5</v>
      </c>
      <c r="P184" s="12">
        <v>6</v>
      </c>
      <c r="Q184" s="12">
        <v>7</v>
      </c>
      <c r="R184" s="12">
        <v>8</v>
      </c>
      <c r="S184" s="12">
        <v>8</v>
      </c>
      <c r="T184" s="12">
        <v>9</v>
      </c>
      <c r="U184" s="12">
        <v>10</v>
      </c>
      <c r="V184" s="12">
        <v>11</v>
      </c>
      <c r="W184" s="12">
        <v>12</v>
      </c>
      <c r="X184" s="12">
        <v>11</v>
      </c>
      <c r="Y184" s="12">
        <v>12</v>
      </c>
      <c r="Z184" s="12">
        <v>11</v>
      </c>
      <c r="AA184" s="12">
        <v>12</v>
      </c>
      <c r="AB184" s="12">
        <v>12</v>
      </c>
      <c r="AC184" s="12">
        <v>12</v>
      </c>
      <c r="AD184" s="12">
        <v>13</v>
      </c>
      <c r="AE184" s="12">
        <v>14</v>
      </c>
      <c r="AF184" s="12">
        <v>15</v>
      </c>
      <c r="AG184" s="12">
        <v>17</v>
      </c>
      <c r="AH184" s="12">
        <v>17</v>
      </c>
      <c r="AI184" s="12">
        <v>18</v>
      </c>
      <c r="AJ184" s="12">
        <v>18</v>
      </c>
      <c r="AK184" s="12">
        <v>19</v>
      </c>
      <c r="AL184" s="6">
        <v>16</v>
      </c>
      <c r="AM184" s="26">
        <v>14</v>
      </c>
      <c r="AN184" s="26">
        <v>14</v>
      </c>
      <c r="AO184" s="26">
        <v>14</v>
      </c>
      <c r="AP184" s="26">
        <v>14</v>
      </c>
      <c r="AQ184" s="26">
        <v>15</v>
      </c>
      <c r="AR184" s="26">
        <v>17</v>
      </c>
      <c r="AS184" s="26">
        <v>17</v>
      </c>
      <c r="AT184" s="26">
        <v>18</v>
      </c>
      <c r="AU184" s="26">
        <v>19</v>
      </c>
      <c r="AV184" s="161">
        <v>20</v>
      </c>
      <c r="AW184" s="161">
        <v>20</v>
      </c>
      <c r="AX184" s="161">
        <v>21</v>
      </c>
      <c r="AY184" s="161">
        <v>22</v>
      </c>
      <c r="AZ184" s="161">
        <v>24</v>
      </c>
      <c r="BA184" s="320">
        <v>25</v>
      </c>
      <c r="BB184" s="320">
        <v>23</v>
      </c>
      <c r="BC184" s="320">
        <v>24</v>
      </c>
      <c r="BD184" s="374">
        <v>23</v>
      </c>
      <c r="BE184" s="374">
        <v>25</v>
      </c>
      <c r="BF184" s="374">
        <v>26</v>
      </c>
      <c r="BG184" s="374">
        <v>26</v>
      </c>
      <c r="BH184" s="374">
        <v>26</v>
      </c>
      <c r="BI184" s="385">
        <f>(BG184-BF184)/BF184</f>
        <v>0</v>
      </c>
      <c r="BJ184" s="385">
        <f>(BH184-BG184)/BG184</f>
        <v>0</v>
      </c>
      <c r="BK184" s="569">
        <f>BG184-BF184</f>
        <v>0</v>
      </c>
      <c r="BL184" s="569">
        <f>BH184-BG184</f>
        <v>0</v>
      </c>
    </row>
    <row r="185" spans="1:64" ht="6" customHeight="1">
      <c r="A185" s="125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6"/>
      <c r="AM185" s="26"/>
      <c r="AN185" s="26"/>
      <c r="AO185" s="26"/>
      <c r="AP185" s="26"/>
      <c r="AQ185" s="26"/>
      <c r="AR185" s="26"/>
      <c r="AS185" s="26"/>
      <c r="AT185" s="26"/>
      <c r="AU185" s="26"/>
      <c r="AV185" s="161"/>
      <c r="AW185" s="161"/>
      <c r="AX185" s="161"/>
      <c r="AY185" s="161"/>
      <c r="AZ185" s="305"/>
      <c r="BA185" s="320"/>
      <c r="BB185" s="327"/>
      <c r="BC185" s="305"/>
      <c r="BD185" s="374"/>
      <c r="BE185" s="538"/>
      <c r="BF185" s="538"/>
      <c r="BG185" s="374"/>
      <c r="BH185" s="374"/>
      <c r="BI185" s="329"/>
      <c r="BJ185" s="329"/>
      <c r="BK185" s="570"/>
      <c r="BL185" s="570"/>
    </row>
    <row r="186" spans="1:64" ht="11.1" customHeight="1">
      <c r="A186" s="294" t="s">
        <v>150</v>
      </c>
      <c r="B186" s="28">
        <v>20</v>
      </c>
      <c r="C186" s="28">
        <v>21</v>
      </c>
      <c r="D186" s="28">
        <v>22</v>
      </c>
      <c r="E186" s="28">
        <v>24</v>
      </c>
      <c r="F186" s="28">
        <v>24</v>
      </c>
      <c r="G186" s="28">
        <v>26</v>
      </c>
      <c r="H186" s="28">
        <v>22</v>
      </c>
      <c r="I186" s="28">
        <v>27</v>
      </c>
      <c r="J186" s="28">
        <v>24</v>
      </c>
      <c r="K186" s="28">
        <v>25</v>
      </c>
      <c r="L186" s="12">
        <v>27</v>
      </c>
      <c r="M186" s="12">
        <v>28</v>
      </c>
      <c r="N186" s="12">
        <v>31</v>
      </c>
      <c r="O186" s="12">
        <v>33</v>
      </c>
      <c r="P186" s="12">
        <v>38</v>
      </c>
      <c r="Q186" s="12">
        <v>46</v>
      </c>
      <c r="R186" s="12">
        <v>51</v>
      </c>
      <c r="S186" s="12">
        <v>59</v>
      </c>
      <c r="T186" s="12">
        <v>65</v>
      </c>
      <c r="U186" s="12">
        <v>67</v>
      </c>
      <c r="V186" s="12">
        <v>80</v>
      </c>
      <c r="W186" s="12">
        <v>76</v>
      </c>
      <c r="X186" s="12">
        <v>67</v>
      </c>
      <c r="Y186" s="12">
        <v>62</v>
      </c>
      <c r="Z186" s="12">
        <v>57</v>
      </c>
      <c r="AA186" s="12">
        <v>50</v>
      </c>
      <c r="AB186" s="12">
        <v>46</v>
      </c>
      <c r="AC186" s="12">
        <v>43</v>
      </c>
      <c r="AD186" s="12">
        <v>43</v>
      </c>
      <c r="AE186" s="12">
        <v>44</v>
      </c>
      <c r="AF186" s="12">
        <v>43</v>
      </c>
      <c r="AG186" s="12">
        <v>45</v>
      </c>
      <c r="AH186" s="12">
        <v>46</v>
      </c>
      <c r="AI186" s="12">
        <v>48</v>
      </c>
      <c r="AJ186" s="12">
        <v>50</v>
      </c>
      <c r="AK186" s="12">
        <v>45</v>
      </c>
      <c r="AL186" s="6">
        <v>11</v>
      </c>
      <c r="AM186" s="72" t="s">
        <v>3</v>
      </c>
      <c r="AN186" s="19" t="s">
        <v>3</v>
      </c>
      <c r="AO186" s="19" t="s">
        <v>3</v>
      </c>
      <c r="AP186" s="19" t="s">
        <v>3</v>
      </c>
      <c r="AQ186" s="19" t="s">
        <v>3</v>
      </c>
      <c r="AR186" s="19" t="s">
        <v>3</v>
      </c>
      <c r="AS186" s="19" t="s">
        <v>3</v>
      </c>
      <c r="AT186" s="19" t="s">
        <v>3</v>
      </c>
      <c r="AU186" s="19" t="s">
        <v>3</v>
      </c>
      <c r="AV186" s="223" t="s">
        <v>3</v>
      </c>
      <c r="AW186" s="223" t="s">
        <v>3</v>
      </c>
      <c r="AX186" s="223" t="s">
        <v>3</v>
      </c>
      <c r="AY186" s="223" t="s">
        <v>3</v>
      </c>
      <c r="AZ186" s="223" t="s">
        <v>3</v>
      </c>
      <c r="BA186" s="380" t="s">
        <v>3</v>
      </c>
      <c r="BB186" s="380" t="s">
        <v>3</v>
      </c>
      <c r="BC186" s="380" t="s">
        <v>3</v>
      </c>
      <c r="BD186" s="554" t="s">
        <v>3</v>
      </c>
      <c r="BE186" s="554" t="s">
        <v>3</v>
      </c>
      <c r="BF186" s="554" t="s">
        <v>3</v>
      </c>
      <c r="BG186" s="554" t="s">
        <v>3</v>
      </c>
      <c r="BH186" s="554" t="s">
        <v>3</v>
      </c>
      <c r="BI186" s="419" t="s">
        <v>9</v>
      </c>
      <c r="BJ186" s="419" t="s">
        <v>9</v>
      </c>
      <c r="BK186" s="571"/>
      <c r="BL186" s="571"/>
    </row>
    <row r="187" spans="1:64" ht="6" customHeight="1">
      <c r="A187" s="125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6"/>
      <c r="AM187" s="26"/>
      <c r="AN187" s="26"/>
      <c r="AO187" s="26"/>
      <c r="AP187" s="26"/>
      <c r="AQ187" s="26"/>
      <c r="AR187" s="26"/>
      <c r="AS187" s="26"/>
      <c r="AT187" s="26"/>
      <c r="AU187" s="26"/>
      <c r="AV187" s="161"/>
      <c r="AW187" s="161"/>
      <c r="AX187" s="161"/>
      <c r="AY187" s="161"/>
      <c r="AZ187" s="305"/>
      <c r="BA187" s="320"/>
      <c r="BB187" s="320"/>
      <c r="BC187" s="305"/>
      <c r="BD187" s="374"/>
      <c r="BE187" s="374"/>
      <c r="BF187" s="374"/>
      <c r="BG187" s="374"/>
      <c r="BH187" s="374"/>
      <c r="BI187" s="385"/>
      <c r="BJ187" s="385"/>
      <c r="BK187" s="571"/>
      <c r="BL187" s="571"/>
    </row>
    <row r="188" spans="1:64" ht="11.1" customHeight="1">
      <c r="A188" s="129" t="s">
        <v>151</v>
      </c>
      <c r="B188" s="28">
        <v>3</v>
      </c>
      <c r="C188" s="28">
        <v>3</v>
      </c>
      <c r="D188" s="28">
        <v>3</v>
      </c>
      <c r="E188" s="28">
        <v>2</v>
      </c>
      <c r="F188" s="28">
        <v>3</v>
      </c>
      <c r="G188" s="28">
        <v>3</v>
      </c>
      <c r="H188" s="28">
        <v>2</v>
      </c>
      <c r="I188" s="28">
        <v>3</v>
      </c>
      <c r="J188" s="28">
        <v>3</v>
      </c>
      <c r="K188" s="28">
        <v>3</v>
      </c>
      <c r="L188" s="14">
        <v>4</v>
      </c>
      <c r="M188" s="14">
        <v>5</v>
      </c>
      <c r="N188" s="14">
        <v>5</v>
      </c>
      <c r="O188" s="14">
        <v>5</v>
      </c>
      <c r="P188" s="14">
        <v>5</v>
      </c>
      <c r="Q188" s="14">
        <v>5</v>
      </c>
      <c r="R188" s="14">
        <v>6</v>
      </c>
      <c r="S188" s="14">
        <v>6</v>
      </c>
      <c r="T188" s="14">
        <v>6</v>
      </c>
      <c r="U188" s="14">
        <v>4</v>
      </c>
      <c r="V188" s="49" t="s">
        <v>10</v>
      </c>
      <c r="W188" s="49" t="s">
        <v>3</v>
      </c>
      <c r="X188" s="49" t="s">
        <v>3</v>
      </c>
      <c r="Y188" s="49" t="s">
        <v>3</v>
      </c>
      <c r="Z188" s="49" t="s">
        <v>3</v>
      </c>
      <c r="AA188" s="49" t="s">
        <v>3</v>
      </c>
      <c r="AB188" s="49" t="s">
        <v>3</v>
      </c>
      <c r="AC188" s="49" t="s">
        <v>3</v>
      </c>
      <c r="AD188" s="49" t="s">
        <v>3</v>
      </c>
      <c r="AE188" s="49" t="s">
        <v>3</v>
      </c>
      <c r="AF188" s="49" t="s">
        <v>3</v>
      </c>
      <c r="AG188" s="49" t="s">
        <v>3</v>
      </c>
      <c r="AH188" s="49" t="s">
        <v>3</v>
      </c>
      <c r="AI188" s="49" t="s">
        <v>3</v>
      </c>
      <c r="AJ188" s="49" t="s">
        <v>3</v>
      </c>
      <c r="AK188" s="49" t="s">
        <v>3</v>
      </c>
      <c r="AL188" s="49" t="s">
        <v>3</v>
      </c>
      <c r="AM188" s="49" t="s">
        <v>3</v>
      </c>
      <c r="AN188" s="49" t="s">
        <v>3</v>
      </c>
      <c r="AO188" s="49" t="s">
        <v>3</v>
      </c>
      <c r="AP188" s="49" t="s">
        <v>3</v>
      </c>
      <c r="AQ188" s="49" t="s">
        <v>3</v>
      </c>
      <c r="AR188" s="49" t="s">
        <v>3</v>
      </c>
      <c r="AS188" s="49" t="s">
        <v>3</v>
      </c>
      <c r="AT188" s="49" t="s">
        <v>3</v>
      </c>
      <c r="AU188" s="49" t="s">
        <v>3</v>
      </c>
      <c r="AV188" s="225" t="s">
        <v>3</v>
      </c>
      <c r="AW188" s="225" t="s">
        <v>3</v>
      </c>
      <c r="AX188" s="225" t="s">
        <v>3</v>
      </c>
      <c r="AY188" s="225" t="s">
        <v>3</v>
      </c>
      <c r="AZ188" s="263" t="s">
        <v>3</v>
      </c>
      <c r="BA188" s="383" t="s">
        <v>3</v>
      </c>
      <c r="BB188" s="383" t="s">
        <v>3</v>
      </c>
      <c r="BC188" s="383" t="s">
        <v>3</v>
      </c>
      <c r="BD188" s="553" t="s">
        <v>3</v>
      </c>
      <c r="BE188" s="553" t="s">
        <v>3</v>
      </c>
      <c r="BF188" s="553" t="s">
        <v>3</v>
      </c>
      <c r="BG188" s="553" t="s">
        <v>3</v>
      </c>
      <c r="BH188" s="553" t="s">
        <v>3</v>
      </c>
      <c r="BI188" s="419" t="s">
        <v>9</v>
      </c>
      <c r="BJ188" s="419" t="s">
        <v>9</v>
      </c>
      <c r="BK188" s="571"/>
      <c r="BL188" s="571"/>
    </row>
    <row r="189" spans="1:64" ht="11.1" customHeight="1" thickBot="1">
      <c r="A189" s="128" t="s">
        <v>48</v>
      </c>
      <c r="B189" s="141">
        <f>B165+B173+B178+B180+B182+B186+B188</f>
        <v>91</v>
      </c>
      <c r="C189" s="141">
        <f>C165+C173+C178+C180+C182+C186+C188</f>
        <v>109</v>
      </c>
      <c r="D189" s="141">
        <f t="shared" ref="D189:S189" si="82">D165+D173+D178+D180+D182+D184+D186+D188</f>
        <v>107</v>
      </c>
      <c r="E189" s="141">
        <f t="shared" si="82"/>
        <v>130</v>
      </c>
      <c r="F189" s="141">
        <f t="shared" si="82"/>
        <v>145</v>
      </c>
      <c r="G189" s="141">
        <f t="shared" si="82"/>
        <v>182</v>
      </c>
      <c r="H189" s="141">
        <f t="shared" si="82"/>
        <v>177</v>
      </c>
      <c r="I189" s="141">
        <f t="shared" si="82"/>
        <v>199</v>
      </c>
      <c r="J189" s="141">
        <f t="shared" si="82"/>
        <v>210</v>
      </c>
      <c r="K189" s="141">
        <f t="shared" si="82"/>
        <v>233</v>
      </c>
      <c r="L189" s="141">
        <f t="shared" si="82"/>
        <v>276</v>
      </c>
      <c r="M189" s="141">
        <f t="shared" si="82"/>
        <v>310</v>
      </c>
      <c r="N189" s="141">
        <f t="shared" si="82"/>
        <v>308</v>
      </c>
      <c r="O189" s="141">
        <f t="shared" si="82"/>
        <v>201</v>
      </c>
      <c r="P189" s="141">
        <f t="shared" si="82"/>
        <v>261</v>
      </c>
      <c r="Q189" s="141">
        <f t="shared" si="82"/>
        <v>375</v>
      </c>
      <c r="R189" s="141">
        <f t="shared" si="82"/>
        <v>423</v>
      </c>
      <c r="S189" s="141">
        <f t="shared" si="82"/>
        <v>409</v>
      </c>
      <c r="T189" s="141">
        <f>T165+T168+T173+T178+T180+T182+T184+T186+T188</f>
        <v>355</v>
      </c>
      <c r="U189" s="141">
        <f>U165+U168+U173+U178+U180+U182+U184+U186+U188</f>
        <v>389</v>
      </c>
      <c r="V189" s="141">
        <f t="shared" ref="V189:AA189" si="83">V165+V168+V173+V178+V180+V182+V184+V186</f>
        <v>486</v>
      </c>
      <c r="W189" s="141">
        <f t="shared" si="83"/>
        <v>461</v>
      </c>
      <c r="X189" s="141">
        <f t="shared" si="83"/>
        <v>496</v>
      </c>
      <c r="Y189" s="141">
        <f t="shared" si="83"/>
        <v>497</v>
      </c>
      <c r="Z189" s="141">
        <f t="shared" si="83"/>
        <v>472</v>
      </c>
      <c r="AA189" s="141">
        <f t="shared" si="83"/>
        <v>471</v>
      </c>
      <c r="AB189" s="141">
        <f>AB165+AB168+AB173+AB180+AB182+AB184+AB186</f>
        <v>473</v>
      </c>
      <c r="AC189" s="141">
        <f>AC165+AC168+AC173+AC180+AC182+AC184+AC186</f>
        <v>436</v>
      </c>
      <c r="AD189" s="141">
        <f>AD165+AD168+AD173+AD180+AD182+AD184+AD186</f>
        <v>479</v>
      </c>
      <c r="AE189" s="141">
        <f>AE165+AE168+AE173+AE180+AE182+AE184+AE186</f>
        <v>491</v>
      </c>
      <c r="AF189" s="141">
        <f>AF165+AF168+AF173+AF180+AF182+AF184+AF186</f>
        <v>513</v>
      </c>
      <c r="AG189" s="141">
        <f t="shared" ref="AG189:AL189" si="84">AG165+AG168+AG173+AG176+AG180+AG182+AG184+AG186</f>
        <v>556</v>
      </c>
      <c r="AH189" s="141">
        <f t="shared" si="84"/>
        <v>608</v>
      </c>
      <c r="AI189" s="141">
        <f t="shared" si="84"/>
        <v>650</v>
      </c>
      <c r="AJ189" s="141">
        <f t="shared" si="84"/>
        <v>662</v>
      </c>
      <c r="AK189" s="141">
        <f t="shared" si="84"/>
        <v>728</v>
      </c>
      <c r="AL189" s="141">
        <f t="shared" si="84"/>
        <v>670</v>
      </c>
      <c r="AM189" s="141">
        <f t="shared" ref="AM189:BG189" si="85">AM165+AM168+AM173+AM176+AM180+AM182+AM184</f>
        <v>655</v>
      </c>
      <c r="AN189" s="141">
        <f t="shared" si="85"/>
        <v>690</v>
      </c>
      <c r="AO189" s="141">
        <f t="shared" si="85"/>
        <v>735</v>
      </c>
      <c r="AP189" s="141">
        <f t="shared" si="85"/>
        <v>752</v>
      </c>
      <c r="AQ189" s="141">
        <f t="shared" si="85"/>
        <v>825</v>
      </c>
      <c r="AR189" s="141">
        <f t="shared" si="85"/>
        <v>877</v>
      </c>
      <c r="AS189" s="141">
        <f t="shared" si="85"/>
        <v>880</v>
      </c>
      <c r="AT189" s="141">
        <f t="shared" si="85"/>
        <v>984</v>
      </c>
      <c r="AU189" s="141">
        <f t="shared" si="85"/>
        <v>996</v>
      </c>
      <c r="AV189" s="141">
        <f t="shared" si="85"/>
        <v>1061</v>
      </c>
      <c r="AW189" s="141">
        <f t="shared" si="85"/>
        <v>1037.5945945945946</v>
      </c>
      <c r="AX189" s="141">
        <f t="shared" si="85"/>
        <v>1130</v>
      </c>
      <c r="AY189" s="141">
        <f t="shared" si="85"/>
        <v>1229</v>
      </c>
      <c r="AZ189" s="141">
        <f t="shared" si="85"/>
        <v>1271</v>
      </c>
      <c r="BA189" s="141">
        <f t="shared" si="85"/>
        <v>1312</v>
      </c>
      <c r="BB189" s="141">
        <f t="shared" si="85"/>
        <v>1349</v>
      </c>
      <c r="BC189" s="371">
        <f t="shared" si="85"/>
        <v>1387</v>
      </c>
      <c r="BD189" s="409">
        <f t="shared" si="85"/>
        <v>1380</v>
      </c>
      <c r="BE189" s="409">
        <f t="shared" si="85"/>
        <v>1434</v>
      </c>
      <c r="BF189" s="409">
        <f t="shared" si="85"/>
        <v>1504</v>
      </c>
      <c r="BG189" s="409">
        <f t="shared" si="85"/>
        <v>1582</v>
      </c>
      <c r="BH189" s="409">
        <f t="shared" ref="BH189" si="86">BH165+BH168+BH173+BH176+BH180+BH182+BH184</f>
        <v>1559</v>
      </c>
      <c r="BI189" s="422">
        <f>(BG189-BF189)/BF189</f>
        <v>5.1861702127659573E-2</v>
      </c>
      <c r="BJ189" s="422">
        <f>(BH189-BG189)/BG189</f>
        <v>-1.4538558786346398E-2</v>
      </c>
      <c r="BK189" s="574">
        <f>BG189-BF189</f>
        <v>78</v>
      </c>
      <c r="BL189" s="574">
        <f>BH189-BG189</f>
        <v>-23</v>
      </c>
    </row>
    <row r="190" spans="1:64" ht="13.5" customHeight="1">
      <c r="A190" s="125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12"/>
      <c r="AJ190" s="12"/>
      <c r="AK190" s="12"/>
      <c r="AL190" s="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00"/>
      <c r="AX190" s="200"/>
      <c r="AY190" s="200"/>
      <c r="AZ190" s="305"/>
      <c r="BA190" s="320"/>
      <c r="BB190" s="320"/>
      <c r="BC190" s="305"/>
      <c r="BD190" s="538"/>
      <c r="BE190" s="538"/>
      <c r="BF190" s="538"/>
      <c r="BG190" s="538"/>
      <c r="BH190" s="538"/>
      <c r="BI190" s="385"/>
      <c r="BJ190" s="385"/>
      <c r="BK190" s="571"/>
      <c r="BL190" s="571"/>
    </row>
    <row r="191" spans="1:64" ht="11.1" customHeight="1">
      <c r="A191" s="167" t="s">
        <v>49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640"/>
      <c r="BG191" s="640"/>
      <c r="BH191" s="640"/>
      <c r="BI191" s="11"/>
      <c r="BJ191" s="11"/>
      <c r="BK191" s="11"/>
      <c r="BL191" s="571"/>
    </row>
    <row r="192" spans="1:64" ht="11.1" customHeight="1">
      <c r="A192" s="167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12"/>
      <c r="AJ192" s="12"/>
      <c r="AK192" s="12"/>
      <c r="AL192" s="6"/>
      <c r="AM192" s="26"/>
      <c r="AN192" s="26"/>
      <c r="AO192" s="26"/>
      <c r="AP192" s="26"/>
      <c r="AQ192" s="26"/>
      <c r="AR192" s="26"/>
      <c r="AS192" s="26"/>
      <c r="AT192" s="26"/>
      <c r="AU192" s="26"/>
      <c r="AV192" s="161"/>
      <c r="AW192" s="161"/>
      <c r="AX192" s="161"/>
      <c r="AY192" s="161"/>
      <c r="AZ192" s="305"/>
      <c r="BA192" s="320"/>
      <c r="BB192" s="320"/>
      <c r="BC192" s="305"/>
      <c r="BD192" s="538"/>
      <c r="BE192" s="538"/>
      <c r="BF192" s="538"/>
      <c r="BG192" s="538"/>
      <c r="BH192" s="538"/>
      <c r="BI192" s="385"/>
      <c r="BJ192" s="385"/>
      <c r="BK192" s="571"/>
      <c r="BL192" s="571"/>
    </row>
    <row r="193" spans="1:64" ht="14.25" customHeight="1">
      <c r="A193" s="129" t="s">
        <v>152</v>
      </c>
      <c r="B193" s="19" t="s">
        <v>3</v>
      </c>
      <c r="C193" s="19" t="s">
        <v>3</v>
      </c>
      <c r="D193" s="19" t="s">
        <v>3</v>
      </c>
      <c r="E193" s="19" t="s">
        <v>3</v>
      </c>
      <c r="F193" s="19" t="s">
        <v>3</v>
      </c>
      <c r="G193" s="19" t="s">
        <v>3</v>
      </c>
      <c r="H193" s="19" t="s">
        <v>3</v>
      </c>
      <c r="I193" s="19" t="s">
        <v>3</v>
      </c>
      <c r="J193" s="19" t="s">
        <v>3</v>
      </c>
      <c r="K193" s="19" t="s">
        <v>3</v>
      </c>
      <c r="L193" s="19" t="s">
        <v>3</v>
      </c>
      <c r="M193" s="19" t="s">
        <v>3</v>
      </c>
      <c r="N193" s="8">
        <v>1</v>
      </c>
      <c r="O193" s="8">
        <v>1</v>
      </c>
      <c r="P193" s="8">
        <v>1</v>
      </c>
      <c r="Q193" s="8">
        <v>1</v>
      </c>
      <c r="R193" s="8">
        <v>1</v>
      </c>
      <c r="S193" s="8">
        <v>2</v>
      </c>
      <c r="T193" s="8">
        <v>2</v>
      </c>
      <c r="U193" s="8">
        <v>1</v>
      </c>
      <c r="V193" s="8">
        <v>1</v>
      </c>
      <c r="W193" s="19" t="s">
        <v>10</v>
      </c>
      <c r="X193" s="19" t="s">
        <v>3</v>
      </c>
      <c r="Y193" s="19" t="s">
        <v>3</v>
      </c>
      <c r="Z193" s="19" t="s">
        <v>3</v>
      </c>
      <c r="AA193" s="19" t="s">
        <v>3</v>
      </c>
      <c r="AB193" s="19" t="s">
        <v>3</v>
      </c>
      <c r="AC193" s="19" t="s">
        <v>3</v>
      </c>
      <c r="AD193" s="19" t="s">
        <v>3</v>
      </c>
      <c r="AE193" s="19" t="s">
        <v>3</v>
      </c>
      <c r="AF193" s="19" t="s">
        <v>3</v>
      </c>
      <c r="AG193" s="19" t="s">
        <v>3</v>
      </c>
      <c r="AH193" s="19" t="s">
        <v>3</v>
      </c>
      <c r="AI193" s="19" t="s">
        <v>3</v>
      </c>
      <c r="AJ193" s="19" t="s">
        <v>3</v>
      </c>
      <c r="AK193" s="19" t="s">
        <v>3</v>
      </c>
      <c r="AL193" s="19" t="s">
        <v>3</v>
      </c>
      <c r="AM193" s="19" t="s">
        <v>3</v>
      </c>
      <c r="AN193" s="19" t="s">
        <v>3</v>
      </c>
      <c r="AO193" s="19" t="s">
        <v>3</v>
      </c>
      <c r="AP193" s="19" t="s">
        <v>3</v>
      </c>
      <c r="AQ193" s="19" t="s">
        <v>3</v>
      </c>
      <c r="AR193" s="19" t="s">
        <v>3</v>
      </c>
      <c r="AS193" s="19" t="s">
        <v>3</v>
      </c>
      <c r="AT193" s="19" t="s">
        <v>3</v>
      </c>
      <c r="AU193" s="19" t="s">
        <v>3</v>
      </c>
      <c r="AV193" s="223" t="s">
        <v>3</v>
      </c>
      <c r="AW193" s="223" t="s">
        <v>3</v>
      </c>
      <c r="AX193" s="223" t="s">
        <v>3</v>
      </c>
      <c r="AY193" s="223" t="s">
        <v>3</v>
      </c>
      <c r="AZ193" s="223" t="s">
        <v>3</v>
      </c>
      <c r="BA193" s="380" t="s">
        <v>3</v>
      </c>
      <c r="BB193" s="380" t="s">
        <v>3</v>
      </c>
      <c r="BC193" s="380" t="s">
        <v>3</v>
      </c>
      <c r="BD193" s="554" t="s">
        <v>3</v>
      </c>
      <c r="BE193" s="554" t="s">
        <v>3</v>
      </c>
      <c r="BF193" s="554" t="s">
        <v>3</v>
      </c>
      <c r="BG193" s="554" t="s">
        <v>3</v>
      </c>
      <c r="BH193" s="554" t="s">
        <v>3</v>
      </c>
      <c r="BI193" s="419" t="s">
        <v>9</v>
      </c>
      <c r="BJ193" s="419" t="s">
        <v>9</v>
      </c>
      <c r="BK193" s="571"/>
      <c r="BL193" s="571"/>
    </row>
    <row r="194" spans="1:64" ht="11.1" customHeight="1">
      <c r="A194" s="125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12"/>
      <c r="AJ194" s="12"/>
      <c r="AK194" s="12"/>
      <c r="AL194" s="6"/>
      <c r="AM194" s="26"/>
      <c r="AN194" s="26"/>
      <c r="AO194" s="26"/>
      <c r="AP194" s="26"/>
      <c r="AQ194" s="26"/>
      <c r="AR194" s="26"/>
      <c r="AS194" s="26"/>
      <c r="AT194" s="26"/>
      <c r="AU194" s="26"/>
      <c r="AV194" s="161"/>
      <c r="AW194" s="161"/>
      <c r="AX194" s="161"/>
      <c r="AY194" s="161"/>
      <c r="AZ194" s="161"/>
      <c r="BA194" s="320"/>
      <c r="BB194" s="320"/>
      <c r="BC194" s="320"/>
      <c r="BD194" s="374"/>
      <c r="BE194" s="538"/>
      <c r="BF194" s="538"/>
      <c r="BG194" s="374"/>
      <c r="BH194" s="374"/>
      <c r="BI194" s="385"/>
      <c r="BJ194" s="385"/>
      <c r="BK194" s="571"/>
      <c r="BL194" s="571"/>
    </row>
    <row r="195" spans="1:64" ht="12.75" customHeight="1">
      <c r="A195" s="129" t="s">
        <v>153</v>
      </c>
      <c r="B195" s="19" t="s">
        <v>3</v>
      </c>
      <c r="C195" s="19" t="s">
        <v>3</v>
      </c>
      <c r="D195" s="19" t="s">
        <v>3</v>
      </c>
      <c r="E195" s="19" t="s">
        <v>3</v>
      </c>
      <c r="F195" s="19" t="s">
        <v>3</v>
      </c>
      <c r="G195" s="19" t="s">
        <v>3</v>
      </c>
      <c r="H195" s="19" t="s">
        <v>3</v>
      </c>
      <c r="I195" s="19" t="s">
        <v>3</v>
      </c>
      <c r="J195" s="19" t="s">
        <v>3</v>
      </c>
      <c r="K195" s="19" t="s">
        <v>3</v>
      </c>
      <c r="L195" s="19" t="s">
        <v>3</v>
      </c>
      <c r="M195" s="19" t="s">
        <v>3</v>
      </c>
      <c r="N195" s="19" t="s">
        <v>3</v>
      </c>
      <c r="O195" s="19" t="s">
        <v>3</v>
      </c>
      <c r="P195" s="19" t="s">
        <v>3</v>
      </c>
      <c r="Q195" s="18" t="s">
        <v>10</v>
      </c>
      <c r="R195" s="12">
        <v>1</v>
      </c>
      <c r="S195" s="12">
        <v>2</v>
      </c>
      <c r="T195" s="12">
        <v>2</v>
      </c>
      <c r="U195" s="12">
        <v>3</v>
      </c>
      <c r="V195" s="12">
        <v>9</v>
      </c>
      <c r="W195" s="12">
        <v>6</v>
      </c>
      <c r="X195" s="19" t="s">
        <v>3</v>
      </c>
      <c r="Y195" s="19" t="s">
        <v>3</v>
      </c>
      <c r="Z195" s="19" t="s">
        <v>3</v>
      </c>
      <c r="AA195" s="19" t="s">
        <v>3</v>
      </c>
      <c r="AB195" s="19" t="s">
        <v>3</v>
      </c>
      <c r="AC195" s="19" t="s">
        <v>3</v>
      </c>
      <c r="AD195" s="19" t="s">
        <v>3</v>
      </c>
      <c r="AE195" s="19" t="s">
        <v>3</v>
      </c>
      <c r="AF195" s="19" t="s">
        <v>3</v>
      </c>
      <c r="AG195" s="19" t="s">
        <v>3</v>
      </c>
      <c r="AH195" s="19" t="s">
        <v>3</v>
      </c>
      <c r="AI195" s="19" t="s">
        <v>3</v>
      </c>
      <c r="AJ195" s="19" t="s">
        <v>3</v>
      </c>
      <c r="AK195" s="19" t="s">
        <v>3</v>
      </c>
      <c r="AL195" s="19" t="s">
        <v>3</v>
      </c>
      <c r="AM195" s="19" t="s">
        <v>3</v>
      </c>
      <c r="AN195" s="19" t="s">
        <v>3</v>
      </c>
      <c r="AO195" s="19" t="s">
        <v>3</v>
      </c>
      <c r="AP195" s="19" t="s">
        <v>3</v>
      </c>
      <c r="AQ195" s="19" t="s">
        <v>3</v>
      </c>
      <c r="AR195" s="19" t="s">
        <v>3</v>
      </c>
      <c r="AS195" s="19" t="s">
        <v>3</v>
      </c>
      <c r="AT195" s="19" t="s">
        <v>3</v>
      </c>
      <c r="AU195" s="19" t="s">
        <v>3</v>
      </c>
      <c r="AV195" s="223" t="s">
        <v>3</v>
      </c>
      <c r="AW195" s="223" t="s">
        <v>3</v>
      </c>
      <c r="AX195" s="223" t="s">
        <v>3</v>
      </c>
      <c r="AY195" s="223" t="s">
        <v>3</v>
      </c>
      <c r="AZ195" s="223" t="s">
        <v>3</v>
      </c>
      <c r="BA195" s="380" t="s">
        <v>3</v>
      </c>
      <c r="BB195" s="380" t="s">
        <v>3</v>
      </c>
      <c r="BC195" s="380" t="s">
        <v>3</v>
      </c>
      <c r="BD195" s="554" t="s">
        <v>3</v>
      </c>
      <c r="BE195" s="554" t="s">
        <v>3</v>
      </c>
      <c r="BF195" s="554" t="s">
        <v>3</v>
      </c>
      <c r="BG195" s="554" t="s">
        <v>3</v>
      </c>
      <c r="BH195" s="554" t="s">
        <v>3</v>
      </c>
      <c r="BI195" s="419" t="s">
        <v>9</v>
      </c>
      <c r="BJ195" s="419" t="s">
        <v>9</v>
      </c>
      <c r="BK195" s="571"/>
      <c r="BL195" s="571"/>
    </row>
    <row r="196" spans="1:64" ht="11.1" customHeight="1">
      <c r="A196" s="125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6"/>
      <c r="AM196" s="26"/>
      <c r="AN196" s="26"/>
      <c r="AO196" s="26"/>
      <c r="AP196" s="26"/>
      <c r="AQ196" s="26"/>
      <c r="AR196" s="26"/>
      <c r="AS196" s="26"/>
      <c r="AT196" s="26"/>
      <c r="AU196" s="26"/>
      <c r="AV196" s="161"/>
      <c r="AW196" s="161"/>
      <c r="AX196" s="161"/>
      <c r="AY196" s="161"/>
      <c r="AZ196" s="305"/>
      <c r="BA196" s="320"/>
      <c r="BB196" s="327"/>
      <c r="BC196" s="305"/>
      <c r="BD196" s="374"/>
      <c r="BE196" s="538"/>
      <c r="BF196" s="538"/>
      <c r="BG196" s="374"/>
      <c r="BH196" s="374"/>
      <c r="BI196" s="329"/>
      <c r="BJ196" s="329"/>
      <c r="BK196" s="570"/>
      <c r="BL196" s="570"/>
    </row>
    <row r="197" spans="1:64" ht="13.5" customHeight="1">
      <c r="A197" s="126" t="s">
        <v>50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6"/>
      <c r="AM197" s="26"/>
      <c r="AN197" s="26"/>
      <c r="AO197" s="26"/>
      <c r="AP197" s="26"/>
      <c r="AQ197" s="26"/>
      <c r="AR197" s="26"/>
      <c r="AS197" s="26"/>
      <c r="AT197" s="26"/>
      <c r="AU197" s="26"/>
      <c r="AV197" s="161"/>
      <c r="AW197" s="161"/>
      <c r="AX197" s="161"/>
      <c r="AY197" s="161"/>
      <c r="AZ197" s="305"/>
      <c r="BA197" s="320"/>
      <c r="BB197" s="327"/>
      <c r="BC197" s="305"/>
      <c r="BD197" s="538"/>
      <c r="BE197" s="538"/>
      <c r="BF197" s="538"/>
      <c r="BG197" s="538"/>
      <c r="BH197" s="538"/>
      <c r="BI197" s="329"/>
      <c r="BJ197" s="329"/>
      <c r="BK197" s="570"/>
      <c r="BL197" s="570"/>
    </row>
    <row r="198" spans="1:64" ht="11.1" customHeight="1">
      <c r="A198" s="129" t="s">
        <v>154</v>
      </c>
      <c r="B198" s="28">
        <v>3</v>
      </c>
      <c r="C198" s="28">
        <v>3</v>
      </c>
      <c r="D198" s="28">
        <v>3</v>
      </c>
      <c r="E198" s="28">
        <v>4</v>
      </c>
      <c r="F198" s="28">
        <v>4</v>
      </c>
      <c r="G198" s="28">
        <v>5</v>
      </c>
      <c r="H198" s="28">
        <v>5</v>
      </c>
      <c r="I198" s="28">
        <v>5</v>
      </c>
      <c r="J198" s="28">
        <v>5</v>
      </c>
      <c r="K198" s="28">
        <v>6</v>
      </c>
      <c r="L198" s="13">
        <v>6</v>
      </c>
      <c r="M198" s="13">
        <v>6</v>
      </c>
      <c r="N198" s="13">
        <v>7</v>
      </c>
      <c r="O198" s="13">
        <v>6</v>
      </c>
      <c r="P198" s="13">
        <v>8</v>
      </c>
      <c r="Q198" s="13">
        <v>9</v>
      </c>
      <c r="R198" s="13">
        <v>9</v>
      </c>
      <c r="S198" s="13">
        <v>8</v>
      </c>
      <c r="T198" s="13">
        <v>7</v>
      </c>
      <c r="U198" s="13">
        <v>8</v>
      </c>
      <c r="V198" s="13">
        <v>14</v>
      </c>
      <c r="W198" s="13">
        <v>19</v>
      </c>
      <c r="X198" s="13">
        <v>20</v>
      </c>
      <c r="Y198" s="13">
        <v>27</v>
      </c>
      <c r="Z198" s="13">
        <v>38</v>
      </c>
      <c r="AA198" s="13">
        <v>40</v>
      </c>
      <c r="AB198" s="13">
        <v>48</v>
      </c>
      <c r="AC198" s="13">
        <v>52</v>
      </c>
      <c r="AD198" s="13">
        <v>20</v>
      </c>
      <c r="AE198" s="13">
        <v>22</v>
      </c>
      <c r="AF198" s="13">
        <v>23</v>
      </c>
      <c r="AG198" s="13">
        <v>27</v>
      </c>
      <c r="AH198" s="13">
        <v>23</v>
      </c>
      <c r="AI198" s="13">
        <v>33</v>
      </c>
      <c r="AJ198" s="13">
        <v>34</v>
      </c>
      <c r="AK198" s="13">
        <v>31</v>
      </c>
      <c r="AL198" s="13">
        <v>28</v>
      </c>
      <c r="AM198" s="26">
        <v>32</v>
      </c>
      <c r="AN198" s="26">
        <v>30</v>
      </c>
      <c r="AO198" s="26">
        <v>29</v>
      </c>
      <c r="AP198" s="55">
        <v>36</v>
      </c>
      <c r="AQ198" s="55">
        <v>39</v>
      </c>
      <c r="AR198" s="55">
        <v>44</v>
      </c>
      <c r="AS198" s="55">
        <v>44</v>
      </c>
      <c r="AT198" s="55">
        <v>68</v>
      </c>
      <c r="AU198" s="55">
        <v>63</v>
      </c>
      <c r="AV198" s="33">
        <v>61</v>
      </c>
      <c r="AW198" s="33">
        <v>62.768115942028992</v>
      </c>
      <c r="AX198" s="278">
        <v>67.352380952380955</v>
      </c>
      <c r="AY198" s="278">
        <v>67</v>
      </c>
      <c r="AZ198" s="278">
        <v>72</v>
      </c>
      <c r="BA198" s="367">
        <v>71</v>
      </c>
      <c r="BB198" s="367">
        <v>71</v>
      </c>
      <c r="BC198" s="367">
        <v>72</v>
      </c>
      <c r="BD198" s="367">
        <v>70</v>
      </c>
      <c r="BE198" s="367">
        <v>72</v>
      </c>
      <c r="BF198" s="367">
        <v>83</v>
      </c>
      <c r="BG198" s="367">
        <v>82</v>
      </c>
      <c r="BH198" s="367">
        <v>92</v>
      </c>
      <c r="BI198" s="385">
        <f t="shared" ref="BI198:BJ201" si="87">(BG198-BF198)/BF198</f>
        <v>-1.2048192771084338E-2</v>
      </c>
      <c r="BJ198" s="385">
        <f t="shared" si="87"/>
        <v>0.12195121951219512</v>
      </c>
      <c r="BK198" s="569">
        <f t="shared" ref="BK198:BL201" si="88">BG198-BF198</f>
        <v>-1</v>
      </c>
      <c r="BL198" s="569">
        <f t="shared" si="88"/>
        <v>10</v>
      </c>
    </row>
    <row r="199" spans="1:64" ht="11.1" customHeight="1">
      <c r="A199" s="129" t="s">
        <v>155</v>
      </c>
      <c r="B199" s="153" t="s">
        <v>3</v>
      </c>
      <c r="C199" s="153" t="s">
        <v>3</v>
      </c>
      <c r="D199" s="153" t="s">
        <v>3</v>
      </c>
      <c r="E199" s="153" t="s">
        <v>3</v>
      </c>
      <c r="F199" s="153" t="s">
        <v>3</v>
      </c>
      <c r="G199" s="153" t="s">
        <v>3</v>
      </c>
      <c r="H199" s="153" t="s">
        <v>3</v>
      </c>
      <c r="I199" s="153" t="s">
        <v>3</v>
      </c>
      <c r="J199" s="153" t="s">
        <v>3</v>
      </c>
      <c r="K199" s="153" t="s">
        <v>3</v>
      </c>
      <c r="L199" s="157" t="s">
        <v>3</v>
      </c>
      <c r="M199" s="157" t="s">
        <v>3</v>
      </c>
      <c r="N199" s="157" t="s">
        <v>3</v>
      </c>
      <c r="O199" s="157" t="s">
        <v>3</v>
      </c>
      <c r="P199" s="157" t="s">
        <v>3</v>
      </c>
      <c r="Q199" s="157" t="s">
        <v>3</v>
      </c>
      <c r="R199" s="157" t="s">
        <v>3</v>
      </c>
      <c r="S199" s="157" t="s">
        <v>3</v>
      </c>
      <c r="T199" s="157" t="s">
        <v>3</v>
      </c>
      <c r="U199" s="157" t="s">
        <v>3</v>
      </c>
      <c r="V199" s="157" t="s">
        <v>3</v>
      </c>
      <c r="W199" s="157" t="s">
        <v>3</v>
      </c>
      <c r="X199" s="157" t="s">
        <v>3</v>
      </c>
      <c r="Y199" s="157" t="s">
        <v>3</v>
      </c>
      <c r="Z199" s="157" t="s">
        <v>3</v>
      </c>
      <c r="AA199" s="157" t="s">
        <v>3</v>
      </c>
      <c r="AB199" s="157" t="s">
        <v>3</v>
      </c>
      <c r="AC199" s="157" t="s">
        <v>3</v>
      </c>
      <c r="AD199" s="157">
        <v>27</v>
      </c>
      <c r="AE199" s="157">
        <v>43</v>
      </c>
      <c r="AF199" s="157">
        <v>41</v>
      </c>
      <c r="AG199" s="157">
        <v>44</v>
      </c>
      <c r="AH199" s="157">
        <v>44</v>
      </c>
      <c r="AI199" s="157">
        <v>39</v>
      </c>
      <c r="AJ199" s="157">
        <v>36</v>
      </c>
      <c r="AK199" s="157">
        <v>41</v>
      </c>
      <c r="AL199" s="157">
        <v>43</v>
      </c>
      <c r="AM199" s="48">
        <v>43</v>
      </c>
      <c r="AN199" s="48">
        <v>46</v>
      </c>
      <c r="AO199" s="153">
        <v>55</v>
      </c>
      <c r="AP199" s="60">
        <v>61</v>
      </c>
      <c r="AQ199" s="60">
        <v>71</v>
      </c>
      <c r="AR199" s="60">
        <v>66</v>
      </c>
      <c r="AS199" s="60">
        <v>68</v>
      </c>
      <c r="AT199" s="60">
        <v>76</v>
      </c>
      <c r="AU199" s="60">
        <v>71</v>
      </c>
      <c r="AV199" s="170">
        <v>81</v>
      </c>
      <c r="AW199" s="170">
        <v>86</v>
      </c>
      <c r="AX199" s="278">
        <v>80</v>
      </c>
      <c r="AY199" s="278">
        <v>83</v>
      </c>
      <c r="AZ199" s="278">
        <v>91</v>
      </c>
      <c r="BA199" s="367">
        <v>105</v>
      </c>
      <c r="BB199" s="367">
        <v>99</v>
      </c>
      <c r="BC199" s="367">
        <v>112</v>
      </c>
      <c r="BD199" s="367">
        <v>101</v>
      </c>
      <c r="BE199" s="367">
        <v>96</v>
      </c>
      <c r="BF199" s="367">
        <v>107</v>
      </c>
      <c r="BG199" s="367">
        <v>130</v>
      </c>
      <c r="BH199" s="367">
        <v>121</v>
      </c>
      <c r="BI199" s="385">
        <f t="shared" si="87"/>
        <v>0.21495327102803738</v>
      </c>
      <c r="BJ199" s="385">
        <f t="shared" si="87"/>
        <v>-6.9230769230769235E-2</v>
      </c>
      <c r="BK199" s="569">
        <f t="shared" si="88"/>
        <v>23</v>
      </c>
      <c r="BL199" s="569">
        <f t="shared" si="88"/>
        <v>-9</v>
      </c>
    </row>
    <row r="200" spans="1:64" ht="11.1" customHeight="1">
      <c r="A200" s="129" t="s">
        <v>4</v>
      </c>
      <c r="B200" s="28">
        <v>22</v>
      </c>
      <c r="C200" s="28">
        <v>24</v>
      </c>
      <c r="D200" s="28">
        <v>25</v>
      </c>
      <c r="E200" s="28">
        <v>27</v>
      </c>
      <c r="F200" s="28">
        <v>27</v>
      </c>
      <c r="G200" s="28">
        <v>31</v>
      </c>
      <c r="H200" s="28">
        <v>34</v>
      </c>
      <c r="I200" s="28">
        <v>36</v>
      </c>
      <c r="J200" s="28">
        <v>38</v>
      </c>
      <c r="K200" s="28">
        <v>43</v>
      </c>
      <c r="L200" s="15">
        <v>49</v>
      </c>
      <c r="M200" s="15">
        <v>55</v>
      </c>
      <c r="N200" s="15">
        <v>58</v>
      </c>
      <c r="O200" s="15">
        <v>62</v>
      </c>
      <c r="P200" s="15">
        <v>73</v>
      </c>
      <c r="Q200" s="15">
        <v>71</v>
      </c>
      <c r="R200" s="15">
        <v>84</v>
      </c>
      <c r="S200" s="15">
        <v>87</v>
      </c>
      <c r="T200" s="15">
        <v>92</v>
      </c>
      <c r="U200" s="15">
        <v>97</v>
      </c>
      <c r="V200" s="15">
        <v>103</v>
      </c>
      <c r="W200" s="15">
        <v>112</v>
      </c>
      <c r="X200" s="15">
        <v>129</v>
      </c>
      <c r="Y200" s="15">
        <v>145</v>
      </c>
      <c r="Z200" s="15">
        <v>159</v>
      </c>
      <c r="AA200" s="15">
        <v>196</v>
      </c>
      <c r="AB200" s="15">
        <v>204</v>
      </c>
      <c r="AC200" s="15">
        <v>231</v>
      </c>
      <c r="AD200" s="15">
        <v>251</v>
      </c>
      <c r="AE200" s="15">
        <v>305</v>
      </c>
      <c r="AF200" s="15">
        <v>320</v>
      </c>
      <c r="AG200" s="15">
        <v>354</v>
      </c>
      <c r="AH200" s="15">
        <v>389</v>
      </c>
      <c r="AI200" s="15">
        <v>453</v>
      </c>
      <c r="AJ200" s="15">
        <v>493</v>
      </c>
      <c r="AK200" s="15">
        <v>528</v>
      </c>
      <c r="AL200" s="15">
        <v>581</v>
      </c>
      <c r="AM200" s="42">
        <v>685</v>
      </c>
      <c r="AN200" s="42">
        <v>715</v>
      </c>
      <c r="AO200" s="42">
        <v>840</v>
      </c>
      <c r="AP200" s="44">
        <v>872</v>
      </c>
      <c r="AQ200" s="44">
        <v>999</v>
      </c>
      <c r="AR200" s="44">
        <v>1155</v>
      </c>
      <c r="AS200" s="44">
        <v>1145</v>
      </c>
      <c r="AT200" s="44">
        <v>1247</v>
      </c>
      <c r="AU200" s="44">
        <v>1402</v>
      </c>
      <c r="AV200" s="213">
        <v>1513</v>
      </c>
      <c r="AW200" s="104">
        <v>1789</v>
      </c>
      <c r="AX200" s="104">
        <v>1868</v>
      </c>
      <c r="AY200" s="104">
        <v>1984</v>
      </c>
      <c r="AZ200" s="104">
        <v>1954</v>
      </c>
      <c r="BA200" s="357">
        <v>2117</v>
      </c>
      <c r="BB200" s="357">
        <v>2332</v>
      </c>
      <c r="BC200" s="357">
        <v>2547</v>
      </c>
      <c r="BD200" s="370">
        <v>2683</v>
      </c>
      <c r="BE200" s="370">
        <v>3039</v>
      </c>
      <c r="BF200" s="370">
        <v>3192</v>
      </c>
      <c r="BG200" s="370">
        <v>3267</v>
      </c>
      <c r="BH200" s="370">
        <v>3469</v>
      </c>
      <c r="BI200" s="385">
        <f t="shared" si="87"/>
        <v>2.3496240601503758E-2</v>
      </c>
      <c r="BJ200" s="385">
        <f t="shared" si="87"/>
        <v>6.1830425466789102E-2</v>
      </c>
      <c r="BK200" s="569">
        <f t="shared" si="88"/>
        <v>75</v>
      </c>
      <c r="BL200" s="569">
        <f t="shared" si="88"/>
        <v>202</v>
      </c>
    </row>
    <row r="201" spans="1:64">
      <c r="A201" s="404" t="s">
        <v>32</v>
      </c>
      <c r="B201" s="405">
        <f t="shared" ref="B201:Q201" si="89">SUM(B198:B200)</f>
        <v>25</v>
      </c>
      <c r="C201" s="405">
        <f t="shared" si="89"/>
        <v>27</v>
      </c>
      <c r="D201" s="405">
        <f t="shared" si="89"/>
        <v>28</v>
      </c>
      <c r="E201" s="405">
        <f t="shared" si="89"/>
        <v>31</v>
      </c>
      <c r="F201" s="405">
        <f t="shared" si="89"/>
        <v>31</v>
      </c>
      <c r="G201" s="405">
        <f t="shared" si="89"/>
        <v>36</v>
      </c>
      <c r="H201" s="405">
        <f t="shared" si="89"/>
        <v>39</v>
      </c>
      <c r="I201" s="405">
        <f t="shared" si="89"/>
        <v>41</v>
      </c>
      <c r="J201" s="405">
        <f t="shared" si="89"/>
        <v>43</v>
      </c>
      <c r="K201" s="405">
        <f t="shared" si="89"/>
        <v>49</v>
      </c>
      <c r="L201" s="405">
        <f t="shared" si="89"/>
        <v>55</v>
      </c>
      <c r="M201" s="405">
        <f t="shared" si="89"/>
        <v>61</v>
      </c>
      <c r="N201" s="405">
        <f t="shared" si="89"/>
        <v>65</v>
      </c>
      <c r="O201" s="405">
        <f t="shared" si="89"/>
        <v>68</v>
      </c>
      <c r="P201" s="405">
        <f t="shared" si="89"/>
        <v>81</v>
      </c>
      <c r="Q201" s="405">
        <f t="shared" si="89"/>
        <v>80</v>
      </c>
      <c r="R201" s="405">
        <f>SUM(R198:R200)</f>
        <v>93</v>
      </c>
      <c r="S201" s="405">
        <f>SUM(S198:S200)</f>
        <v>95</v>
      </c>
      <c r="T201" s="405">
        <f>SUM(T198:T200)</f>
        <v>99</v>
      </c>
      <c r="U201" s="405">
        <f>SUM(U198:U200)</f>
        <v>105</v>
      </c>
      <c r="V201" s="405">
        <f t="shared" ref="V201:AE201" si="90">SUM(V198:V200)</f>
        <v>117</v>
      </c>
      <c r="W201" s="405">
        <f t="shared" si="90"/>
        <v>131</v>
      </c>
      <c r="X201" s="405">
        <f t="shared" si="90"/>
        <v>149</v>
      </c>
      <c r="Y201" s="405">
        <f t="shared" si="90"/>
        <v>172</v>
      </c>
      <c r="Z201" s="405">
        <f t="shared" si="90"/>
        <v>197</v>
      </c>
      <c r="AA201" s="405">
        <f t="shared" si="90"/>
        <v>236</v>
      </c>
      <c r="AB201" s="405">
        <f t="shared" si="90"/>
        <v>252</v>
      </c>
      <c r="AC201" s="405">
        <f t="shared" si="90"/>
        <v>283</v>
      </c>
      <c r="AD201" s="405">
        <f t="shared" si="90"/>
        <v>298</v>
      </c>
      <c r="AE201" s="405">
        <f t="shared" si="90"/>
        <v>370</v>
      </c>
      <c r="AF201" s="405">
        <f t="shared" ref="AF201:AN201" si="91">SUM(AF198:AF200)</f>
        <v>384</v>
      </c>
      <c r="AG201" s="405">
        <f t="shared" si="91"/>
        <v>425</v>
      </c>
      <c r="AH201" s="405">
        <f t="shared" si="91"/>
        <v>456</v>
      </c>
      <c r="AI201" s="405">
        <f t="shared" si="91"/>
        <v>525</v>
      </c>
      <c r="AJ201" s="405">
        <f t="shared" si="91"/>
        <v>563</v>
      </c>
      <c r="AK201" s="405">
        <f t="shared" si="91"/>
        <v>600</v>
      </c>
      <c r="AL201" s="405">
        <f t="shared" si="91"/>
        <v>652</v>
      </c>
      <c r="AM201" s="405">
        <f t="shared" si="91"/>
        <v>760</v>
      </c>
      <c r="AN201" s="405">
        <f t="shared" si="91"/>
        <v>791</v>
      </c>
      <c r="AO201" s="405">
        <f t="shared" ref="AO201:AT201" si="92">SUM(AO198:AO200)</f>
        <v>924</v>
      </c>
      <c r="AP201" s="405">
        <f t="shared" si="92"/>
        <v>969</v>
      </c>
      <c r="AQ201" s="405">
        <f t="shared" si="92"/>
        <v>1109</v>
      </c>
      <c r="AR201" s="405">
        <f t="shared" si="92"/>
        <v>1265</v>
      </c>
      <c r="AS201" s="405">
        <f t="shared" si="92"/>
        <v>1257</v>
      </c>
      <c r="AT201" s="405">
        <f t="shared" si="92"/>
        <v>1391</v>
      </c>
      <c r="AU201" s="405">
        <f t="shared" ref="AU201:BA201" si="93">SUM(AU200+AU199+AU198)</f>
        <v>1536</v>
      </c>
      <c r="AV201" s="406">
        <f t="shared" si="93"/>
        <v>1655</v>
      </c>
      <c r="AW201" s="406">
        <f t="shared" si="93"/>
        <v>1937.768115942029</v>
      </c>
      <c r="AX201" s="406">
        <f t="shared" si="93"/>
        <v>2015.3523809523811</v>
      </c>
      <c r="AY201" s="406">
        <f t="shared" si="93"/>
        <v>2134</v>
      </c>
      <c r="AZ201" s="406">
        <f t="shared" si="93"/>
        <v>2117</v>
      </c>
      <c r="BA201" s="407">
        <f t="shared" si="93"/>
        <v>2293</v>
      </c>
      <c r="BB201" s="407">
        <f t="shared" ref="BB201:BG201" si="94">SUM(BB200+BB199+BB198)</f>
        <v>2502</v>
      </c>
      <c r="BC201" s="407">
        <f t="shared" si="94"/>
        <v>2731</v>
      </c>
      <c r="BD201" s="407">
        <f t="shared" si="94"/>
        <v>2854</v>
      </c>
      <c r="BE201" s="407">
        <f t="shared" si="94"/>
        <v>3207</v>
      </c>
      <c r="BF201" s="407">
        <f t="shared" si="94"/>
        <v>3382</v>
      </c>
      <c r="BG201" s="407">
        <f t="shared" si="94"/>
        <v>3479</v>
      </c>
      <c r="BH201" s="407">
        <f t="shared" ref="BH201" si="95">SUM(BH200+BH199+BH198)</f>
        <v>3682</v>
      </c>
      <c r="BI201" s="415">
        <f t="shared" si="87"/>
        <v>2.8681253696037846E-2</v>
      </c>
      <c r="BJ201" s="415">
        <f t="shared" si="87"/>
        <v>5.8350100603621731E-2</v>
      </c>
      <c r="BK201" s="572">
        <f t="shared" si="88"/>
        <v>97</v>
      </c>
      <c r="BL201" s="572">
        <f t="shared" si="88"/>
        <v>203</v>
      </c>
    </row>
    <row r="202" spans="1:64" s="182" customFormat="1" ht="11.1" customHeight="1">
      <c r="A202" s="125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  <c r="AA202" s="121"/>
      <c r="AB202" s="121"/>
      <c r="AC202" s="121"/>
      <c r="AD202" s="121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641"/>
      <c r="BG202" s="641"/>
      <c r="BH202" s="641"/>
      <c r="BI202" s="329"/>
      <c r="BJ202" s="329"/>
      <c r="BK202" s="570"/>
      <c r="BL202" s="570"/>
    </row>
    <row r="203" spans="1:64" ht="12" customHeight="1">
      <c r="A203" s="126" t="s">
        <v>35</v>
      </c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6"/>
      <c r="AM203" s="26"/>
      <c r="AN203" s="26"/>
      <c r="AO203" s="26"/>
      <c r="AP203" s="26"/>
      <c r="AQ203" s="26"/>
      <c r="AR203" s="26"/>
      <c r="AS203" s="26"/>
      <c r="AT203" s="26"/>
      <c r="AU203" s="26"/>
      <c r="AV203" s="161"/>
      <c r="AW203" s="161"/>
      <c r="AX203" s="161"/>
      <c r="AY203" s="161"/>
      <c r="AZ203" s="305"/>
      <c r="BA203" s="320"/>
      <c r="BB203" s="327"/>
      <c r="BC203" s="305"/>
      <c r="BD203" s="538"/>
      <c r="BE203" s="538"/>
      <c r="BF203" s="538"/>
      <c r="BG203" s="538"/>
      <c r="BH203" s="538"/>
      <c r="BI203" s="329"/>
      <c r="BJ203" s="329"/>
      <c r="BK203" s="570"/>
      <c r="BL203" s="570"/>
    </row>
    <row r="204" spans="1:64" ht="11.1" customHeight="1">
      <c r="A204" s="125" t="s">
        <v>11</v>
      </c>
      <c r="B204" s="28">
        <v>5</v>
      </c>
      <c r="C204" s="28">
        <v>5</v>
      </c>
      <c r="D204" s="28">
        <v>6</v>
      </c>
      <c r="E204" s="28">
        <v>6</v>
      </c>
      <c r="F204" s="28">
        <v>7</v>
      </c>
      <c r="G204" s="28">
        <v>7</v>
      </c>
      <c r="H204" s="28">
        <v>7</v>
      </c>
      <c r="I204" s="28">
        <v>8</v>
      </c>
      <c r="J204" s="28">
        <v>8</v>
      </c>
      <c r="K204" s="28">
        <v>8</v>
      </c>
      <c r="L204" s="13">
        <v>9</v>
      </c>
      <c r="M204" s="13">
        <v>11</v>
      </c>
      <c r="N204" s="13">
        <v>12</v>
      </c>
      <c r="O204" s="13">
        <v>12</v>
      </c>
      <c r="P204" s="13">
        <v>14</v>
      </c>
      <c r="Q204" s="13">
        <v>18</v>
      </c>
      <c r="R204" s="13">
        <v>21</v>
      </c>
      <c r="S204" s="13">
        <v>26</v>
      </c>
      <c r="T204" s="13">
        <v>36</v>
      </c>
      <c r="U204" s="13">
        <v>40</v>
      </c>
      <c r="V204" s="13">
        <v>49</v>
      </c>
      <c r="W204" s="13">
        <v>49</v>
      </c>
      <c r="X204" s="13">
        <v>43</v>
      </c>
      <c r="Y204" s="13">
        <v>43</v>
      </c>
      <c r="Z204" s="13">
        <v>42</v>
      </c>
      <c r="AA204" s="13">
        <v>41</v>
      </c>
      <c r="AB204" s="13">
        <v>41</v>
      </c>
      <c r="AC204" s="13">
        <v>43</v>
      </c>
      <c r="AD204" s="13">
        <v>43</v>
      </c>
      <c r="AE204" s="13">
        <v>45</v>
      </c>
      <c r="AF204" s="13">
        <v>47</v>
      </c>
      <c r="AG204" s="13">
        <v>53</v>
      </c>
      <c r="AH204" s="13">
        <v>56</v>
      </c>
      <c r="AI204" s="13">
        <v>62</v>
      </c>
      <c r="AJ204" s="13">
        <v>77</v>
      </c>
      <c r="AK204" s="13">
        <v>81</v>
      </c>
      <c r="AL204" s="13">
        <v>75</v>
      </c>
      <c r="AM204" s="26">
        <v>105</v>
      </c>
      <c r="AN204" s="55">
        <v>106</v>
      </c>
      <c r="AO204" s="55">
        <v>99</v>
      </c>
      <c r="AP204" s="55">
        <v>102</v>
      </c>
      <c r="AQ204" s="55">
        <v>112</v>
      </c>
      <c r="AR204" s="55">
        <v>122</v>
      </c>
      <c r="AS204" s="55">
        <v>117</v>
      </c>
      <c r="AT204" s="55">
        <v>129</v>
      </c>
      <c r="AU204" s="55">
        <v>136</v>
      </c>
      <c r="AV204" s="33">
        <v>136</v>
      </c>
      <c r="AW204" s="33">
        <v>148</v>
      </c>
      <c r="AX204" s="33">
        <v>170</v>
      </c>
      <c r="AY204" s="33">
        <v>153</v>
      </c>
      <c r="AZ204" s="33">
        <v>172</v>
      </c>
      <c r="BA204" s="356">
        <v>164</v>
      </c>
      <c r="BB204" s="356">
        <v>164</v>
      </c>
      <c r="BC204" s="356">
        <v>161</v>
      </c>
      <c r="BD204" s="367">
        <v>148</v>
      </c>
      <c r="BE204" s="367">
        <v>157</v>
      </c>
      <c r="BF204" s="367">
        <v>181</v>
      </c>
      <c r="BG204" s="367">
        <v>165</v>
      </c>
      <c r="BH204" s="367">
        <v>165</v>
      </c>
      <c r="BI204" s="385">
        <f>(BG204-BF204)/BF204</f>
        <v>-8.8397790055248615E-2</v>
      </c>
      <c r="BJ204" s="385">
        <f>(BH204-BG204)/BG204</f>
        <v>0</v>
      </c>
      <c r="BK204" s="569">
        <f>BG204-BF204</f>
        <v>-16</v>
      </c>
      <c r="BL204" s="569">
        <f>BH204-BG204</f>
        <v>0</v>
      </c>
    </row>
    <row r="205" spans="1:64" ht="11.1" customHeight="1">
      <c r="A205" s="12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26"/>
      <c r="AN205" s="55"/>
      <c r="AO205" s="55"/>
      <c r="AP205" s="55"/>
      <c r="AQ205" s="55"/>
      <c r="AR205" s="55"/>
      <c r="AS205" s="55"/>
      <c r="AT205" s="55"/>
      <c r="AU205" s="55"/>
      <c r="AV205" s="33"/>
      <c r="AW205" s="33"/>
      <c r="AX205" s="33"/>
      <c r="AY205" s="33"/>
      <c r="AZ205" s="303"/>
      <c r="BA205" s="356"/>
      <c r="BB205" s="356"/>
      <c r="BC205" s="303"/>
      <c r="BD205" s="540"/>
      <c r="BE205" s="540"/>
      <c r="BF205" s="540"/>
      <c r="BG205" s="540"/>
      <c r="BH205" s="540"/>
      <c r="BI205" s="385"/>
      <c r="BJ205" s="385"/>
      <c r="BK205" s="571"/>
      <c r="BL205" s="571"/>
    </row>
    <row r="206" spans="1:64" ht="10.5" customHeight="1">
      <c r="A206" s="126" t="s">
        <v>164</v>
      </c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36"/>
      <c r="Z206" s="336"/>
      <c r="AA206" s="336"/>
      <c r="AB206" s="336"/>
      <c r="AC206" s="336"/>
      <c r="AD206" s="336"/>
      <c r="AE206" s="336"/>
      <c r="AF206" s="336"/>
      <c r="AG206" s="336"/>
      <c r="AH206" s="336"/>
      <c r="AI206" s="336"/>
      <c r="AJ206" s="336"/>
      <c r="AK206" s="336"/>
      <c r="AL206" s="336"/>
      <c r="AM206" s="26"/>
      <c r="AN206" s="55"/>
      <c r="AO206" s="55"/>
      <c r="AP206" s="55"/>
      <c r="AQ206" s="55"/>
      <c r="AR206" s="55"/>
      <c r="AS206" s="55"/>
      <c r="AT206" s="55"/>
      <c r="AU206" s="55"/>
      <c r="AV206" s="33"/>
      <c r="AW206" s="33"/>
      <c r="AX206" s="33"/>
      <c r="AY206" s="33"/>
      <c r="AZ206" s="303"/>
      <c r="BA206" s="356"/>
      <c r="BB206" s="356"/>
      <c r="BC206" s="303"/>
      <c r="BD206" s="540"/>
      <c r="BE206" s="540"/>
      <c r="BF206" s="540"/>
      <c r="BG206" s="540"/>
      <c r="BH206" s="540"/>
      <c r="BI206" s="385"/>
      <c r="BJ206" s="385"/>
      <c r="BK206" s="571"/>
      <c r="BL206" s="571"/>
    </row>
    <row r="207" spans="1:64" ht="11.25" customHeight="1">
      <c r="A207" s="129" t="s">
        <v>156</v>
      </c>
      <c r="B207" s="56" t="s">
        <v>3</v>
      </c>
      <c r="C207" s="56" t="s">
        <v>3</v>
      </c>
      <c r="D207" s="56" t="s">
        <v>3</v>
      </c>
      <c r="E207" s="56" t="s">
        <v>3</v>
      </c>
      <c r="F207" s="56" t="s">
        <v>3</v>
      </c>
      <c r="G207" s="56" t="s">
        <v>3</v>
      </c>
      <c r="H207" s="56" t="s">
        <v>3</v>
      </c>
      <c r="I207" s="56" t="s">
        <v>3</v>
      </c>
      <c r="J207" s="56" t="s">
        <v>3</v>
      </c>
      <c r="K207" s="56" t="s">
        <v>3</v>
      </c>
      <c r="L207" s="56" t="s">
        <v>3</v>
      </c>
      <c r="M207" s="56" t="s">
        <v>3</v>
      </c>
      <c r="N207" s="56" t="s">
        <v>3</v>
      </c>
      <c r="O207" s="56" t="s">
        <v>3</v>
      </c>
      <c r="P207" s="56" t="s">
        <v>3</v>
      </c>
      <c r="Q207" s="56" t="s">
        <v>3</v>
      </c>
      <c r="R207" s="56" t="s">
        <v>3</v>
      </c>
      <c r="S207" s="56" t="s">
        <v>3</v>
      </c>
      <c r="T207" s="56" t="s">
        <v>3</v>
      </c>
      <c r="U207" s="336">
        <v>4</v>
      </c>
      <c r="V207" s="336">
        <v>6</v>
      </c>
      <c r="W207" s="336">
        <v>4</v>
      </c>
      <c r="X207" s="336">
        <v>5</v>
      </c>
      <c r="Y207" s="336">
        <v>4</v>
      </c>
      <c r="Z207" s="336">
        <v>5</v>
      </c>
      <c r="AA207" s="336">
        <v>6</v>
      </c>
      <c r="AB207" s="336">
        <v>5</v>
      </c>
      <c r="AC207" s="336">
        <v>5</v>
      </c>
      <c r="AD207" s="336">
        <v>5</v>
      </c>
      <c r="AE207" s="336">
        <v>5</v>
      </c>
      <c r="AF207" s="336">
        <v>5</v>
      </c>
      <c r="AG207" s="336">
        <v>5</v>
      </c>
      <c r="AH207" s="336">
        <v>5</v>
      </c>
      <c r="AI207" s="336">
        <v>6</v>
      </c>
      <c r="AJ207" s="336">
        <v>6</v>
      </c>
      <c r="AK207" s="336">
        <v>7</v>
      </c>
      <c r="AL207" s="336">
        <v>5</v>
      </c>
      <c r="AM207" s="26">
        <v>5</v>
      </c>
      <c r="AN207" s="55">
        <v>5</v>
      </c>
      <c r="AO207" s="55">
        <v>5</v>
      </c>
      <c r="AP207" s="55">
        <v>6</v>
      </c>
      <c r="AQ207" s="55">
        <v>6</v>
      </c>
      <c r="AR207" s="55">
        <v>7</v>
      </c>
      <c r="AS207" s="55">
        <v>7</v>
      </c>
      <c r="AT207" s="55">
        <v>8</v>
      </c>
      <c r="AU207" s="356">
        <v>7</v>
      </c>
      <c r="AV207" s="356">
        <v>8</v>
      </c>
      <c r="AW207" s="356">
        <v>8</v>
      </c>
      <c r="AX207" s="356">
        <v>8</v>
      </c>
      <c r="AY207" s="356">
        <v>8</v>
      </c>
      <c r="AZ207" s="356">
        <v>8</v>
      </c>
      <c r="BA207" s="356">
        <v>8</v>
      </c>
      <c r="BB207" s="356">
        <v>8</v>
      </c>
      <c r="BC207" s="356">
        <v>8</v>
      </c>
      <c r="BD207" s="367">
        <v>9</v>
      </c>
      <c r="BE207" s="367">
        <f>(9/93)*92</f>
        <v>8.9032258064516121</v>
      </c>
      <c r="BF207" s="367">
        <v>10</v>
      </c>
      <c r="BG207" s="367">
        <v>10</v>
      </c>
      <c r="BH207" s="367">
        <v>11</v>
      </c>
      <c r="BI207" s="385">
        <f>(BG207-BF207)/BF207</f>
        <v>0</v>
      </c>
      <c r="BJ207" s="385">
        <f>(BH207-BG207)/BG207</f>
        <v>0.1</v>
      </c>
      <c r="BK207" s="569">
        <f>BG207-BF207</f>
        <v>0</v>
      </c>
      <c r="BL207" s="569">
        <f>BH207-BG207</f>
        <v>1</v>
      </c>
    </row>
    <row r="208" spans="1:64" ht="11.25" customHeight="1">
      <c r="A208" s="125"/>
      <c r="L208" s="336"/>
      <c r="M208" s="336"/>
      <c r="N208" s="336"/>
      <c r="O208" s="336"/>
      <c r="P208" s="336"/>
      <c r="Q208" s="336"/>
      <c r="R208" s="336"/>
      <c r="S208" s="336"/>
      <c r="T208" s="336"/>
      <c r="U208" s="336"/>
      <c r="V208" s="336"/>
      <c r="W208" s="336"/>
      <c r="X208" s="336"/>
      <c r="Y208" s="336"/>
      <c r="Z208" s="336"/>
      <c r="AA208" s="336"/>
      <c r="AB208" s="336"/>
      <c r="AC208" s="336"/>
      <c r="AD208" s="336"/>
      <c r="AE208" s="336"/>
      <c r="AF208" s="336"/>
      <c r="AG208" s="336"/>
      <c r="AH208" s="336"/>
      <c r="AI208" s="336"/>
      <c r="AJ208" s="336"/>
      <c r="AK208" s="336"/>
      <c r="AL208" s="336"/>
      <c r="AM208" s="26"/>
      <c r="AN208" s="55"/>
      <c r="AO208" s="55"/>
      <c r="AP208" s="55"/>
      <c r="AQ208" s="55"/>
      <c r="AR208" s="55"/>
      <c r="AS208" s="55"/>
      <c r="AT208" s="55"/>
      <c r="AU208" s="356"/>
      <c r="AV208" s="356"/>
      <c r="AW208" s="356"/>
      <c r="AX208" s="356"/>
      <c r="AY208" s="356"/>
      <c r="AZ208" s="356"/>
      <c r="BA208" s="356"/>
      <c r="BB208" s="356"/>
      <c r="BC208" s="356"/>
      <c r="BD208" s="540"/>
      <c r="BE208" s="540"/>
      <c r="BF208" s="540"/>
      <c r="BG208" s="540"/>
      <c r="BH208" s="540"/>
      <c r="BI208" s="385"/>
      <c r="BJ208" s="385"/>
      <c r="BK208" s="571"/>
      <c r="BL208" s="571"/>
    </row>
    <row r="209" spans="1:64" ht="14.25" customHeight="1">
      <c r="A209" s="126" t="s">
        <v>124</v>
      </c>
      <c r="B209" s="505"/>
      <c r="C209" s="505"/>
      <c r="D209" s="505"/>
      <c r="E209" s="505"/>
      <c r="F209" s="505"/>
      <c r="G209" s="505"/>
      <c r="H209" s="505"/>
      <c r="I209" s="505"/>
      <c r="J209" s="505"/>
      <c r="K209" s="505"/>
      <c r="L209" s="506"/>
      <c r="M209" s="507"/>
      <c r="N209" s="507"/>
      <c r="O209" s="507"/>
      <c r="P209" s="507"/>
      <c r="Q209" s="507"/>
      <c r="R209" s="507"/>
      <c r="S209" s="507"/>
      <c r="T209" s="507"/>
      <c r="U209" s="507"/>
      <c r="V209" s="507"/>
      <c r="W209" s="507"/>
      <c r="X209" s="507"/>
      <c r="Y209" s="507"/>
      <c r="Z209" s="507"/>
      <c r="AA209" s="507"/>
      <c r="AB209" s="507"/>
      <c r="AC209" s="507"/>
      <c r="AD209" s="507"/>
      <c r="AE209" s="507"/>
      <c r="AF209" s="507"/>
      <c r="AG209" s="507"/>
      <c r="AH209" s="507"/>
      <c r="AI209" s="508"/>
      <c r="AJ209" s="508"/>
      <c r="AK209" s="508"/>
      <c r="AL209" s="509"/>
      <c r="AM209" s="509"/>
      <c r="AN209" s="510"/>
      <c r="AO209" s="510"/>
      <c r="AP209" s="510"/>
      <c r="AQ209" s="510"/>
      <c r="AR209" s="510"/>
      <c r="AS209" s="510"/>
      <c r="AT209" s="511"/>
      <c r="AU209" s="512"/>
      <c r="AV209" s="512"/>
      <c r="AW209" s="512"/>
      <c r="AX209" s="512"/>
      <c r="AY209" s="512"/>
      <c r="AZ209" s="512"/>
      <c r="BA209" s="512"/>
      <c r="BB209" s="513"/>
      <c r="BC209" s="513"/>
      <c r="BD209" s="555"/>
      <c r="BE209" s="555"/>
      <c r="BF209" s="555"/>
      <c r="BG209" s="555"/>
      <c r="BH209" s="555"/>
      <c r="BI209" s="513"/>
      <c r="BJ209" s="513"/>
      <c r="BK209" s="578"/>
      <c r="BL209" s="578"/>
    </row>
    <row r="210" spans="1:64" s="513" customFormat="1" ht="12.75" customHeight="1">
      <c r="A210" s="140" t="s">
        <v>157</v>
      </c>
      <c r="B210" s="56" t="s">
        <v>3</v>
      </c>
      <c r="C210" s="56" t="s">
        <v>3</v>
      </c>
      <c r="D210" s="56" t="s">
        <v>3</v>
      </c>
      <c r="E210" s="56" t="s">
        <v>3</v>
      </c>
      <c r="F210" s="56" t="s">
        <v>3</v>
      </c>
      <c r="G210" s="56" t="s">
        <v>3</v>
      </c>
      <c r="H210" s="56" t="s">
        <v>3</v>
      </c>
      <c r="I210" s="56" t="s">
        <v>3</v>
      </c>
      <c r="J210" s="56" t="s">
        <v>3</v>
      </c>
      <c r="K210" s="56" t="s">
        <v>3</v>
      </c>
      <c r="L210" s="56" t="s">
        <v>3</v>
      </c>
      <c r="M210" s="56" t="s">
        <v>3</v>
      </c>
      <c r="N210" s="56" t="s">
        <v>3</v>
      </c>
      <c r="O210" s="56" t="s">
        <v>3</v>
      </c>
      <c r="P210" s="56" t="s">
        <v>3</v>
      </c>
      <c r="Q210" s="56" t="s">
        <v>3</v>
      </c>
      <c r="R210" s="56" t="s">
        <v>3</v>
      </c>
      <c r="S210" s="293" t="s">
        <v>3</v>
      </c>
      <c r="T210" s="40">
        <v>2</v>
      </c>
      <c r="U210" s="40">
        <v>3</v>
      </c>
      <c r="V210" s="40">
        <v>6</v>
      </c>
      <c r="W210" s="40">
        <v>7</v>
      </c>
      <c r="X210" s="40">
        <v>5</v>
      </c>
      <c r="Y210" s="40">
        <v>6</v>
      </c>
      <c r="Z210" s="40">
        <v>6</v>
      </c>
      <c r="AA210" s="40">
        <v>6</v>
      </c>
      <c r="AB210" s="40">
        <v>6</v>
      </c>
      <c r="AC210" s="40">
        <v>6</v>
      </c>
      <c r="AD210" s="40">
        <v>6</v>
      </c>
      <c r="AE210" s="40">
        <v>6</v>
      </c>
      <c r="AF210" s="40">
        <v>6</v>
      </c>
      <c r="AG210" s="40">
        <v>5</v>
      </c>
      <c r="AH210" s="40">
        <v>6</v>
      </c>
      <c r="AI210" s="40">
        <v>5</v>
      </c>
      <c r="AJ210" s="40">
        <v>6</v>
      </c>
      <c r="AK210" s="40">
        <v>8</v>
      </c>
      <c r="AL210" s="40">
        <v>5</v>
      </c>
      <c r="AM210" s="55">
        <v>5</v>
      </c>
      <c r="AN210" s="139">
        <v>5</v>
      </c>
      <c r="AO210" s="139">
        <v>5</v>
      </c>
      <c r="AP210" s="139">
        <v>6</v>
      </c>
      <c r="AQ210" s="139">
        <v>5</v>
      </c>
      <c r="AR210" s="139">
        <v>5</v>
      </c>
      <c r="AS210" s="139">
        <v>6</v>
      </c>
      <c r="AT210" s="342">
        <v>5</v>
      </c>
      <c r="AU210" s="356">
        <v>6</v>
      </c>
      <c r="AV210" s="293">
        <v>6</v>
      </c>
      <c r="AW210" s="293">
        <v>6</v>
      </c>
      <c r="AX210" s="293">
        <v>7</v>
      </c>
      <c r="AY210" s="293">
        <v>7</v>
      </c>
      <c r="AZ210" s="293">
        <v>8</v>
      </c>
      <c r="BA210" s="293">
        <v>7</v>
      </c>
      <c r="BB210" s="293">
        <v>7</v>
      </c>
      <c r="BC210" s="293">
        <v>9</v>
      </c>
      <c r="BD210" s="314">
        <v>9</v>
      </c>
      <c r="BE210" s="314">
        <v>9</v>
      </c>
      <c r="BF210" s="314">
        <v>9</v>
      </c>
      <c r="BG210" s="314">
        <v>8</v>
      </c>
      <c r="BH210" s="314">
        <v>8</v>
      </c>
      <c r="BI210" s="385">
        <f>(BG210-BF210)/BF210</f>
        <v>-0.1111111111111111</v>
      </c>
      <c r="BJ210" s="385">
        <f>(BH210-BG210)/BG210</f>
        <v>0</v>
      </c>
      <c r="BK210" s="569">
        <f>BG210-BF210</f>
        <v>-1</v>
      </c>
      <c r="BL210" s="569">
        <f>BH210-BG210</f>
        <v>0</v>
      </c>
    </row>
    <row r="211" spans="1:64" s="57" customFormat="1" ht="12.75" customHeight="1">
      <c r="A211" s="125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9"/>
      <c r="M211" s="8"/>
      <c r="N211" s="8"/>
      <c r="O211" s="8"/>
      <c r="P211" s="8"/>
      <c r="Q211" s="8"/>
      <c r="R211" s="8"/>
      <c r="S211" s="516"/>
      <c r="T211" s="516"/>
      <c r="U211" s="516"/>
      <c r="V211" s="516"/>
      <c r="W211" s="516"/>
      <c r="X211" s="516"/>
      <c r="Y211" s="516"/>
      <c r="Z211" s="516"/>
      <c r="AA211" s="516"/>
      <c r="AB211" s="516"/>
      <c r="AC211" s="516"/>
      <c r="AD211" s="516"/>
      <c r="AE211" s="516"/>
      <c r="AF211" s="516"/>
      <c r="AG211" s="516"/>
      <c r="AH211" s="516"/>
      <c r="AI211" s="517"/>
      <c r="AJ211" s="517"/>
      <c r="AK211" s="517"/>
      <c r="AL211" s="305"/>
      <c r="AM211" s="305"/>
      <c r="AN211" s="312"/>
      <c r="AO211" s="312"/>
      <c r="AP211" s="312"/>
      <c r="AQ211" s="312"/>
      <c r="AR211" s="312"/>
      <c r="AS211" s="312"/>
      <c r="AT211" s="312"/>
      <c r="AU211" s="312"/>
      <c r="AV211" s="312"/>
      <c r="AW211" s="312"/>
      <c r="AX211" s="312"/>
      <c r="AY211" s="312"/>
      <c r="AZ211" s="312"/>
      <c r="BA211" s="312"/>
      <c r="BB211" s="328"/>
      <c r="BC211" s="312"/>
      <c r="BD211" s="552"/>
      <c r="BE211" s="552"/>
      <c r="BF211" s="552"/>
      <c r="BG211" s="552"/>
      <c r="BH211" s="552"/>
      <c r="BI211" s="329"/>
      <c r="BJ211" s="329"/>
      <c r="BK211" s="570"/>
      <c r="BL211" s="570"/>
    </row>
    <row r="212" spans="1:64" ht="11.25" customHeight="1">
      <c r="A212" s="125" t="s">
        <v>18</v>
      </c>
      <c r="B212" s="48" t="s">
        <v>3</v>
      </c>
      <c r="C212" s="48" t="s">
        <v>3</v>
      </c>
      <c r="D212" s="48" t="s">
        <v>3</v>
      </c>
      <c r="E212" s="48" t="s">
        <v>3</v>
      </c>
      <c r="F212" s="48" t="s">
        <v>3</v>
      </c>
      <c r="G212" s="48" t="s">
        <v>3</v>
      </c>
      <c r="H212" s="48" t="s">
        <v>3</v>
      </c>
      <c r="I212" s="48" t="s">
        <v>3</v>
      </c>
      <c r="J212" s="48" t="s">
        <v>3</v>
      </c>
      <c r="K212" s="48" t="s">
        <v>3</v>
      </c>
      <c r="L212" s="16" t="s">
        <v>3</v>
      </c>
      <c r="M212" s="16" t="s">
        <v>3</v>
      </c>
      <c r="N212" s="16" t="s">
        <v>3</v>
      </c>
      <c r="O212" s="16" t="s">
        <v>3</v>
      </c>
      <c r="P212" s="16" t="s">
        <v>3</v>
      </c>
      <c r="Q212" s="16" t="s">
        <v>3</v>
      </c>
      <c r="R212" s="13">
        <v>4</v>
      </c>
      <c r="S212" s="13">
        <v>7</v>
      </c>
      <c r="T212" s="336">
        <v>7</v>
      </c>
      <c r="U212" s="13">
        <v>7</v>
      </c>
      <c r="V212" s="13">
        <v>10</v>
      </c>
      <c r="W212" s="13">
        <v>9</v>
      </c>
      <c r="X212" s="13">
        <v>9</v>
      </c>
      <c r="Y212" s="13">
        <v>9</v>
      </c>
      <c r="Z212" s="13">
        <v>10</v>
      </c>
      <c r="AA212" s="13">
        <v>12</v>
      </c>
      <c r="AB212" s="13">
        <v>13</v>
      </c>
      <c r="AC212" s="13">
        <v>13</v>
      </c>
      <c r="AD212" s="13">
        <v>14</v>
      </c>
      <c r="AE212" s="13">
        <v>16</v>
      </c>
      <c r="AF212" s="13">
        <v>15</v>
      </c>
      <c r="AG212" s="13">
        <v>17</v>
      </c>
      <c r="AH212" s="13">
        <v>19</v>
      </c>
      <c r="AI212" s="13">
        <v>20</v>
      </c>
      <c r="AJ212" s="13">
        <v>23</v>
      </c>
      <c r="AK212" s="13">
        <v>25</v>
      </c>
      <c r="AL212" s="70">
        <v>26</v>
      </c>
      <c r="AM212" s="70">
        <v>28</v>
      </c>
      <c r="AN212" s="55">
        <v>31</v>
      </c>
      <c r="AO212" s="55">
        <v>33</v>
      </c>
      <c r="AP212" s="55">
        <v>40</v>
      </c>
      <c r="AQ212" s="55">
        <v>42</v>
      </c>
      <c r="AR212" s="55">
        <v>43</v>
      </c>
      <c r="AS212" s="55">
        <v>46</v>
      </c>
      <c r="AT212" s="55">
        <v>50</v>
      </c>
      <c r="AU212" s="55">
        <v>55</v>
      </c>
      <c r="AV212" s="33">
        <v>52</v>
      </c>
      <c r="AW212" s="33">
        <v>53</v>
      </c>
      <c r="AX212" s="33">
        <v>57</v>
      </c>
      <c r="AY212" s="33">
        <v>63</v>
      </c>
      <c r="AZ212" s="33">
        <v>64</v>
      </c>
      <c r="BA212" s="356">
        <v>64</v>
      </c>
      <c r="BB212" s="356">
        <v>67</v>
      </c>
      <c r="BC212" s="356">
        <v>65</v>
      </c>
      <c r="BD212" s="367">
        <v>63</v>
      </c>
      <c r="BE212" s="367">
        <v>66</v>
      </c>
      <c r="BF212" s="367">
        <v>69</v>
      </c>
      <c r="BG212" s="367">
        <v>84</v>
      </c>
      <c r="BH212" s="367">
        <v>72</v>
      </c>
      <c r="BI212" s="385">
        <f>(BG212-BF212)/BF212</f>
        <v>0.21739130434782608</v>
      </c>
      <c r="BJ212" s="385">
        <f>(BH212-BG212)/BG212</f>
        <v>-0.14285714285714285</v>
      </c>
      <c r="BK212" s="569">
        <f>BG212-BF212</f>
        <v>15</v>
      </c>
      <c r="BL212" s="569">
        <f>BH212-BG212</f>
        <v>-12</v>
      </c>
    </row>
    <row r="213" spans="1:64" ht="11.1" customHeight="1">
      <c r="A213" s="125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96"/>
      <c r="AN213" s="55"/>
      <c r="AO213" s="55"/>
      <c r="AP213" s="55"/>
      <c r="AQ213" s="55"/>
      <c r="AR213" s="55"/>
      <c r="AS213" s="55"/>
      <c r="AT213" s="55"/>
      <c r="AU213" s="55"/>
      <c r="AV213" s="33"/>
      <c r="AW213" s="33"/>
      <c r="AX213" s="33"/>
      <c r="AY213" s="33"/>
      <c r="AZ213" s="303"/>
      <c r="BA213" s="356"/>
      <c r="BB213" s="324"/>
      <c r="BC213" s="356"/>
      <c r="BD213" s="540"/>
      <c r="BE213" s="540"/>
      <c r="BF213" s="540"/>
      <c r="BG213" s="540"/>
      <c r="BH213" s="540"/>
      <c r="BI213" s="329"/>
      <c r="BJ213" s="329"/>
      <c r="BK213" s="570"/>
      <c r="BL213" s="570"/>
    </row>
    <row r="214" spans="1:64" ht="10.5" customHeight="1">
      <c r="A214" s="125" t="s">
        <v>14</v>
      </c>
      <c r="B214" s="28">
        <v>7</v>
      </c>
      <c r="C214" s="28">
        <v>8</v>
      </c>
      <c r="D214" s="28">
        <v>10</v>
      </c>
      <c r="E214" s="28">
        <v>11</v>
      </c>
      <c r="F214" s="28">
        <v>12</v>
      </c>
      <c r="G214" s="28">
        <v>14</v>
      </c>
      <c r="H214" s="28">
        <v>14</v>
      </c>
      <c r="I214" s="28">
        <v>14</v>
      </c>
      <c r="J214" s="28">
        <v>15</v>
      </c>
      <c r="K214" s="28">
        <v>16</v>
      </c>
      <c r="L214" s="13">
        <v>20</v>
      </c>
      <c r="M214" s="13">
        <v>22</v>
      </c>
      <c r="N214" s="13">
        <v>25</v>
      </c>
      <c r="O214" s="13">
        <v>27</v>
      </c>
      <c r="P214" s="13">
        <v>32</v>
      </c>
      <c r="Q214" s="13">
        <v>39</v>
      </c>
      <c r="R214" s="13">
        <v>44</v>
      </c>
      <c r="S214" s="13">
        <v>52</v>
      </c>
      <c r="T214" s="336">
        <v>59</v>
      </c>
      <c r="U214" s="13">
        <v>62</v>
      </c>
      <c r="V214" s="13">
        <v>69</v>
      </c>
      <c r="W214" s="13">
        <v>70</v>
      </c>
      <c r="X214" s="13">
        <v>68</v>
      </c>
      <c r="Y214" s="13">
        <v>65</v>
      </c>
      <c r="Z214" s="13">
        <v>66</v>
      </c>
      <c r="AA214" s="13">
        <v>65</v>
      </c>
      <c r="AB214" s="13">
        <v>62</v>
      </c>
      <c r="AC214" s="13">
        <v>66</v>
      </c>
      <c r="AD214" s="13">
        <v>69</v>
      </c>
      <c r="AE214" s="13">
        <v>65</v>
      </c>
      <c r="AF214" s="13">
        <v>71</v>
      </c>
      <c r="AG214" s="13">
        <v>74</v>
      </c>
      <c r="AH214" s="13">
        <v>85</v>
      </c>
      <c r="AI214" s="13">
        <v>86</v>
      </c>
      <c r="AJ214" s="13">
        <v>99</v>
      </c>
      <c r="AK214" s="13">
        <v>91</v>
      </c>
      <c r="AL214" s="13">
        <v>100</v>
      </c>
      <c r="AM214" s="26">
        <v>103</v>
      </c>
      <c r="AN214" s="55">
        <v>105</v>
      </c>
      <c r="AO214" s="65">
        <v>113</v>
      </c>
      <c r="AP214" s="65">
        <v>125</v>
      </c>
      <c r="AQ214" s="65">
        <v>139</v>
      </c>
      <c r="AR214" s="65">
        <v>162</v>
      </c>
      <c r="AS214" s="65">
        <v>166</v>
      </c>
      <c r="AT214" s="65">
        <v>183</v>
      </c>
      <c r="AU214" s="65">
        <v>189</v>
      </c>
      <c r="AV214" s="104">
        <v>201</v>
      </c>
      <c r="AW214" s="104">
        <v>214</v>
      </c>
      <c r="AX214" s="104">
        <v>231</v>
      </c>
      <c r="AY214" s="104">
        <v>265</v>
      </c>
      <c r="AZ214" s="104">
        <v>268</v>
      </c>
      <c r="BA214" s="357">
        <v>288</v>
      </c>
      <c r="BB214" s="357">
        <v>294</v>
      </c>
      <c r="BC214" s="357">
        <v>279</v>
      </c>
      <c r="BD214" s="370">
        <v>327</v>
      </c>
      <c r="BE214" s="370">
        <v>303</v>
      </c>
      <c r="BF214" s="370">
        <v>316</v>
      </c>
      <c r="BG214" s="370">
        <v>277</v>
      </c>
      <c r="BH214" s="370">
        <v>320</v>
      </c>
      <c r="BI214" s="385">
        <f>(BG214-BF214)/BF214</f>
        <v>-0.12341772151898735</v>
      </c>
      <c r="BJ214" s="385">
        <f>(BH214-BG214)/BG214</f>
        <v>0.1552346570397112</v>
      </c>
      <c r="BK214" s="569">
        <f>BG214-BF214</f>
        <v>-39</v>
      </c>
      <c r="BL214" s="569">
        <f>BH214-BG214</f>
        <v>43</v>
      </c>
    </row>
    <row r="215" spans="1:64" ht="11.1" customHeight="1">
      <c r="A215" s="12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96"/>
      <c r="AN215" s="113"/>
      <c r="AO215" s="65"/>
      <c r="AP215" s="65"/>
      <c r="AQ215" s="65"/>
      <c r="AR215" s="65"/>
      <c r="AS215" s="65"/>
      <c r="AT215" s="65"/>
      <c r="AU215" s="65"/>
      <c r="AV215" s="104"/>
      <c r="AW215" s="104"/>
      <c r="AX215" s="104"/>
      <c r="AY215" s="104"/>
      <c r="AZ215" s="304"/>
      <c r="BA215" s="357"/>
      <c r="BB215" s="323"/>
      <c r="BC215" s="335"/>
      <c r="BD215" s="545"/>
      <c r="BE215" s="545"/>
      <c r="BF215" s="545"/>
      <c r="BG215" s="545"/>
      <c r="BH215" s="545"/>
      <c r="BI215" s="329"/>
      <c r="BJ215" s="329"/>
      <c r="BK215" s="570"/>
      <c r="BL215" s="570"/>
    </row>
    <row r="216" spans="1:64" ht="14.25" customHeight="1">
      <c r="A216" s="129" t="s">
        <v>158</v>
      </c>
      <c r="B216" s="28">
        <v>2</v>
      </c>
      <c r="C216" s="28">
        <v>3</v>
      </c>
      <c r="D216" s="28">
        <v>3</v>
      </c>
      <c r="E216" s="28">
        <v>3</v>
      </c>
      <c r="F216" s="28">
        <v>3</v>
      </c>
      <c r="G216" s="28">
        <v>3</v>
      </c>
      <c r="H216" s="28">
        <v>3</v>
      </c>
      <c r="I216" s="28">
        <v>3</v>
      </c>
      <c r="J216" s="28">
        <v>4</v>
      </c>
      <c r="K216" s="28">
        <v>4</v>
      </c>
      <c r="L216" s="13">
        <v>4</v>
      </c>
      <c r="M216" s="13">
        <v>4</v>
      </c>
      <c r="N216" s="13">
        <v>5</v>
      </c>
      <c r="O216" s="13">
        <v>6</v>
      </c>
      <c r="P216" s="13">
        <v>7</v>
      </c>
      <c r="Q216" s="13">
        <v>8</v>
      </c>
      <c r="R216" s="13">
        <v>10</v>
      </c>
      <c r="S216" s="13">
        <v>11</v>
      </c>
      <c r="T216" s="336">
        <v>12</v>
      </c>
      <c r="U216" s="13">
        <v>12</v>
      </c>
      <c r="V216" s="13">
        <v>14</v>
      </c>
      <c r="W216" s="13">
        <v>16</v>
      </c>
      <c r="X216" s="13">
        <v>17</v>
      </c>
      <c r="Y216" s="13">
        <v>19</v>
      </c>
      <c r="Z216" s="13">
        <v>23</v>
      </c>
      <c r="AA216" s="13">
        <v>21</v>
      </c>
      <c r="AB216" s="13">
        <v>28</v>
      </c>
      <c r="AC216" s="13">
        <v>27</v>
      </c>
      <c r="AD216" s="13">
        <v>37</v>
      </c>
      <c r="AE216" s="13">
        <v>36</v>
      </c>
      <c r="AF216" s="13">
        <v>37</v>
      </c>
      <c r="AG216" s="13">
        <v>38</v>
      </c>
      <c r="AH216" s="13">
        <v>42</v>
      </c>
      <c r="AI216" s="13">
        <v>43</v>
      </c>
      <c r="AJ216" s="13">
        <v>43</v>
      </c>
      <c r="AK216" s="13">
        <v>43</v>
      </c>
      <c r="AL216" s="13">
        <v>39</v>
      </c>
      <c r="AM216" s="26">
        <v>40</v>
      </c>
      <c r="AN216" s="55">
        <v>40</v>
      </c>
      <c r="AO216" s="55">
        <v>44</v>
      </c>
      <c r="AP216" s="55">
        <v>47</v>
      </c>
      <c r="AQ216" s="55">
        <v>49</v>
      </c>
      <c r="AR216" s="55">
        <v>52</v>
      </c>
      <c r="AS216" s="55">
        <v>52</v>
      </c>
      <c r="AT216" s="55">
        <v>54</v>
      </c>
      <c r="AU216" s="55">
        <v>60</v>
      </c>
      <c r="AV216" s="33">
        <v>64</v>
      </c>
      <c r="AW216" s="33">
        <v>63</v>
      </c>
      <c r="AX216" s="33">
        <v>68</v>
      </c>
      <c r="AY216" s="33">
        <v>74</v>
      </c>
      <c r="AZ216" s="33">
        <v>78</v>
      </c>
      <c r="BA216" s="356">
        <v>79</v>
      </c>
      <c r="BB216" s="356">
        <v>81</v>
      </c>
      <c r="BC216" s="356">
        <v>82</v>
      </c>
      <c r="BD216" s="367">
        <v>83</v>
      </c>
      <c r="BE216" s="367">
        <v>82</v>
      </c>
      <c r="BF216" s="367">
        <v>87</v>
      </c>
      <c r="BG216" s="367">
        <v>99</v>
      </c>
      <c r="BH216" s="367">
        <v>88</v>
      </c>
      <c r="BI216" s="385">
        <f>(BG216-BF216)/BF216</f>
        <v>0.13793103448275862</v>
      </c>
      <c r="BJ216" s="385">
        <f>(BH216-BG216)/BG216</f>
        <v>-0.1111111111111111</v>
      </c>
      <c r="BK216" s="569">
        <f>BG216-BF216</f>
        <v>12</v>
      </c>
      <c r="BL216" s="569">
        <f>BH216-BG216</f>
        <v>-11</v>
      </c>
    </row>
    <row r="217" spans="1:64" ht="11.1" customHeight="1">
      <c r="A217" s="12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96"/>
      <c r="AN217" s="55"/>
      <c r="AO217" s="55"/>
      <c r="AP217" s="55"/>
      <c r="AQ217" s="55"/>
      <c r="AR217" s="55"/>
      <c r="AS217" s="55"/>
      <c r="AT217" s="55"/>
      <c r="AU217" s="55"/>
      <c r="AV217" s="33"/>
      <c r="AW217" s="33"/>
      <c r="AX217" s="33"/>
      <c r="AY217" s="33"/>
      <c r="AZ217" s="303"/>
      <c r="BA217" s="356"/>
      <c r="BB217" s="324"/>
      <c r="BC217" s="356"/>
      <c r="BD217" s="540"/>
      <c r="BE217" s="540"/>
      <c r="BF217" s="540"/>
      <c r="BG217" s="540"/>
      <c r="BH217" s="540"/>
      <c r="BI217" s="329"/>
      <c r="BJ217" s="329"/>
      <c r="BK217" s="570"/>
      <c r="BL217" s="570"/>
    </row>
    <row r="218" spans="1:64" ht="12" customHeight="1">
      <c r="A218" s="126" t="s">
        <v>51</v>
      </c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13"/>
      <c r="M218" s="13"/>
      <c r="N218" s="13"/>
      <c r="O218" s="13"/>
      <c r="P218" s="13"/>
      <c r="Q218" s="13"/>
      <c r="R218" s="13"/>
      <c r="S218" s="13"/>
      <c r="T218" s="336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26"/>
      <c r="AN218" s="65"/>
      <c r="AO218" s="65"/>
      <c r="AP218" s="65"/>
      <c r="AQ218" s="65"/>
      <c r="AR218" s="65"/>
      <c r="AS218" s="65"/>
      <c r="AT218" s="65"/>
      <c r="AU218" s="65"/>
      <c r="AV218" s="104"/>
      <c r="AW218" s="104"/>
      <c r="AX218" s="104"/>
      <c r="AY218" s="104"/>
      <c r="AZ218" s="304"/>
      <c r="BA218" s="357"/>
      <c r="BB218" s="323"/>
      <c r="BC218" s="335"/>
      <c r="BD218" s="545"/>
      <c r="BE218" s="545"/>
      <c r="BF218" s="545"/>
      <c r="BG218" s="545"/>
      <c r="BH218" s="545"/>
      <c r="BI218" s="329"/>
      <c r="BJ218" s="329"/>
      <c r="BK218" s="570"/>
      <c r="BL218" s="570"/>
    </row>
    <row r="219" spans="1:64" ht="11.1" customHeight="1">
      <c r="A219" s="125" t="s">
        <v>26</v>
      </c>
      <c r="B219" s="33">
        <v>1</v>
      </c>
      <c r="C219" s="28">
        <v>2</v>
      </c>
      <c r="D219" s="28">
        <v>2</v>
      </c>
      <c r="E219" s="28">
        <v>2</v>
      </c>
      <c r="F219" s="28">
        <v>2</v>
      </c>
      <c r="G219" s="28">
        <v>2</v>
      </c>
      <c r="H219" s="28">
        <v>2</v>
      </c>
      <c r="I219" s="28">
        <v>2</v>
      </c>
      <c r="J219" s="28">
        <v>3</v>
      </c>
      <c r="K219" s="28">
        <v>3</v>
      </c>
      <c r="L219" s="13">
        <v>3</v>
      </c>
      <c r="M219" s="13">
        <v>4</v>
      </c>
      <c r="N219" s="13">
        <v>4</v>
      </c>
      <c r="O219" s="13">
        <v>5</v>
      </c>
      <c r="P219" s="13">
        <v>5</v>
      </c>
      <c r="Q219" s="13">
        <v>6</v>
      </c>
      <c r="R219" s="13">
        <v>7</v>
      </c>
      <c r="S219" s="13">
        <v>9</v>
      </c>
      <c r="T219" s="336">
        <v>12</v>
      </c>
      <c r="U219" s="13">
        <v>13</v>
      </c>
      <c r="V219" s="13">
        <v>14</v>
      </c>
      <c r="W219" s="13">
        <v>14</v>
      </c>
      <c r="X219" s="13">
        <v>14</v>
      </c>
      <c r="Y219" s="13">
        <v>15</v>
      </c>
      <c r="Z219" s="13">
        <v>16</v>
      </c>
      <c r="AA219" s="13">
        <v>17</v>
      </c>
      <c r="AB219" s="13">
        <v>17</v>
      </c>
      <c r="AC219" s="13">
        <v>17</v>
      </c>
      <c r="AD219" s="13">
        <v>18</v>
      </c>
      <c r="AE219" s="13">
        <v>21</v>
      </c>
      <c r="AF219" s="13">
        <v>19</v>
      </c>
      <c r="AG219" s="13">
        <v>22</v>
      </c>
      <c r="AH219" s="13">
        <v>25</v>
      </c>
      <c r="AI219" s="13">
        <v>27</v>
      </c>
      <c r="AJ219" s="13">
        <v>26</v>
      </c>
      <c r="AK219" s="13">
        <v>26</v>
      </c>
      <c r="AL219" s="13">
        <v>28</v>
      </c>
      <c r="AM219" s="26">
        <v>28</v>
      </c>
      <c r="AN219" s="26">
        <v>30</v>
      </c>
      <c r="AO219" s="26">
        <v>31</v>
      </c>
      <c r="AP219" s="26">
        <v>34</v>
      </c>
      <c r="AQ219" s="26">
        <v>37</v>
      </c>
      <c r="AR219" s="26">
        <v>38</v>
      </c>
      <c r="AS219" s="26">
        <v>40</v>
      </c>
      <c r="AT219" s="26">
        <v>44</v>
      </c>
      <c r="AU219" s="26">
        <v>46</v>
      </c>
      <c r="AV219" s="161">
        <v>47</v>
      </c>
      <c r="AW219" s="33">
        <v>61</v>
      </c>
      <c r="AX219" s="161">
        <v>47</v>
      </c>
      <c r="AY219" s="161">
        <v>46</v>
      </c>
      <c r="AZ219" s="161">
        <v>52</v>
      </c>
      <c r="BA219" s="320">
        <v>53</v>
      </c>
      <c r="BB219" s="320">
        <v>52</v>
      </c>
      <c r="BC219" s="320">
        <v>49</v>
      </c>
      <c r="BD219" s="374">
        <v>50</v>
      </c>
      <c r="BE219" s="374">
        <v>52</v>
      </c>
      <c r="BF219" s="374">
        <v>56</v>
      </c>
      <c r="BG219" s="374">
        <v>65</v>
      </c>
      <c r="BH219" s="374">
        <v>77</v>
      </c>
      <c r="BI219" s="385">
        <f>(BG219-BF219)/BF219</f>
        <v>0.16071428571428573</v>
      </c>
      <c r="BJ219" s="385">
        <f>(BH219-BG219)/BG219</f>
        <v>0.18461538461538463</v>
      </c>
      <c r="BK219" s="569">
        <f>BG219-BF219</f>
        <v>9</v>
      </c>
      <c r="BL219" s="569">
        <f>BH219-BG219</f>
        <v>12</v>
      </c>
    </row>
    <row r="220" spans="1:64" ht="11.1" customHeight="1">
      <c r="A220" s="125"/>
      <c r="B220" s="109"/>
      <c r="C220" s="45"/>
      <c r="D220" s="45"/>
      <c r="E220" s="45"/>
      <c r="F220" s="45"/>
      <c r="G220" s="45"/>
      <c r="H220" s="45"/>
      <c r="I220" s="45"/>
      <c r="J220" s="45"/>
      <c r="K220" s="45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96"/>
      <c r="AN220" s="96"/>
      <c r="AO220" s="96"/>
      <c r="AP220" s="96"/>
      <c r="AQ220" s="96"/>
      <c r="AR220" s="96"/>
      <c r="AS220" s="96"/>
      <c r="AT220" s="96"/>
      <c r="AU220" s="96"/>
      <c r="AV220" s="180"/>
      <c r="AW220" s="104"/>
      <c r="AX220" s="180"/>
      <c r="AY220" s="180"/>
      <c r="AZ220" s="302"/>
      <c r="BA220" s="319"/>
      <c r="BB220" s="325"/>
      <c r="BC220" s="302"/>
      <c r="BD220" s="547"/>
      <c r="BE220" s="547"/>
      <c r="BF220" s="547"/>
      <c r="BG220" s="547"/>
      <c r="BH220" s="547"/>
      <c r="BI220" s="329"/>
      <c r="BJ220" s="329"/>
      <c r="BK220" s="570"/>
      <c r="BL220" s="570"/>
    </row>
    <row r="221" spans="1:64" ht="9.75" customHeight="1">
      <c r="A221" s="125" t="s">
        <v>19</v>
      </c>
      <c r="B221" s="104">
        <v>8</v>
      </c>
      <c r="C221" s="103">
        <v>10</v>
      </c>
      <c r="D221" s="103">
        <v>11</v>
      </c>
      <c r="E221" s="103">
        <v>13</v>
      </c>
      <c r="F221" s="103">
        <v>14</v>
      </c>
      <c r="G221" s="103">
        <v>15</v>
      </c>
      <c r="H221" s="103">
        <v>16</v>
      </c>
      <c r="I221" s="103">
        <v>17</v>
      </c>
      <c r="J221" s="103">
        <v>18</v>
      </c>
      <c r="K221" s="103">
        <v>19</v>
      </c>
      <c r="L221" s="15">
        <v>22</v>
      </c>
      <c r="M221" s="15">
        <v>23</v>
      </c>
      <c r="N221" s="15">
        <v>26</v>
      </c>
      <c r="O221" s="15">
        <v>30</v>
      </c>
      <c r="P221" s="15">
        <v>35</v>
      </c>
      <c r="Q221" s="15">
        <v>44</v>
      </c>
      <c r="R221" s="15">
        <v>51</v>
      </c>
      <c r="S221" s="15">
        <v>54</v>
      </c>
      <c r="T221" s="15">
        <v>61</v>
      </c>
      <c r="U221" s="15">
        <v>66</v>
      </c>
      <c r="V221" s="15">
        <v>74</v>
      </c>
      <c r="W221" s="15">
        <v>78</v>
      </c>
      <c r="X221" s="15">
        <v>79</v>
      </c>
      <c r="Y221" s="15">
        <v>90</v>
      </c>
      <c r="Z221" s="15">
        <v>92</v>
      </c>
      <c r="AA221" s="15">
        <v>103</v>
      </c>
      <c r="AB221" s="15">
        <v>104</v>
      </c>
      <c r="AC221" s="15">
        <v>108</v>
      </c>
      <c r="AD221" s="15">
        <v>126</v>
      </c>
      <c r="AE221" s="15">
        <v>140</v>
      </c>
      <c r="AF221" s="15">
        <v>154</v>
      </c>
      <c r="AG221" s="15">
        <v>180</v>
      </c>
      <c r="AH221" s="15">
        <v>229</v>
      </c>
      <c r="AI221" s="15">
        <v>240</v>
      </c>
      <c r="AJ221" s="15">
        <v>259</v>
      </c>
      <c r="AK221" s="15">
        <v>279</v>
      </c>
      <c r="AL221" s="15">
        <v>284</v>
      </c>
      <c r="AM221" s="42">
        <v>302</v>
      </c>
      <c r="AN221" s="42">
        <v>301</v>
      </c>
      <c r="AO221" s="42">
        <v>339</v>
      </c>
      <c r="AP221" s="42">
        <v>357</v>
      </c>
      <c r="AQ221" s="42">
        <v>419</v>
      </c>
      <c r="AR221" s="42">
        <v>478</v>
      </c>
      <c r="AS221" s="42">
        <v>469</v>
      </c>
      <c r="AT221" s="42">
        <v>708</v>
      </c>
      <c r="AU221" s="42">
        <v>865</v>
      </c>
      <c r="AV221" s="92">
        <v>872</v>
      </c>
      <c r="AW221" s="69">
        <v>829</v>
      </c>
      <c r="AX221" s="180">
        <v>879</v>
      </c>
      <c r="AY221" s="104">
        <v>952</v>
      </c>
      <c r="AZ221" s="104">
        <v>1003</v>
      </c>
      <c r="BA221" s="357">
        <v>1161</v>
      </c>
      <c r="BB221" s="357">
        <v>1180</v>
      </c>
      <c r="BC221" s="357">
        <v>1286</v>
      </c>
      <c r="BD221" s="370">
        <v>1295</v>
      </c>
      <c r="BE221" s="370">
        <v>1423</v>
      </c>
      <c r="BF221" s="370">
        <v>1633</v>
      </c>
      <c r="BG221" s="370">
        <v>1617</v>
      </c>
      <c r="BH221" s="370">
        <v>1679</v>
      </c>
      <c r="BI221" s="385">
        <f t="shared" ref="BI221:BJ224" si="96">(BG221-BF221)/BF221</f>
        <v>-9.7979179424372322E-3</v>
      </c>
      <c r="BJ221" s="385">
        <f t="shared" si="96"/>
        <v>3.8342609771181202E-2</v>
      </c>
      <c r="BK221" s="569">
        <f t="shared" ref="BK221:BL224" si="97">BG221-BF221</f>
        <v>-16</v>
      </c>
      <c r="BL221" s="569">
        <f t="shared" si="97"/>
        <v>62</v>
      </c>
    </row>
    <row r="222" spans="1:64">
      <c r="A222" s="128" t="s">
        <v>52</v>
      </c>
      <c r="B222" s="31">
        <f t="shared" ref="B222:M222" si="98">SUM(B201+B204+B214+B216+B219+B221)</f>
        <v>48</v>
      </c>
      <c r="C222" s="31">
        <f t="shared" si="98"/>
        <v>55</v>
      </c>
      <c r="D222" s="31">
        <f t="shared" si="98"/>
        <v>60</v>
      </c>
      <c r="E222" s="31">
        <f t="shared" si="98"/>
        <v>66</v>
      </c>
      <c r="F222" s="31">
        <f t="shared" si="98"/>
        <v>69</v>
      </c>
      <c r="G222" s="31">
        <f t="shared" si="98"/>
        <v>77</v>
      </c>
      <c r="H222" s="31">
        <f t="shared" si="98"/>
        <v>81</v>
      </c>
      <c r="I222" s="31">
        <f t="shared" si="98"/>
        <v>85</v>
      </c>
      <c r="J222" s="31">
        <f t="shared" si="98"/>
        <v>91</v>
      </c>
      <c r="K222" s="31">
        <f t="shared" si="98"/>
        <v>99</v>
      </c>
      <c r="L222" s="31">
        <f t="shared" si="98"/>
        <v>113</v>
      </c>
      <c r="M222" s="31">
        <f t="shared" si="98"/>
        <v>125</v>
      </c>
      <c r="N222" s="31">
        <f>SUM(N193+N201+N204+N214+N216+N219+N221)</f>
        <v>138</v>
      </c>
      <c r="O222" s="31">
        <f>SUM(O193+O201+O204+O214+O216+O219+O221)</f>
        <v>149</v>
      </c>
      <c r="P222" s="31">
        <f>SUM(P193+P201+P204+P214+P216+P219+P221)</f>
        <v>175</v>
      </c>
      <c r="Q222" s="31">
        <f>SUM(Q193+Q201+Q204+Q214+Q216+Q219+Q221)</f>
        <v>196</v>
      </c>
      <c r="R222" s="31">
        <f>SUM(R193+R195+R201+R204+R212+R214+R216+R219+R221)</f>
        <v>232</v>
      </c>
      <c r="S222" s="31">
        <f>SUM(S193+S195+S201+S204+S212+S214+S216+S219+S221)</f>
        <v>258</v>
      </c>
      <c r="T222" s="31">
        <f>SUM(T193+T195+T201+T204+T212+T214+T216+T219+T221+T210)</f>
        <v>292</v>
      </c>
      <c r="U222" s="31">
        <f>SUM(U193+U195+U201+U204+U212+U214+U216+U219+U221+U207+U210)</f>
        <v>316</v>
      </c>
      <c r="V222" s="31">
        <f>SUM(V193+V195+V201+V204+V212+V214+V216+V219+V221+V207+V210)</f>
        <v>369</v>
      </c>
      <c r="W222" s="31">
        <f>SUM(W195+W201+W204+W212+W214+W216+W219+W221+W207+W210)</f>
        <v>384</v>
      </c>
      <c r="X222" s="31">
        <f>SUM(X201+X204+X212+X214+X216+X219+X221+X207+X210)</f>
        <v>389</v>
      </c>
      <c r="Y222" s="31">
        <f t="shared" ref="Y222:AA222" si="99">SUM(Y201+Y204+Y212+Y214+Y216+Y219+Y221+Y207+Y210)</f>
        <v>423</v>
      </c>
      <c r="Z222" s="31">
        <f t="shared" si="99"/>
        <v>457</v>
      </c>
      <c r="AA222" s="31">
        <f t="shared" si="99"/>
        <v>507</v>
      </c>
      <c r="AB222" s="31">
        <f t="shared" ref="AB222:BG222" si="100">SUM(AB201+AB204+AB207+AB212+AB214+AB216+AB219+AB221+AB210)</f>
        <v>528</v>
      </c>
      <c r="AC222" s="31">
        <f t="shared" si="100"/>
        <v>568</v>
      </c>
      <c r="AD222" s="31">
        <f t="shared" si="100"/>
        <v>616</v>
      </c>
      <c r="AE222" s="31">
        <f t="shared" si="100"/>
        <v>704</v>
      </c>
      <c r="AF222" s="31">
        <f t="shared" si="100"/>
        <v>738</v>
      </c>
      <c r="AG222" s="31">
        <f t="shared" si="100"/>
        <v>819</v>
      </c>
      <c r="AH222" s="31">
        <f t="shared" si="100"/>
        <v>923</v>
      </c>
      <c r="AI222" s="31">
        <f t="shared" si="100"/>
        <v>1014</v>
      </c>
      <c r="AJ222" s="31">
        <f t="shared" si="100"/>
        <v>1102</v>
      </c>
      <c r="AK222" s="31">
        <f t="shared" si="100"/>
        <v>1160</v>
      </c>
      <c r="AL222" s="31">
        <f t="shared" si="100"/>
        <v>1214</v>
      </c>
      <c r="AM222" s="31">
        <f t="shared" si="100"/>
        <v>1376</v>
      </c>
      <c r="AN222" s="31">
        <f t="shared" si="100"/>
        <v>1414</v>
      </c>
      <c r="AO222" s="31">
        <f t="shared" si="100"/>
        <v>1593</v>
      </c>
      <c r="AP222" s="31">
        <f t="shared" si="100"/>
        <v>1686</v>
      </c>
      <c r="AQ222" s="31">
        <f t="shared" si="100"/>
        <v>1918</v>
      </c>
      <c r="AR222" s="31">
        <f t="shared" si="100"/>
        <v>2172</v>
      </c>
      <c r="AS222" s="31">
        <f t="shared" si="100"/>
        <v>2160</v>
      </c>
      <c r="AT222" s="31">
        <f t="shared" si="100"/>
        <v>2572</v>
      </c>
      <c r="AU222" s="31">
        <f t="shared" si="100"/>
        <v>2900</v>
      </c>
      <c r="AV222" s="31">
        <f t="shared" si="100"/>
        <v>3041</v>
      </c>
      <c r="AW222" s="31">
        <f t="shared" si="100"/>
        <v>3319.768115942029</v>
      </c>
      <c r="AX222" s="31">
        <f t="shared" si="100"/>
        <v>3482.3523809523813</v>
      </c>
      <c r="AY222" s="31">
        <f t="shared" si="100"/>
        <v>3702</v>
      </c>
      <c r="AZ222" s="31">
        <f t="shared" si="100"/>
        <v>3770</v>
      </c>
      <c r="BA222" s="31">
        <f t="shared" si="100"/>
        <v>4117</v>
      </c>
      <c r="BB222" s="31">
        <f t="shared" si="100"/>
        <v>4355</v>
      </c>
      <c r="BC222" s="31">
        <f t="shared" si="100"/>
        <v>4670</v>
      </c>
      <c r="BD222" s="31">
        <f t="shared" si="100"/>
        <v>4838</v>
      </c>
      <c r="BE222" s="592">
        <f t="shared" si="100"/>
        <v>5307.9032258064517</v>
      </c>
      <c r="BF222" s="556">
        <f t="shared" si="100"/>
        <v>5743</v>
      </c>
      <c r="BG222" s="645">
        <f t="shared" si="100"/>
        <v>5804</v>
      </c>
      <c r="BH222" s="645">
        <f t="shared" ref="BH222" si="101">SUM(BH201+BH204+BH207+BH212+BH214+BH216+BH219+BH221+BH210)</f>
        <v>6102</v>
      </c>
      <c r="BI222" s="415">
        <f t="shared" si="96"/>
        <v>1.062162632770329E-2</v>
      </c>
      <c r="BJ222" s="415">
        <f t="shared" si="96"/>
        <v>5.134390075809786E-2</v>
      </c>
      <c r="BK222" s="572">
        <f t="shared" si="97"/>
        <v>61</v>
      </c>
      <c r="BL222" s="572">
        <f t="shared" si="97"/>
        <v>298</v>
      </c>
    </row>
    <row r="223" spans="1:64" ht="12.75" customHeight="1">
      <c r="A223" s="130" t="s">
        <v>53</v>
      </c>
      <c r="B223" s="31">
        <f t="shared" ref="B223:M223" si="102">SUM(B222+B189+B160)</f>
        <v>179</v>
      </c>
      <c r="C223" s="31">
        <f t="shared" si="102"/>
        <v>209</v>
      </c>
      <c r="D223" s="31">
        <f t="shared" si="102"/>
        <v>215</v>
      </c>
      <c r="E223" s="31">
        <f t="shared" si="102"/>
        <v>249</v>
      </c>
      <c r="F223" s="31">
        <f t="shared" si="102"/>
        <v>269</v>
      </c>
      <c r="G223" s="31">
        <f t="shared" si="102"/>
        <v>316</v>
      </c>
      <c r="H223" s="31">
        <f t="shared" si="102"/>
        <v>309</v>
      </c>
      <c r="I223" s="31">
        <f t="shared" si="102"/>
        <v>344</v>
      </c>
      <c r="J223" s="31">
        <f t="shared" si="102"/>
        <v>375</v>
      </c>
      <c r="K223" s="31">
        <f t="shared" si="102"/>
        <v>403</v>
      </c>
      <c r="L223" s="31">
        <f t="shared" si="102"/>
        <v>487</v>
      </c>
      <c r="M223" s="31">
        <f t="shared" si="102"/>
        <v>561</v>
      </c>
      <c r="N223" s="31">
        <f t="shared" ref="N223:BE223" si="103">SUM(N160+N189+N222)</f>
        <v>553</v>
      </c>
      <c r="O223" s="31">
        <f t="shared" si="103"/>
        <v>486</v>
      </c>
      <c r="P223" s="31">
        <f t="shared" si="103"/>
        <v>607</v>
      </c>
      <c r="Q223" s="31">
        <f t="shared" si="103"/>
        <v>763</v>
      </c>
      <c r="R223" s="31">
        <f t="shared" si="103"/>
        <v>863</v>
      </c>
      <c r="S223" s="31">
        <f t="shared" si="103"/>
        <v>949</v>
      </c>
      <c r="T223" s="31">
        <f t="shared" si="103"/>
        <v>963</v>
      </c>
      <c r="U223" s="31">
        <f t="shared" si="103"/>
        <v>1044</v>
      </c>
      <c r="V223" s="31">
        <f t="shared" si="103"/>
        <v>1247</v>
      </c>
      <c r="W223" s="31">
        <f t="shared" si="103"/>
        <v>1220</v>
      </c>
      <c r="X223" s="31">
        <f t="shared" si="103"/>
        <v>1388</v>
      </c>
      <c r="Y223" s="31">
        <f t="shared" si="103"/>
        <v>1410</v>
      </c>
      <c r="Z223" s="31">
        <f t="shared" si="103"/>
        <v>1528</v>
      </c>
      <c r="AA223" s="31">
        <f t="shared" si="103"/>
        <v>1707</v>
      </c>
      <c r="AB223" s="31">
        <f t="shared" si="103"/>
        <v>2007</v>
      </c>
      <c r="AC223" s="31">
        <f t="shared" si="103"/>
        <v>1781</v>
      </c>
      <c r="AD223" s="31">
        <f t="shared" si="103"/>
        <v>2112</v>
      </c>
      <c r="AE223" s="31">
        <f t="shared" si="103"/>
        <v>2276</v>
      </c>
      <c r="AF223" s="31">
        <f t="shared" si="103"/>
        <v>2560</v>
      </c>
      <c r="AG223" s="31">
        <f t="shared" si="103"/>
        <v>2544</v>
      </c>
      <c r="AH223" s="31">
        <f t="shared" si="103"/>
        <v>2855</v>
      </c>
      <c r="AI223" s="31">
        <f t="shared" si="103"/>
        <v>3338</v>
      </c>
      <c r="AJ223" s="31">
        <f t="shared" si="103"/>
        <v>3177</v>
      </c>
      <c r="AK223" s="31">
        <f t="shared" si="103"/>
        <v>3771</v>
      </c>
      <c r="AL223" s="31">
        <f t="shared" si="103"/>
        <v>3542</v>
      </c>
      <c r="AM223" s="31">
        <f t="shared" si="103"/>
        <v>3885</v>
      </c>
      <c r="AN223" s="31">
        <f t="shared" si="103"/>
        <v>3844</v>
      </c>
      <c r="AO223" s="31">
        <f t="shared" si="103"/>
        <v>4094</v>
      </c>
      <c r="AP223" s="31">
        <f t="shared" si="103"/>
        <v>4406</v>
      </c>
      <c r="AQ223" s="31">
        <f t="shared" si="103"/>
        <v>4617</v>
      </c>
      <c r="AR223" s="31">
        <f t="shared" si="103"/>
        <v>5041</v>
      </c>
      <c r="AS223" s="31">
        <f t="shared" si="103"/>
        <v>5086</v>
      </c>
      <c r="AT223" s="31">
        <f t="shared" si="103"/>
        <v>5663</v>
      </c>
      <c r="AU223" s="31">
        <f t="shared" si="103"/>
        <v>5930</v>
      </c>
      <c r="AV223" s="31">
        <f t="shared" si="103"/>
        <v>6353</v>
      </c>
      <c r="AW223" s="31">
        <f t="shared" si="103"/>
        <v>6763.5702537720554</v>
      </c>
      <c r="AX223" s="31">
        <f t="shared" si="103"/>
        <v>7250.2417713373306</v>
      </c>
      <c r="AY223" s="31">
        <f t="shared" si="103"/>
        <v>7861</v>
      </c>
      <c r="AZ223" s="31">
        <f t="shared" si="103"/>
        <v>8220</v>
      </c>
      <c r="BA223" s="31">
        <f t="shared" si="103"/>
        <v>9002</v>
      </c>
      <c r="BB223" s="31">
        <f t="shared" si="103"/>
        <v>9553</v>
      </c>
      <c r="BC223" s="31">
        <f t="shared" si="103"/>
        <v>10379</v>
      </c>
      <c r="BD223" s="556">
        <f t="shared" si="103"/>
        <v>10605.756365715355</v>
      </c>
      <c r="BE223" s="556">
        <f t="shared" si="103"/>
        <v>11311.903225806451</v>
      </c>
      <c r="BF223" s="556">
        <f t="shared" ref="BF223:BG223" si="104">SUM(BF160+BF189+BF222)</f>
        <v>12214</v>
      </c>
      <c r="BG223" s="556">
        <f t="shared" si="104"/>
        <v>12519</v>
      </c>
      <c r="BH223" s="556">
        <f t="shared" ref="BH223" si="105">SUM(BH160+BH189+BH222)</f>
        <v>12868</v>
      </c>
      <c r="BI223" s="415">
        <f t="shared" si="96"/>
        <v>2.4971344358932373E-2</v>
      </c>
      <c r="BJ223" s="415">
        <f t="shared" si="96"/>
        <v>2.7877626008467129E-2</v>
      </c>
      <c r="BK223" s="572">
        <f t="shared" si="97"/>
        <v>305</v>
      </c>
      <c r="BL223" s="572">
        <f t="shared" si="97"/>
        <v>349</v>
      </c>
    </row>
    <row r="224" spans="1:64" ht="11.1" customHeight="1" thickBot="1">
      <c r="A224" s="169" t="s">
        <v>54</v>
      </c>
      <c r="B224" s="143">
        <f t="shared" ref="B224:AT224" si="106">SUM(B130+B223)</f>
        <v>533</v>
      </c>
      <c r="C224" s="143">
        <f t="shared" si="106"/>
        <v>630</v>
      </c>
      <c r="D224" s="143">
        <f t="shared" si="106"/>
        <v>698</v>
      </c>
      <c r="E224" s="143">
        <f t="shared" si="106"/>
        <v>801</v>
      </c>
      <c r="F224" s="143">
        <f t="shared" si="106"/>
        <v>859</v>
      </c>
      <c r="G224" s="143">
        <f t="shared" si="106"/>
        <v>920</v>
      </c>
      <c r="H224" s="143">
        <f t="shared" si="106"/>
        <v>954.84</v>
      </c>
      <c r="I224" s="143">
        <f t="shared" si="106"/>
        <v>1046</v>
      </c>
      <c r="J224" s="143">
        <f t="shared" si="106"/>
        <v>1194.5</v>
      </c>
      <c r="K224" s="143">
        <f t="shared" si="106"/>
        <v>1360</v>
      </c>
      <c r="L224" s="143">
        <f t="shared" si="106"/>
        <v>1584.3980000000001</v>
      </c>
      <c r="M224" s="143">
        <f t="shared" si="106"/>
        <v>1989.0340000000001</v>
      </c>
      <c r="N224" s="143">
        <f t="shared" si="106"/>
        <v>2378.3109999999997</v>
      </c>
      <c r="O224" s="143">
        <f t="shared" si="106"/>
        <v>3014.2049999999999</v>
      </c>
      <c r="P224" s="143">
        <f t="shared" si="106"/>
        <v>3210.2359999999999</v>
      </c>
      <c r="Q224" s="143">
        <f t="shared" si="106"/>
        <v>3889.9430000000002</v>
      </c>
      <c r="R224" s="143">
        <f t="shared" si="106"/>
        <v>4564.2039999999997</v>
      </c>
      <c r="S224" s="143">
        <f t="shared" si="106"/>
        <v>5104.9110000000001</v>
      </c>
      <c r="T224" s="143">
        <f t="shared" si="106"/>
        <v>5541.973</v>
      </c>
      <c r="U224" s="143">
        <f t="shared" si="106"/>
        <v>6206.3860000000004</v>
      </c>
      <c r="V224" s="143">
        <f t="shared" si="106"/>
        <v>7302.5599999999995</v>
      </c>
      <c r="W224" s="143">
        <f t="shared" si="106"/>
        <v>7655.357</v>
      </c>
      <c r="X224" s="143">
        <f t="shared" si="106"/>
        <v>7593.1459999999997</v>
      </c>
      <c r="Y224" s="143">
        <f t="shared" si="106"/>
        <v>7895.6270000000004</v>
      </c>
      <c r="Z224" s="143">
        <f t="shared" si="106"/>
        <v>8372.5040000000008</v>
      </c>
      <c r="AA224" s="143">
        <f t="shared" si="106"/>
        <v>8920.9739999999983</v>
      </c>
      <c r="AB224" s="143">
        <f t="shared" si="106"/>
        <v>9520.732</v>
      </c>
      <c r="AC224" s="143">
        <f t="shared" si="106"/>
        <v>10029.796</v>
      </c>
      <c r="AD224" s="143">
        <f t="shared" si="106"/>
        <v>11264.686</v>
      </c>
      <c r="AE224" s="143">
        <f t="shared" si="106"/>
        <v>12379.557000000001</v>
      </c>
      <c r="AF224" s="143">
        <f t="shared" si="106"/>
        <v>13683.168</v>
      </c>
      <c r="AG224" s="143">
        <f t="shared" si="106"/>
        <v>15125.498</v>
      </c>
      <c r="AH224" s="143">
        <f t="shared" si="106"/>
        <v>16944.548999999999</v>
      </c>
      <c r="AI224" s="143">
        <f t="shared" si="106"/>
        <v>17836.263999999999</v>
      </c>
      <c r="AJ224" s="143">
        <f t="shared" si="106"/>
        <v>18200.646000000001</v>
      </c>
      <c r="AK224" s="143">
        <f t="shared" si="106"/>
        <v>19474</v>
      </c>
      <c r="AL224" s="143">
        <f t="shared" si="106"/>
        <v>19398</v>
      </c>
      <c r="AM224" s="143">
        <f t="shared" si="106"/>
        <v>20803</v>
      </c>
      <c r="AN224" s="143">
        <f t="shared" si="106"/>
        <v>22476</v>
      </c>
      <c r="AO224" s="143">
        <f t="shared" si="106"/>
        <v>23658</v>
      </c>
      <c r="AP224" s="143">
        <f t="shared" si="106"/>
        <v>25414.609704131053</v>
      </c>
      <c r="AQ224" s="143">
        <f t="shared" si="106"/>
        <v>27084.569116926967</v>
      </c>
      <c r="AR224" s="143">
        <f t="shared" si="106"/>
        <v>32095.774949426836</v>
      </c>
      <c r="AS224" s="143">
        <f t="shared" si="106"/>
        <v>40530</v>
      </c>
      <c r="AT224" s="143">
        <f t="shared" si="106"/>
        <v>37720</v>
      </c>
      <c r="AU224" s="143">
        <f t="shared" ref="AU224:BE224" si="107">AU223+AU130</f>
        <v>39338</v>
      </c>
      <c r="AV224" s="226">
        <f t="shared" si="107"/>
        <v>41986</v>
      </c>
      <c r="AW224" s="226">
        <f t="shared" si="107"/>
        <v>43795.671407148569</v>
      </c>
      <c r="AX224" s="226">
        <f t="shared" si="107"/>
        <v>47293.168901266392</v>
      </c>
      <c r="AY224" s="226">
        <f t="shared" si="107"/>
        <v>51403</v>
      </c>
      <c r="AZ224" s="226">
        <f t="shared" si="107"/>
        <v>53887</v>
      </c>
      <c r="BA224" s="384">
        <f t="shared" si="107"/>
        <v>56091</v>
      </c>
      <c r="BB224" s="384">
        <f t="shared" si="107"/>
        <v>57786</v>
      </c>
      <c r="BC224" s="384">
        <f t="shared" si="107"/>
        <v>57655</v>
      </c>
      <c r="BD224" s="557">
        <f t="shared" si="107"/>
        <v>58951.756365715351</v>
      </c>
      <c r="BE224" s="557">
        <f t="shared" si="107"/>
        <v>60960.882065289246</v>
      </c>
      <c r="BF224" s="557">
        <f t="shared" ref="BF224:BG224" si="108">BF223+BF130</f>
        <v>63683</v>
      </c>
      <c r="BG224" s="557">
        <f t="shared" si="108"/>
        <v>65897</v>
      </c>
      <c r="BH224" s="557">
        <f t="shared" ref="BH224" si="109">BH223+BH130</f>
        <v>69353</v>
      </c>
      <c r="BI224" s="431">
        <f t="shared" si="96"/>
        <v>3.4765950096572081E-2</v>
      </c>
      <c r="BJ224" s="431">
        <f t="shared" si="96"/>
        <v>5.2445483102417409E-2</v>
      </c>
      <c r="BK224" s="579">
        <f t="shared" si="97"/>
        <v>2214</v>
      </c>
      <c r="BL224" s="579">
        <f t="shared" si="97"/>
        <v>3456</v>
      </c>
    </row>
    <row r="225" spans="1:64" ht="11.1" customHeight="1" thickTop="1">
      <c r="A225" s="125" t="s">
        <v>55</v>
      </c>
      <c r="B225" s="122" t="s">
        <v>71</v>
      </c>
      <c r="C225" s="124"/>
      <c r="L225" s="6"/>
      <c r="M225" s="6"/>
      <c r="N225" s="6"/>
      <c r="O225" s="6"/>
      <c r="P225" s="6"/>
      <c r="Q225" s="12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26"/>
      <c r="AQ225" s="200"/>
      <c r="AR225" s="200"/>
      <c r="AS225" s="200"/>
      <c r="AT225" s="200"/>
      <c r="AU225" s="320"/>
      <c r="AV225" s="327"/>
      <c r="AW225" s="305"/>
      <c r="AX225" s="538"/>
      <c r="AY225" s="538"/>
      <c r="AZ225" s="538"/>
      <c r="BA225" s="538"/>
      <c r="BB225" s="538"/>
      <c r="BC225" s="329"/>
      <c r="BD225" s="329"/>
      <c r="BE225" s="563"/>
      <c r="BF225" s="564"/>
      <c r="BG225"/>
      <c r="BH225"/>
      <c r="BI225"/>
      <c r="BJ225"/>
      <c r="BK225"/>
      <c r="BL225"/>
    </row>
    <row r="226" spans="1:64" ht="11.1" customHeight="1">
      <c r="A226" s="125" t="s">
        <v>59</v>
      </c>
      <c r="B226" s="129" t="s">
        <v>159</v>
      </c>
      <c r="C226" s="122"/>
      <c r="L226" s="6"/>
      <c r="M226" s="6"/>
      <c r="N226" s="6"/>
      <c r="O226" s="6"/>
      <c r="P226" s="6"/>
      <c r="Q226" s="12"/>
      <c r="R226" s="6"/>
      <c r="S226" s="6"/>
      <c r="T226" s="6"/>
      <c r="U226" s="6"/>
      <c r="V226" s="6"/>
      <c r="W226" s="6"/>
      <c r="X226" s="6"/>
      <c r="Y226" s="6"/>
      <c r="Z226" s="6"/>
      <c r="AA226" s="12"/>
      <c r="AB226" s="8"/>
      <c r="AC226" s="12"/>
      <c r="AD226" s="6"/>
      <c r="AE226" s="6"/>
      <c r="AF226" s="12"/>
      <c r="AG226" s="12"/>
      <c r="AH226" s="12"/>
      <c r="AI226" s="12"/>
      <c r="AJ226" s="12"/>
      <c r="AK226" s="12"/>
      <c r="AL226" s="6"/>
      <c r="AM226" s="26"/>
      <c r="AN226" s="26"/>
      <c r="AO226" s="26"/>
      <c r="AP226" s="26"/>
      <c r="AQ226" s="200"/>
      <c r="AR226" s="200"/>
      <c r="AS226" s="200"/>
      <c r="AT226" s="200"/>
      <c r="AU226" s="320"/>
      <c r="AV226" s="327"/>
      <c r="AW226" s="305"/>
      <c r="AX226" s="538"/>
      <c r="AY226" s="538"/>
      <c r="AZ226" s="538"/>
      <c r="BA226" s="538"/>
      <c r="BB226" s="538"/>
      <c r="BC226" s="329"/>
      <c r="BD226" s="329"/>
      <c r="BE226" s="563"/>
      <c r="BF226" s="564"/>
      <c r="BG226"/>
      <c r="BH226"/>
      <c r="BI226"/>
      <c r="BJ226"/>
      <c r="BK226"/>
      <c r="BL226"/>
    </row>
    <row r="227" spans="1:64" ht="11.1" customHeight="1">
      <c r="A227" s="125" t="s">
        <v>56</v>
      </c>
      <c r="B227" s="122"/>
      <c r="C227" s="122"/>
      <c r="D227" s="77"/>
      <c r="E227" s="77"/>
      <c r="F227" s="77"/>
      <c r="G227" s="77"/>
      <c r="H227" s="77"/>
      <c r="I227" s="77"/>
      <c r="J227" s="77"/>
      <c r="K227" s="77"/>
      <c r="L227" s="117"/>
      <c r="M227" s="11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1:64" ht="11.25" customHeight="1">
      <c r="A228" s="298" t="s">
        <v>122</v>
      </c>
      <c r="B228" s="121"/>
      <c r="C228" s="121"/>
      <c r="L228" s="12"/>
      <c r="M228" s="6"/>
      <c r="N228" s="6"/>
      <c r="O228" s="6"/>
      <c r="P228" s="6"/>
      <c r="Q228" s="12"/>
      <c r="R228" s="6"/>
      <c r="S228" s="6"/>
      <c r="T228" s="6"/>
      <c r="U228" s="6"/>
      <c r="V228" s="12"/>
      <c r="W228" s="6"/>
      <c r="X228" s="6"/>
      <c r="Y228" s="6"/>
      <c r="Z228" s="6"/>
      <c r="AA228" s="12"/>
      <c r="AB228" s="8"/>
      <c r="AC228" s="12"/>
      <c r="AD228" s="12"/>
      <c r="AE228" s="6"/>
      <c r="AF228" s="12"/>
      <c r="AG228" s="12"/>
      <c r="AH228" s="12"/>
      <c r="AI228" s="12"/>
      <c r="AJ228" s="12"/>
      <c r="AK228" s="12"/>
      <c r="AL228" s="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00"/>
      <c r="AX228" s="200"/>
      <c r="AY228" s="200"/>
      <c r="AZ228" s="200"/>
      <c r="BA228" s="320"/>
      <c r="BB228" s="327"/>
      <c r="BC228" s="305"/>
      <c r="BD228" s="538"/>
      <c r="BE228" s="538"/>
      <c r="BF228" s="538"/>
      <c r="BG228" s="538"/>
      <c r="BH228" s="538"/>
      <c r="BI228" s="329"/>
      <c r="BJ228" s="329"/>
    </row>
    <row r="229" spans="1:64" ht="11.1" customHeight="1">
      <c r="A229" s="121" t="s">
        <v>64</v>
      </c>
      <c r="B229" s="121"/>
      <c r="C229" s="122"/>
      <c r="L229" s="12"/>
      <c r="M229" s="6"/>
      <c r="N229" s="6"/>
      <c r="O229" s="6"/>
      <c r="P229" s="6"/>
      <c r="Q229" s="12"/>
      <c r="R229" s="6"/>
      <c r="S229" s="6"/>
      <c r="T229" s="6"/>
      <c r="U229" s="6"/>
      <c r="V229" s="12"/>
      <c r="W229" s="6"/>
      <c r="X229" s="6"/>
      <c r="Y229" s="6"/>
      <c r="Z229" s="6"/>
      <c r="AA229" s="12"/>
      <c r="AB229" s="8"/>
      <c r="AC229" s="12"/>
      <c r="AD229" s="12"/>
      <c r="AE229" s="6"/>
      <c r="AF229" s="12"/>
      <c r="AG229" s="12"/>
      <c r="AH229" s="12"/>
      <c r="AI229" s="12"/>
      <c r="AJ229" s="12"/>
      <c r="AK229" s="12"/>
      <c r="AL229" s="6"/>
      <c r="AM229" s="26"/>
      <c r="AN229" s="26"/>
      <c r="AO229" s="26"/>
      <c r="AP229" s="26"/>
      <c r="AQ229" s="26"/>
      <c r="AR229" s="26"/>
      <c r="AS229" s="26"/>
      <c r="AT229" s="200"/>
      <c r="AU229" s="200"/>
      <c r="AV229" s="200"/>
      <c r="AW229" s="200"/>
      <c r="AX229" s="320"/>
      <c r="AY229" s="327"/>
      <c r="AZ229" s="305"/>
      <c r="BA229" s="538"/>
      <c r="BB229" s="538"/>
      <c r="BC229" s="538"/>
      <c r="BD229" s="538"/>
      <c r="BE229" s="538"/>
      <c r="BF229" s="329"/>
      <c r="BG229" s="329"/>
      <c r="BH229" s="563"/>
      <c r="BI229" s="564"/>
      <c r="BJ229"/>
      <c r="BK229"/>
      <c r="BL229"/>
    </row>
    <row r="230" spans="1:64" ht="11.1" customHeight="1">
      <c r="A230" s="125"/>
      <c r="B230" s="122"/>
      <c r="C230" s="122"/>
      <c r="L230" s="12"/>
      <c r="M230" s="6"/>
      <c r="N230" s="6"/>
      <c r="O230" s="6"/>
      <c r="P230" s="6"/>
      <c r="Q230" s="12"/>
      <c r="R230" s="6"/>
      <c r="S230" s="6"/>
      <c r="T230" s="6"/>
      <c r="U230" s="6"/>
      <c r="V230" s="12"/>
      <c r="W230" s="6"/>
      <c r="X230" s="6"/>
      <c r="Y230" s="6"/>
      <c r="Z230" s="6"/>
      <c r="AA230" s="12"/>
      <c r="AB230" s="8"/>
      <c r="AC230" s="12"/>
      <c r="AD230" s="12"/>
      <c r="AE230" s="6"/>
      <c r="AF230" s="12"/>
      <c r="AG230" s="12"/>
      <c r="AH230" s="12"/>
      <c r="AI230" s="12"/>
      <c r="AJ230" s="12"/>
      <c r="AK230" s="12"/>
      <c r="AL230" s="6"/>
      <c r="AM230" s="26"/>
      <c r="AN230" s="26"/>
      <c r="AO230" s="26"/>
      <c r="AP230" s="26"/>
      <c r="AQ230" s="26"/>
      <c r="AR230" s="26"/>
      <c r="AS230" s="160"/>
      <c r="AT230" s="201"/>
      <c r="AU230" s="201"/>
      <c r="AV230" s="201"/>
      <c r="AW230" s="201"/>
      <c r="AX230" s="385"/>
      <c r="AY230" s="329"/>
      <c r="AZ230" s="299"/>
      <c r="BA230" s="558"/>
      <c r="BB230" s="558"/>
      <c r="BC230" s="558"/>
      <c r="BD230" s="558"/>
      <c r="BE230" s="558"/>
      <c r="BF230" s="329"/>
      <c r="BG230" s="329"/>
      <c r="BH230" s="563"/>
      <c r="BI230" s="564"/>
      <c r="BJ230"/>
      <c r="BK230"/>
      <c r="BL230"/>
    </row>
    <row r="231" spans="1:64" ht="11.1" customHeight="1">
      <c r="A231" s="125"/>
      <c r="L231" s="12"/>
      <c r="M231" s="6"/>
      <c r="N231" s="6"/>
      <c r="O231" s="6"/>
      <c r="P231" s="6"/>
      <c r="Q231" s="12"/>
      <c r="R231" s="6"/>
      <c r="S231" s="6"/>
      <c r="T231" s="6"/>
      <c r="U231" s="6"/>
      <c r="V231" s="12"/>
      <c r="W231" s="6"/>
      <c r="X231" s="6"/>
      <c r="Y231" s="6"/>
      <c r="Z231" s="6"/>
      <c r="AA231" s="12"/>
      <c r="AB231" s="8"/>
      <c r="AC231" s="12"/>
      <c r="AD231" s="12"/>
      <c r="AE231" s="6"/>
      <c r="AF231" s="12"/>
      <c r="AG231" s="12"/>
      <c r="AH231" s="12"/>
      <c r="AI231" s="12"/>
      <c r="AJ231" s="12"/>
      <c r="AK231" s="12"/>
      <c r="AL231" s="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00"/>
      <c r="AX231" s="200"/>
      <c r="AY231" s="200"/>
      <c r="AZ231" s="200"/>
      <c r="BA231" s="320"/>
      <c r="BB231" s="327"/>
      <c r="BC231" s="305"/>
      <c r="BD231" s="538"/>
      <c r="BE231" s="538"/>
      <c r="BF231" s="538"/>
      <c r="BG231" s="538"/>
      <c r="BH231" s="538"/>
      <c r="BI231" s="329"/>
      <c r="BJ231" s="329"/>
    </row>
    <row r="232" spans="1:64" ht="11.1" customHeight="1">
      <c r="A232" s="62"/>
      <c r="L232" s="12"/>
      <c r="M232" s="6"/>
      <c r="N232" s="6"/>
      <c r="O232" s="6"/>
      <c r="P232" s="6"/>
      <c r="Q232" s="12"/>
      <c r="R232" s="6"/>
      <c r="S232" s="6"/>
      <c r="T232" s="6"/>
      <c r="U232" s="6"/>
      <c r="V232" s="12"/>
      <c r="W232" s="6"/>
      <c r="X232" s="6"/>
      <c r="Y232" s="6"/>
      <c r="Z232" s="6"/>
      <c r="AA232" s="12"/>
      <c r="AB232" s="8"/>
      <c r="AC232" s="12"/>
      <c r="AD232" s="12"/>
      <c r="AE232" s="6"/>
      <c r="AF232" s="12"/>
      <c r="AG232" s="12"/>
      <c r="AH232" s="12"/>
      <c r="AI232" s="12"/>
      <c r="AJ232" s="12"/>
      <c r="AK232" s="12"/>
      <c r="AL232" s="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00"/>
      <c r="AX232" s="200"/>
      <c r="AY232" s="200"/>
      <c r="AZ232" s="200"/>
      <c r="BA232" s="320"/>
      <c r="BB232" s="327"/>
      <c r="BC232" s="305"/>
      <c r="BD232" s="538"/>
      <c r="BE232" s="538"/>
      <c r="BF232" s="538"/>
      <c r="BG232" s="538"/>
      <c r="BH232" s="538"/>
      <c r="BI232" s="329"/>
      <c r="BJ232" s="329"/>
    </row>
    <row r="233" spans="1:64" ht="11.1" customHeight="1">
      <c r="A233" s="62"/>
      <c r="L233" s="12"/>
      <c r="M233" s="6"/>
      <c r="N233" s="6"/>
      <c r="O233" s="6"/>
      <c r="P233" s="6"/>
      <c r="Q233" s="12"/>
      <c r="R233" s="6"/>
      <c r="S233" s="6"/>
      <c r="T233" s="6"/>
      <c r="U233" s="6"/>
      <c r="V233" s="12"/>
      <c r="W233" s="6"/>
      <c r="X233" s="6"/>
      <c r="Y233" s="6"/>
      <c r="Z233" s="6"/>
      <c r="AA233" s="12"/>
      <c r="AB233" s="8"/>
      <c r="AC233" s="12"/>
      <c r="AD233" s="12"/>
      <c r="AE233" s="6"/>
      <c r="AF233" s="12"/>
      <c r="AG233" s="12"/>
      <c r="AH233" s="12"/>
      <c r="AI233" s="12"/>
      <c r="AJ233" s="12"/>
      <c r="AK233" s="12"/>
      <c r="AL233" s="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00"/>
      <c r="AX233" s="200"/>
      <c r="AY233" s="200"/>
      <c r="AZ233" s="200"/>
      <c r="BA233" s="320"/>
      <c r="BB233" s="327"/>
      <c r="BC233" s="305"/>
      <c r="BD233" s="538"/>
      <c r="BE233" s="538"/>
      <c r="BF233" s="538"/>
      <c r="BG233" s="538"/>
      <c r="BH233" s="538"/>
      <c r="BI233" s="582"/>
      <c r="BJ233" s="582"/>
    </row>
    <row r="234" spans="1:64" ht="11.1" customHeight="1">
      <c r="A234" s="62"/>
      <c r="L234" s="12"/>
      <c r="M234" s="6"/>
      <c r="N234" s="6"/>
      <c r="O234" s="6"/>
      <c r="P234" s="6"/>
      <c r="Q234" s="12"/>
      <c r="R234" s="6"/>
      <c r="S234" s="6"/>
      <c r="T234" s="6"/>
      <c r="U234" s="6"/>
      <c r="V234" s="12"/>
      <c r="W234" s="6"/>
      <c r="X234" s="6"/>
      <c r="Y234" s="6"/>
      <c r="Z234" s="6"/>
      <c r="AA234" s="12"/>
      <c r="AB234" s="8"/>
      <c r="AC234" s="12"/>
      <c r="AD234" s="12"/>
      <c r="AE234" s="6"/>
      <c r="AF234" s="12"/>
      <c r="AG234" s="12"/>
      <c r="AH234" s="12"/>
      <c r="AI234" s="12"/>
      <c r="AJ234" s="12"/>
      <c r="AK234" s="12"/>
      <c r="AL234" s="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00"/>
      <c r="AX234" s="200"/>
      <c r="AY234" s="200"/>
      <c r="AZ234" s="200"/>
      <c r="BA234" s="320"/>
      <c r="BB234" s="327"/>
      <c r="BC234" s="305"/>
      <c r="BD234" s="538"/>
      <c r="BE234" s="538"/>
      <c r="BF234" s="538"/>
      <c r="BG234" s="538"/>
      <c r="BH234" s="538"/>
      <c r="BI234" s="329"/>
      <c r="BJ234" s="329"/>
    </row>
    <row r="235" spans="1:64" ht="11.1" customHeight="1">
      <c r="A235" s="62"/>
      <c r="L235" s="12"/>
      <c r="M235" s="6"/>
      <c r="N235" s="6"/>
      <c r="O235" s="6"/>
      <c r="P235" s="6"/>
      <c r="Q235" s="12"/>
      <c r="R235" s="6"/>
      <c r="S235" s="6"/>
      <c r="T235" s="6"/>
      <c r="U235" s="6"/>
      <c r="V235" s="12"/>
      <c r="W235" s="6"/>
      <c r="X235" s="6"/>
      <c r="Y235" s="6"/>
      <c r="Z235" s="6"/>
      <c r="AA235" s="12"/>
      <c r="AB235" s="8"/>
      <c r="AC235" s="12"/>
      <c r="AD235" s="12"/>
      <c r="AE235" s="6"/>
      <c r="AF235" s="12"/>
      <c r="AG235" s="12"/>
      <c r="AH235" s="12"/>
      <c r="AI235" s="12"/>
      <c r="AJ235" s="12"/>
      <c r="AK235" s="12"/>
      <c r="AL235" s="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00"/>
      <c r="AX235" s="200"/>
      <c r="AY235" s="200"/>
      <c r="AZ235" s="200"/>
      <c r="BA235" s="320"/>
      <c r="BB235" s="327"/>
      <c r="BC235" s="305"/>
      <c r="BD235" s="538"/>
      <c r="BE235" s="538"/>
      <c r="BF235" s="538"/>
      <c r="BG235" s="538"/>
      <c r="BH235" s="538"/>
      <c r="BI235" s="329"/>
      <c r="BJ235" s="329"/>
    </row>
    <row r="236" spans="1:64" ht="11.1" customHeight="1">
      <c r="A236" s="62"/>
      <c r="L236" s="12"/>
      <c r="M236" s="6"/>
      <c r="N236" s="6"/>
      <c r="O236" s="6"/>
      <c r="P236" s="6"/>
      <c r="Q236" s="12"/>
      <c r="R236" s="6"/>
      <c r="S236" s="6"/>
      <c r="T236" s="6"/>
      <c r="U236" s="6"/>
      <c r="V236" s="12"/>
      <c r="W236" s="6"/>
      <c r="X236" s="6"/>
      <c r="Y236" s="6"/>
      <c r="Z236" s="6"/>
      <c r="AA236" s="12"/>
      <c r="AB236" s="8"/>
      <c r="AC236" s="12"/>
      <c r="AD236" s="12"/>
      <c r="AE236" s="6"/>
      <c r="AF236" s="12"/>
      <c r="AG236" s="12"/>
      <c r="AH236" s="12"/>
      <c r="AI236" s="12"/>
      <c r="AJ236" s="12"/>
      <c r="AK236" s="12"/>
      <c r="AL236" s="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00"/>
      <c r="AX236" s="200"/>
      <c r="AY236" s="200"/>
      <c r="AZ236" s="200"/>
      <c r="BA236" s="320"/>
      <c r="BB236" s="327"/>
      <c r="BC236" s="305"/>
      <c r="BD236" s="538"/>
      <c r="BE236" s="538"/>
      <c r="BF236" s="538"/>
      <c r="BG236" s="538"/>
      <c r="BH236" s="538"/>
      <c r="BI236" s="329"/>
      <c r="BJ236" s="329"/>
    </row>
    <row r="237" spans="1:64" ht="11.1" customHeight="1">
      <c r="A237" s="62"/>
      <c r="L237" s="12"/>
      <c r="M237" s="6"/>
      <c r="N237" s="6"/>
      <c r="O237" s="6"/>
      <c r="P237" s="6"/>
      <c r="Q237" s="12"/>
      <c r="R237" s="6"/>
      <c r="S237" s="6"/>
      <c r="T237" s="6"/>
      <c r="U237" s="6"/>
      <c r="V237" s="12"/>
      <c r="W237" s="6"/>
      <c r="X237" s="6"/>
      <c r="Y237" s="6"/>
      <c r="Z237" s="6"/>
      <c r="AA237" s="12"/>
      <c r="AB237" s="8"/>
      <c r="AC237" s="12"/>
      <c r="AD237" s="12"/>
      <c r="AE237" s="6"/>
      <c r="AF237" s="12"/>
      <c r="AG237" s="12"/>
      <c r="AH237" s="12"/>
      <c r="AI237" s="12"/>
      <c r="AJ237" s="12"/>
      <c r="AK237" s="12"/>
      <c r="AL237" s="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00"/>
      <c r="AX237" s="200"/>
      <c r="AY237" s="200"/>
      <c r="AZ237" s="200"/>
      <c r="BA237" s="320"/>
      <c r="BB237" s="327"/>
      <c r="BC237" s="305"/>
      <c r="BD237" s="538"/>
      <c r="BE237" s="538"/>
      <c r="BF237" s="538"/>
      <c r="BG237" s="538"/>
      <c r="BH237" s="538"/>
      <c r="BI237" s="329"/>
      <c r="BJ237" s="329"/>
    </row>
    <row r="238" spans="1:64" ht="11.1" customHeight="1">
      <c r="A238" s="62"/>
      <c r="L238" s="12"/>
      <c r="M238" s="6"/>
      <c r="N238" s="6"/>
      <c r="O238" s="6"/>
      <c r="P238" s="6"/>
      <c r="Q238" s="12"/>
      <c r="R238" s="6"/>
      <c r="S238" s="6"/>
      <c r="T238" s="6"/>
      <c r="U238" s="6"/>
      <c r="V238" s="12"/>
      <c r="W238" s="6"/>
      <c r="X238" s="6"/>
      <c r="Y238" s="6"/>
      <c r="Z238" s="6"/>
      <c r="AA238" s="12"/>
      <c r="AB238" s="8"/>
      <c r="AC238" s="12"/>
      <c r="AD238" s="12"/>
      <c r="AE238" s="6"/>
      <c r="AF238" s="12"/>
      <c r="AG238" s="12"/>
      <c r="AH238" s="12"/>
      <c r="AI238" s="12"/>
      <c r="AJ238" s="12"/>
      <c r="AK238" s="12"/>
      <c r="AL238" s="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00"/>
      <c r="AX238" s="200"/>
      <c r="AY238" s="200"/>
      <c r="AZ238" s="200"/>
      <c r="BA238" s="320"/>
      <c r="BB238" s="327"/>
      <c r="BC238" s="305"/>
      <c r="BD238" s="538"/>
      <c r="BE238" s="538"/>
      <c r="BF238" s="538"/>
      <c r="BG238" s="538"/>
      <c r="BH238" s="538"/>
      <c r="BI238" s="329"/>
      <c r="BJ238" s="329"/>
    </row>
    <row r="239" spans="1:64" ht="11.1" customHeight="1">
      <c r="A239" s="62"/>
      <c r="L239" s="12"/>
      <c r="M239" s="6"/>
      <c r="N239" s="6"/>
      <c r="O239" s="6"/>
      <c r="P239" s="6"/>
      <c r="Q239" s="12"/>
      <c r="R239" s="6"/>
      <c r="S239" s="6"/>
      <c r="T239" s="6"/>
      <c r="U239" s="6"/>
      <c r="V239" s="12"/>
      <c r="W239" s="6"/>
      <c r="X239" s="6"/>
      <c r="Y239" s="6"/>
      <c r="Z239" s="6"/>
      <c r="AA239" s="12"/>
      <c r="AB239" s="8"/>
      <c r="AC239" s="12"/>
      <c r="AD239" s="12"/>
      <c r="AE239" s="6"/>
      <c r="AF239" s="12"/>
      <c r="AG239" s="12"/>
      <c r="AH239" s="12"/>
      <c r="AI239" s="12"/>
      <c r="AJ239" s="12"/>
      <c r="AK239" s="12"/>
      <c r="AL239" s="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00"/>
      <c r="AX239" s="200"/>
      <c r="AY239" s="200"/>
      <c r="AZ239" s="200"/>
      <c r="BA239" s="320"/>
      <c r="BB239" s="327"/>
      <c r="BC239" s="305"/>
      <c r="BD239" s="538"/>
      <c r="BE239" s="538"/>
      <c r="BF239" s="538"/>
      <c r="BG239" s="538"/>
      <c r="BH239" s="538"/>
      <c r="BI239" s="329"/>
      <c r="BJ239" s="329"/>
    </row>
    <row r="240" spans="1:64" ht="11.1" customHeight="1">
      <c r="A240" s="62"/>
      <c r="L240" s="12"/>
      <c r="M240" s="6"/>
      <c r="N240" s="6"/>
      <c r="O240" s="6"/>
      <c r="P240" s="6"/>
      <c r="Q240" s="12"/>
      <c r="R240" s="6"/>
      <c r="S240" s="6"/>
      <c r="T240" s="6"/>
      <c r="U240" s="6"/>
      <c r="V240" s="12"/>
      <c r="W240" s="6"/>
      <c r="X240" s="6"/>
      <c r="Y240" s="6"/>
      <c r="Z240" s="6"/>
      <c r="AA240" s="12"/>
      <c r="AB240" s="8"/>
      <c r="AC240" s="12"/>
      <c r="AD240" s="12"/>
      <c r="AE240" s="6"/>
      <c r="AF240" s="12"/>
      <c r="AG240" s="12"/>
      <c r="AH240" s="12"/>
      <c r="AI240" s="12"/>
      <c r="AJ240" s="12"/>
      <c r="AK240" s="12"/>
      <c r="AL240" s="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00"/>
      <c r="AX240" s="200"/>
      <c r="AY240" s="200"/>
      <c r="AZ240" s="200"/>
      <c r="BA240" s="320"/>
      <c r="BB240" s="327"/>
      <c r="BC240" s="305"/>
      <c r="BD240" s="538"/>
      <c r="BE240" s="538"/>
      <c r="BF240" s="538"/>
      <c r="BG240" s="538"/>
      <c r="BH240" s="538"/>
      <c r="BI240" s="329"/>
      <c r="BJ240" s="329"/>
    </row>
    <row r="241" spans="1:64" ht="11.1" customHeight="1">
      <c r="A241" s="62"/>
      <c r="L241" s="12"/>
      <c r="M241" s="6"/>
      <c r="N241" s="6"/>
      <c r="O241" s="6"/>
      <c r="P241" s="6"/>
      <c r="Q241" s="12"/>
      <c r="R241" s="6"/>
      <c r="S241" s="6"/>
      <c r="T241" s="6"/>
      <c r="U241" s="6"/>
      <c r="V241" s="12"/>
      <c r="W241" s="6"/>
      <c r="X241" s="6"/>
      <c r="Y241" s="6"/>
      <c r="Z241" s="6"/>
      <c r="AA241" s="12"/>
      <c r="AB241" s="8"/>
      <c r="AC241" s="12"/>
      <c r="AD241" s="12"/>
      <c r="AE241" s="6"/>
      <c r="AF241" s="12"/>
      <c r="AG241" s="12"/>
      <c r="AH241" s="12"/>
      <c r="AI241" s="12"/>
      <c r="AJ241" s="12"/>
      <c r="AK241" s="12"/>
      <c r="AL241" s="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00"/>
      <c r="AX241" s="200"/>
      <c r="AY241" s="200"/>
      <c r="AZ241" s="200"/>
      <c r="BA241" s="320"/>
      <c r="BB241" s="327"/>
      <c r="BC241" s="305"/>
      <c r="BD241" s="538"/>
      <c r="BE241" s="538"/>
      <c r="BF241" s="538"/>
      <c r="BG241" s="538"/>
      <c r="BH241" s="538"/>
      <c r="BI241" s="329"/>
      <c r="BJ241" s="329"/>
    </row>
    <row r="242" spans="1:64" ht="11.1" customHeight="1">
      <c r="A242" s="62"/>
      <c r="L242" s="12"/>
      <c r="M242" s="6"/>
      <c r="N242" s="6"/>
      <c r="O242" s="6"/>
      <c r="P242" s="6"/>
      <c r="Q242" s="12"/>
      <c r="R242" s="6"/>
      <c r="S242" s="6"/>
      <c r="T242" s="6"/>
      <c r="U242" s="6"/>
      <c r="V242" s="12"/>
      <c r="W242" s="6"/>
      <c r="X242" s="6"/>
      <c r="Y242" s="6"/>
      <c r="Z242" s="6"/>
      <c r="AA242" s="12"/>
      <c r="AB242" s="8"/>
      <c r="AC242" s="12"/>
      <c r="AD242" s="12"/>
      <c r="AE242" s="6"/>
      <c r="AF242" s="12"/>
      <c r="AG242" s="12"/>
      <c r="AH242" s="12"/>
      <c r="AI242" s="12"/>
      <c r="AJ242" s="12"/>
      <c r="AK242" s="12"/>
      <c r="AL242" s="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00"/>
      <c r="AX242" s="200"/>
      <c r="AY242" s="200"/>
      <c r="AZ242" s="200"/>
      <c r="BA242" s="320"/>
      <c r="BB242" s="327"/>
      <c r="BC242" s="305"/>
      <c r="BD242" s="538"/>
      <c r="BE242" s="538"/>
      <c r="BF242" s="538"/>
      <c r="BG242" s="538"/>
      <c r="BH242" s="538"/>
      <c r="BI242" s="472"/>
      <c r="BJ242" s="472"/>
      <c r="BK242" s="580"/>
      <c r="BL242" s="580"/>
    </row>
    <row r="243" spans="1:64" ht="11.1" customHeight="1">
      <c r="A243" s="62"/>
      <c r="L243" s="12"/>
      <c r="M243" s="6"/>
      <c r="N243" s="6"/>
      <c r="O243" s="6"/>
      <c r="P243" s="6"/>
      <c r="Q243" s="12"/>
      <c r="R243" s="6"/>
      <c r="S243" s="6"/>
      <c r="T243" s="6"/>
      <c r="U243" s="6"/>
      <c r="V243" s="12"/>
      <c r="W243" s="6"/>
      <c r="X243" s="6"/>
      <c r="Y243" s="6"/>
      <c r="Z243" s="6"/>
      <c r="AA243" s="12"/>
      <c r="AB243" s="8"/>
      <c r="AC243" s="12"/>
      <c r="AD243" s="12"/>
      <c r="AE243" s="6"/>
      <c r="AF243" s="12"/>
      <c r="AG243" s="12"/>
      <c r="AH243" s="12"/>
      <c r="AI243" s="12"/>
      <c r="AJ243" s="12"/>
      <c r="AK243" s="12"/>
      <c r="AL243" s="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00"/>
      <c r="AX243" s="200"/>
      <c r="AY243" s="200"/>
      <c r="AZ243" s="200"/>
      <c r="BA243" s="320"/>
      <c r="BB243" s="327"/>
      <c r="BC243" s="305"/>
      <c r="BD243" s="538"/>
      <c r="BE243" s="538"/>
      <c r="BF243" s="538"/>
      <c r="BG243" s="538"/>
      <c r="BH243" s="538"/>
      <c r="BI243" s="472"/>
      <c r="BJ243" s="472"/>
      <c r="BK243" s="580"/>
      <c r="BL243" s="580"/>
    </row>
    <row r="244" spans="1:64" ht="11.1" customHeight="1">
      <c r="A244" s="62"/>
      <c r="L244" s="12"/>
      <c r="M244" s="6"/>
      <c r="N244" s="6"/>
      <c r="O244" s="6"/>
      <c r="P244" s="6"/>
      <c r="Q244" s="12"/>
      <c r="R244" s="6"/>
      <c r="S244" s="6"/>
      <c r="T244" s="6"/>
      <c r="U244" s="6"/>
      <c r="V244" s="12"/>
      <c r="W244" s="6"/>
      <c r="X244" s="6"/>
      <c r="Y244" s="6"/>
      <c r="Z244" s="6"/>
      <c r="AA244" s="12"/>
      <c r="AB244" s="8"/>
      <c r="AC244" s="12"/>
      <c r="AD244" s="12"/>
      <c r="AE244" s="6"/>
      <c r="AF244" s="12"/>
      <c r="AG244" s="12"/>
      <c r="AH244" s="12"/>
      <c r="AI244" s="12"/>
      <c r="AJ244" s="12"/>
      <c r="AK244" s="12"/>
      <c r="AL244" s="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00"/>
      <c r="AX244" s="200"/>
      <c r="AY244" s="200"/>
      <c r="AZ244" s="200"/>
      <c r="BA244" s="320"/>
      <c r="BB244" s="327"/>
      <c r="BC244" s="305"/>
      <c r="BD244" s="538"/>
      <c r="BE244" s="538"/>
      <c r="BF244" s="538"/>
      <c r="BG244" s="538"/>
      <c r="BH244" s="538"/>
      <c r="BI244" s="472"/>
      <c r="BJ244" s="472"/>
      <c r="BK244" s="580"/>
      <c r="BL244" s="580"/>
    </row>
    <row r="245" spans="1:64" ht="11.1" customHeight="1">
      <c r="A245" s="62"/>
      <c r="L245" s="12"/>
      <c r="M245" s="6"/>
      <c r="N245" s="6"/>
      <c r="O245" s="6"/>
      <c r="P245" s="6"/>
      <c r="Q245" s="12"/>
      <c r="R245" s="6"/>
      <c r="S245" s="6"/>
      <c r="T245" s="6"/>
      <c r="U245" s="6"/>
      <c r="V245" s="12"/>
      <c r="W245" s="6"/>
      <c r="X245" s="6"/>
      <c r="Y245" s="6"/>
      <c r="Z245" s="6"/>
      <c r="AA245" s="12"/>
      <c r="AB245" s="8"/>
      <c r="AC245" s="12"/>
      <c r="AD245" s="12"/>
      <c r="AE245" s="6"/>
      <c r="AF245" s="12"/>
      <c r="AG245" s="12"/>
      <c r="AH245" s="12"/>
      <c r="AI245" s="12"/>
      <c r="AJ245" s="12"/>
      <c r="AK245" s="12"/>
      <c r="AL245" s="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00"/>
      <c r="AX245" s="200"/>
      <c r="AY245" s="200"/>
      <c r="AZ245" s="200"/>
      <c r="BA245" s="320"/>
      <c r="BB245" s="327"/>
      <c r="BC245" s="305"/>
      <c r="BD245" s="538"/>
      <c r="BE245" s="538"/>
      <c r="BF245" s="538"/>
      <c r="BG245" s="538"/>
      <c r="BH245" s="538"/>
      <c r="BI245" s="472"/>
      <c r="BJ245" s="472"/>
      <c r="BK245" s="581"/>
      <c r="BL245" s="581"/>
    </row>
    <row r="246" spans="1:64" ht="11.1" customHeight="1">
      <c r="A246" s="62"/>
      <c r="L246" s="12"/>
      <c r="M246" s="6"/>
      <c r="N246" s="6"/>
      <c r="O246" s="6"/>
      <c r="P246" s="6"/>
      <c r="Q246" s="12"/>
      <c r="R246" s="6"/>
      <c r="S246" s="6"/>
      <c r="T246" s="6"/>
      <c r="U246" s="6"/>
      <c r="V246" s="12"/>
      <c r="W246" s="6"/>
      <c r="X246" s="6"/>
      <c r="Y246" s="6"/>
      <c r="Z246" s="6"/>
      <c r="AA246" s="12"/>
      <c r="AB246" s="8"/>
      <c r="AC246" s="12"/>
      <c r="AD246" s="12"/>
      <c r="AE246" s="6"/>
      <c r="AF246" s="12"/>
      <c r="AG246" s="12"/>
      <c r="AH246" s="12"/>
      <c r="AI246" s="12"/>
      <c r="AJ246" s="12"/>
      <c r="AK246" s="12"/>
      <c r="AL246" s="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00"/>
      <c r="AX246" s="200"/>
      <c r="AY246" s="200"/>
      <c r="AZ246" s="200"/>
      <c r="BA246" s="320"/>
      <c r="BB246" s="327"/>
      <c r="BC246" s="305"/>
      <c r="BD246" s="538"/>
      <c r="BE246" s="538"/>
      <c r="BF246" s="538"/>
      <c r="BG246" s="538"/>
      <c r="BH246" s="538"/>
      <c r="BI246" s="329"/>
      <c r="BJ246" s="329"/>
    </row>
    <row r="247" spans="1:64" ht="11.1" customHeight="1">
      <c r="L247" s="12"/>
      <c r="M247" s="6"/>
      <c r="N247" s="6"/>
      <c r="O247" s="6"/>
      <c r="P247" s="6"/>
      <c r="Q247" s="12"/>
      <c r="R247" s="6"/>
      <c r="S247" s="6"/>
      <c r="T247" s="6"/>
      <c r="U247" s="6"/>
      <c r="V247" s="12"/>
      <c r="W247" s="6"/>
      <c r="X247" s="6"/>
      <c r="Y247" s="6"/>
      <c r="Z247" s="6"/>
      <c r="AA247" s="12"/>
      <c r="AB247" s="8"/>
      <c r="AC247" s="12"/>
      <c r="AD247" s="12"/>
      <c r="AE247" s="6"/>
      <c r="AF247" s="12"/>
      <c r="AG247" s="12"/>
      <c r="AH247" s="12"/>
      <c r="AI247" s="12"/>
      <c r="AJ247" s="12"/>
      <c r="AK247" s="12"/>
      <c r="AL247" s="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00"/>
      <c r="AX247" s="200"/>
      <c r="AY247" s="200"/>
      <c r="AZ247" s="200"/>
      <c r="BA247" s="320"/>
      <c r="BB247" s="327"/>
      <c r="BC247" s="305"/>
      <c r="BD247" s="538"/>
      <c r="BE247" s="538"/>
      <c r="BF247" s="538"/>
      <c r="BG247" s="538"/>
      <c r="BH247" s="538"/>
      <c r="BI247" s="329"/>
      <c r="BJ247" s="329"/>
    </row>
    <row r="248" spans="1:64" ht="11.1" customHeight="1">
      <c r="L248" s="12"/>
      <c r="M248" s="6"/>
      <c r="N248" s="6"/>
      <c r="O248" s="6"/>
      <c r="P248" s="6"/>
      <c r="Q248" s="12"/>
      <c r="R248" s="6"/>
      <c r="S248" s="6"/>
      <c r="T248" s="6"/>
      <c r="U248" s="6"/>
      <c r="V248" s="12"/>
      <c r="W248" s="6"/>
      <c r="X248" s="6"/>
      <c r="Y248" s="6"/>
      <c r="Z248" s="6"/>
      <c r="AA248" s="12"/>
      <c r="AB248" s="8"/>
      <c r="AC248" s="12"/>
      <c r="AD248" s="12"/>
      <c r="AE248" s="6"/>
      <c r="AF248" s="12"/>
      <c r="AG248" s="12"/>
      <c r="AH248" s="12"/>
      <c r="AI248" s="12"/>
      <c r="AJ248" s="12"/>
      <c r="AK248" s="12"/>
      <c r="AL248" s="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00"/>
      <c r="AX248" s="200"/>
      <c r="AY248" s="200"/>
      <c r="AZ248" s="200"/>
      <c r="BA248" s="320"/>
      <c r="BB248" s="327"/>
      <c r="BC248" s="305"/>
      <c r="BD248" s="538"/>
      <c r="BE248" s="538"/>
      <c r="BF248" s="538"/>
      <c r="BG248" s="538"/>
      <c r="BH248" s="538"/>
      <c r="BI248" s="329"/>
      <c r="BJ248" s="329"/>
    </row>
    <row r="249" spans="1:64" ht="10.5" customHeight="1"/>
    <row r="250" spans="1:64" ht="11.1" customHeight="1"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00"/>
      <c r="AX250" s="200"/>
      <c r="AY250" s="200"/>
      <c r="AZ250" s="200"/>
      <c r="BA250" s="320"/>
      <c r="BB250" s="327"/>
      <c r="BC250" s="305"/>
      <c r="BD250" s="538"/>
      <c r="BE250" s="538"/>
      <c r="BF250" s="538"/>
      <c r="BG250" s="538"/>
      <c r="BH250" s="538"/>
    </row>
    <row r="251" spans="1:64" ht="11.1" customHeight="1"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00"/>
      <c r="AX251" s="200"/>
      <c r="AY251" s="200"/>
      <c r="AZ251" s="200"/>
      <c r="BA251" s="320"/>
      <c r="BB251" s="327"/>
      <c r="BC251" s="305"/>
      <c r="BD251" s="538"/>
      <c r="BE251" s="538"/>
      <c r="BF251" s="538"/>
      <c r="BG251" s="538"/>
      <c r="BH251" s="538"/>
    </row>
    <row r="252" spans="1:64"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00"/>
      <c r="AX252" s="200"/>
      <c r="AY252" s="200"/>
      <c r="AZ252" s="200"/>
      <c r="BA252" s="320"/>
      <c r="BB252" s="327"/>
      <c r="BC252" s="305"/>
      <c r="BD252" s="538"/>
      <c r="BE252" s="538"/>
      <c r="BF252" s="538"/>
      <c r="BG252" s="538"/>
      <c r="BH252" s="538"/>
    </row>
    <row r="253" spans="1:64"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00"/>
      <c r="AX253" s="200"/>
      <c r="AY253" s="200"/>
      <c r="AZ253" s="200"/>
      <c r="BA253" s="320"/>
      <c r="BB253" s="327"/>
      <c r="BC253" s="305"/>
      <c r="BD253" s="538"/>
      <c r="BE253" s="538"/>
      <c r="BF253" s="538"/>
      <c r="BG253" s="538"/>
      <c r="BH253" s="538"/>
    </row>
    <row r="254" spans="1:64"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00"/>
      <c r="AX254" s="200"/>
      <c r="AY254" s="200"/>
      <c r="AZ254" s="200"/>
      <c r="BA254" s="320"/>
      <c r="BB254" s="327"/>
      <c r="BC254" s="305"/>
      <c r="BD254" s="538"/>
      <c r="BE254" s="538"/>
      <c r="BF254" s="538"/>
      <c r="BG254" s="538"/>
      <c r="BH254" s="538"/>
    </row>
    <row r="255" spans="1:64"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00"/>
      <c r="AX255" s="200"/>
      <c r="AY255" s="200"/>
      <c r="AZ255" s="200"/>
      <c r="BA255" s="320"/>
      <c r="BB255" s="327"/>
      <c r="BC255" s="305"/>
      <c r="BD255" s="538"/>
      <c r="BE255" s="538"/>
      <c r="BF255" s="538"/>
      <c r="BG255" s="538"/>
      <c r="BH255" s="538"/>
    </row>
    <row r="256" spans="1:64"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00"/>
      <c r="AX256" s="200"/>
      <c r="AY256" s="200"/>
      <c r="AZ256" s="200"/>
      <c r="BA256" s="320"/>
      <c r="BB256" s="327"/>
      <c r="BC256" s="305"/>
      <c r="BD256" s="538"/>
      <c r="BE256" s="538"/>
      <c r="BF256" s="538"/>
      <c r="BG256" s="538"/>
      <c r="BH256" s="538"/>
    </row>
    <row r="257" spans="39:60"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00"/>
      <c r="AX257" s="200"/>
      <c r="AY257" s="200"/>
      <c r="AZ257" s="200"/>
      <c r="BA257" s="320"/>
      <c r="BB257" s="327"/>
      <c r="BC257" s="305"/>
      <c r="BD257" s="538"/>
      <c r="BE257" s="538"/>
      <c r="BF257" s="538"/>
      <c r="BG257" s="538"/>
      <c r="BH257" s="538"/>
    </row>
    <row r="258" spans="39:60"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00"/>
      <c r="AX258" s="200"/>
      <c r="AY258" s="200"/>
      <c r="AZ258" s="200"/>
      <c r="BA258" s="320"/>
      <c r="BB258" s="327"/>
      <c r="BC258" s="305"/>
      <c r="BD258" s="538"/>
      <c r="BE258" s="538"/>
      <c r="BF258" s="538"/>
      <c r="BG258" s="538"/>
      <c r="BH258" s="538"/>
    </row>
    <row r="259" spans="39:60"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00"/>
      <c r="AX259" s="200"/>
      <c r="AY259" s="200"/>
      <c r="AZ259" s="200"/>
      <c r="BA259" s="320"/>
      <c r="BB259" s="327"/>
      <c r="BC259" s="305"/>
      <c r="BD259" s="538"/>
      <c r="BE259" s="538"/>
      <c r="BF259" s="538"/>
      <c r="BG259" s="538"/>
      <c r="BH259" s="538"/>
    </row>
    <row r="260" spans="39:60"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00"/>
      <c r="AX260" s="200"/>
      <c r="AY260" s="200"/>
      <c r="AZ260" s="200"/>
      <c r="BA260" s="320"/>
      <c r="BB260" s="327"/>
      <c r="BC260" s="305"/>
      <c r="BD260" s="538"/>
      <c r="BE260" s="538"/>
      <c r="BF260" s="538"/>
      <c r="BG260" s="538"/>
      <c r="BH260" s="538"/>
    </row>
    <row r="261" spans="39:60"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00"/>
      <c r="AX261" s="200"/>
      <c r="AY261" s="200"/>
      <c r="AZ261" s="200"/>
      <c r="BA261" s="320"/>
      <c r="BB261" s="327"/>
      <c r="BC261" s="305"/>
      <c r="BD261" s="538"/>
      <c r="BE261" s="538"/>
      <c r="BF261" s="538"/>
      <c r="BG261" s="538"/>
      <c r="BH261" s="538"/>
    </row>
    <row r="262" spans="39:60"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00"/>
      <c r="AX262" s="200"/>
      <c r="AY262" s="200"/>
      <c r="AZ262" s="200"/>
      <c r="BA262" s="320"/>
      <c r="BB262" s="327"/>
      <c r="BC262" s="305"/>
      <c r="BD262" s="538"/>
      <c r="BE262" s="538"/>
      <c r="BF262" s="538"/>
      <c r="BG262" s="538"/>
      <c r="BH262" s="538"/>
    </row>
    <row r="263" spans="39:60"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00"/>
      <c r="AX263" s="200"/>
      <c r="AY263" s="200"/>
      <c r="AZ263" s="200"/>
      <c r="BA263" s="320"/>
      <c r="BB263" s="327"/>
      <c r="BC263" s="305"/>
      <c r="BD263" s="538"/>
      <c r="BE263" s="538"/>
      <c r="BF263" s="538"/>
      <c r="BG263" s="538"/>
      <c r="BH263" s="538"/>
    </row>
    <row r="264" spans="39:60"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00"/>
      <c r="AX264" s="200"/>
      <c r="AY264" s="200"/>
      <c r="AZ264" s="200"/>
      <c r="BA264" s="320"/>
      <c r="BB264" s="327"/>
      <c r="BC264" s="305"/>
      <c r="BD264" s="538"/>
      <c r="BE264" s="538"/>
      <c r="BF264" s="538"/>
      <c r="BG264" s="538"/>
      <c r="BH264" s="538"/>
    </row>
    <row r="265" spans="39:60"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00"/>
      <c r="AX265" s="200"/>
      <c r="AY265" s="200"/>
      <c r="AZ265" s="200"/>
      <c r="BA265" s="320"/>
      <c r="BB265" s="327"/>
      <c r="BC265" s="305"/>
      <c r="BD265" s="538"/>
      <c r="BE265" s="538"/>
      <c r="BF265" s="538"/>
      <c r="BG265" s="538"/>
      <c r="BH265" s="538"/>
    </row>
    <row r="266" spans="39:60"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00"/>
      <c r="AX266" s="200"/>
      <c r="AY266" s="200"/>
      <c r="AZ266" s="200"/>
      <c r="BA266" s="320"/>
      <c r="BB266" s="327"/>
      <c r="BC266" s="305"/>
      <c r="BD266" s="538"/>
      <c r="BE266" s="538"/>
      <c r="BF266" s="538"/>
      <c r="BG266" s="538"/>
      <c r="BH266" s="538"/>
    </row>
    <row r="267" spans="39:60"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00"/>
      <c r="AX267" s="200"/>
      <c r="AY267" s="200"/>
      <c r="AZ267" s="200"/>
      <c r="BA267" s="320"/>
      <c r="BB267" s="327"/>
      <c r="BC267" s="305"/>
      <c r="BD267" s="538"/>
      <c r="BE267" s="538"/>
      <c r="BF267" s="538"/>
      <c r="BG267" s="538"/>
      <c r="BH267" s="538"/>
    </row>
    <row r="268" spans="39:60"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00"/>
      <c r="AX268" s="200"/>
      <c r="AY268" s="200"/>
      <c r="AZ268" s="200"/>
      <c r="BA268" s="320"/>
      <c r="BB268" s="327"/>
      <c r="BC268" s="305"/>
      <c r="BD268" s="538"/>
      <c r="BE268" s="538"/>
      <c r="BF268" s="538"/>
      <c r="BG268" s="538"/>
      <c r="BH268" s="538"/>
    </row>
    <row r="269" spans="39:60"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00"/>
      <c r="AX269" s="200"/>
      <c r="AY269" s="200"/>
      <c r="AZ269" s="200"/>
      <c r="BA269" s="320"/>
      <c r="BB269" s="327"/>
      <c r="BC269" s="305"/>
      <c r="BD269" s="538"/>
      <c r="BE269" s="538"/>
      <c r="BF269" s="538"/>
      <c r="BG269" s="538"/>
      <c r="BH269" s="538"/>
    </row>
    <row r="270" spans="39:60"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00"/>
      <c r="AX270" s="200"/>
      <c r="AY270" s="200"/>
      <c r="AZ270" s="200"/>
      <c r="BA270" s="320"/>
      <c r="BB270" s="327"/>
      <c r="BC270" s="305"/>
      <c r="BD270" s="538"/>
      <c r="BE270" s="538"/>
      <c r="BF270" s="538"/>
      <c r="BG270" s="538"/>
      <c r="BH270" s="538"/>
    </row>
    <row r="271" spans="39:60"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00"/>
      <c r="AX271" s="200"/>
      <c r="AY271" s="200"/>
      <c r="AZ271" s="200"/>
      <c r="BA271" s="320"/>
      <c r="BB271" s="327"/>
      <c r="BC271" s="305"/>
      <c r="BD271" s="538"/>
      <c r="BE271" s="538"/>
      <c r="BF271" s="538"/>
      <c r="BG271" s="538"/>
      <c r="BH271" s="538"/>
    </row>
    <row r="272" spans="39:60"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00"/>
      <c r="AX272" s="200"/>
      <c r="AY272" s="200"/>
      <c r="AZ272" s="200"/>
      <c r="BA272" s="320"/>
      <c r="BB272" s="327"/>
      <c r="BC272" s="305"/>
      <c r="BD272" s="538"/>
      <c r="BE272" s="538"/>
      <c r="BF272" s="538"/>
      <c r="BG272" s="538"/>
      <c r="BH272" s="538"/>
    </row>
    <row r="273" spans="39:60"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00"/>
      <c r="AX273" s="200"/>
      <c r="AY273" s="200"/>
      <c r="AZ273" s="200"/>
      <c r="BA273" s="320"/>
      <c r="BB273" s="327"/>
      <c r="BC273" s="305"/>
      <c r="BD273" s="538"/>
      <c r="BE273" s="538"/>
      <c r="BF273" s="538"/>
      <c r="BG273" s="538"/>
      <c r="BH273" s="538"/>
    </row>
    <row r="274" spans="39:60"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00"/>
      <c r="AX274" s="200"/>
      <c r="AY274" s="200"/>
      <c r="AZ274" s="200"/>
      <c r="BA274" s="320"/>
      <c r="BB274" s="327"/>
      <c r="BC274" s="305"/>
      <c r="BD274" s="538"/>
      <c r="BE274" s="538"/>
      <c r="BF274" s="538"/>
      <c r="BG274" s="538"/>
      <c r="BH274" s="538"/>
    </row>
    <row r="275" spans="39:60"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00"/>
      <c r="AX275" s="200"/>
      <c r="AY275" s="200"/>
      <c r="AZ275" s="200"/>
      <c r="BA275" s="320"/>
      <c r="BB275" s="327"/>
      <c r="BC275" s="305"/>
      <c r="BD275" s="538"/>
      <c r="BE275" s="538"/>
      <c r="BF275" s="538"/>
      <c r="BG275" s="538"/>
      <c r="BH275" s="538"/>
    </row>
    <row r="276" spans="39:60"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00"/>
      <c r="AX276" s="200"/>
      <c r="AY276" s="200"/>
      <c r="AZ276" s="200"/>
      <c r="BA276" s="320"/>
      <c r="BB276" s="327"/>
      <c r="BC276" s="305"/>
      <c r="BD276" s="538"/>
      <c r="BE276" s="538"/>
      <c r="BF276" s="538"/>
      <c r="BG276" s="538"/>
      <c r="BH276" s="538"/>
    </row>
    <row r="277" spans="39:60"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00"/>
      <c r="AX277" s="200"/>
      <c r="AY277" s="200"/>
      <c r="AZ277" s="200"/>
      <c r="BA277" s="320"/>
      <c r="BB277" s="327"/>
      <c r="BC277" s="305"/>
      <c r="BD277" s="538"/>
      <c r="BE277" s="538"/>
      <c r="BF277" s="538"/>
      <c r="BG277" s="538"/>
      <c r="BH277" s="538"/>
    </row>
    <row r="278" spans="39:60"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00"/>
      <c r="AX278" s="200"/>
      <c r="AY278" s="200"/>
      <c r="AZ278" s="200"/>
      <c r="BA278" s="320"/>
      <c r="BB278" s="327"/>
      <c r="BC278" s="305"/>
      <c r="BD278" s="538"/>
      <c r="BE278" s="538"/>
      <c r="BF278" s="538"/>
      <c r="BG278" s="538"/>
      <c r="BH278" s="538"/>
    </row>
    <row r="279" spans="39:60"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00"/>
      <c r="AX279" s="200"/>
      <c r="AY279" s="200"/>
      <c r="AZ279" s="200"/>
      <c r="BA279" s="320"/>
      <c r="BB279" s="327"/>
      <c r="BC279" s="305"/>
      <c r="BD279" s="538"/>
      <c r="BE279" s="538"/>
      <c r="BF279" s="538"/>
      <c r="BG279" s="538"/>
      <c r="BH279" s="538"/>
    </row>
    <row r="280" spans="39:60"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00"/>
      <c r="AX280" s="200"/>
      <c r="AY280" s="200"/>
      <c r="AZ280" s="200"/>
      <c r="BA280" s="320"/>
      <c r="BB280" s="327"/>
      <c r="BC280" s="305"/>
      <c r="BD280" s="538"/>
      <c r="BE280" s="538"/>
      <c r="BF280" s="538"/>
      <c r="BG280" s="538"/>
      <c r="BH280" s="538"/>
    </row>
    <row r="281" spans="39:60"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00"/>
      <c r="AX281" s="200"/>
      <c r="AY281" s="200"/>
      <c r="AZ281" s="200"/>
      <c r="BA281" s="320"/>
      <c r="BB281" s="327"/>
      <c r="BC281" s="305"/>
      <c r="BD281" s="538"/>
      <c r="BE281" s="538"/>
      <c r="BF281" s="538"/>
      <c r="BG281" s="538"/>
      <c r="BH281" s="538"/>
    </row>
    <row r="282" spans="39:60"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00"/>
      <c r="AX282" s="200"/>
      <c r="AY282" s="200"/>
      <c r="AZ282" s="200"/>
      <c r="BA282" s="320"/>
      <c r="BB282" s="327"/>
      <c r="BC282" s="305"/>
      <c r="BD282" s="538"/>
      <c r="BE282" s="538"/>
      <c r="BF282" s="538"/>
      <c r="BG282" s="538"/>
      <c r="BH282" s="538"/>
    </row>
    <row r="283" spans="39:60"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00"/>
      <c r="AX283" s="200"/>
      <c r="AY283" s="200"/>
      <c r="AZ283" s="200"/>
      <c r="BA283" s="320"/>
      <c r="BB283" s="327"/>
      <c r="BC283" s="305"/>
      <c r="BD283" s="538"/>
      <c r="BE283" s="538"/>
      <c r="BF283" s="538"/>
      <c r="BG283" s="538"/>
      <c r="BH283" s="538"/>
    </row>
    <row r="284" spans="39:60"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00"/>
      <c r="AX284" s="200"/>
      <c r="AY284" s="200"/>
      <c r="AZ284" s="200"/>
      <c r="BA284" s="320"/>
      <c r="BB284" s="327"/>
      <c r="BC284" s="305"/>
      <c r="BD284" s="538"/>
      <c r="BE284" s="538"/>
      <c r="BF284" s="538"/>
      <c r="BG284" s="538"/>
      <c r="BH284" s="538"/>
    </row>
    <row r="285" spans="39:60"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00"/>
      <c r="AX285" s="200"/>
      <c r="AY285" s="200"/>
      <c r="AZ285" s="200"/>
      <c r="BA285" s="320"/>
      <c r="BB285" s="327"/>
      <c r="BC285" s="305"/>
      <c r="BD285" s="538"/>
      <c r="BE285" s="538"/>
      <c r="BF285" s="538"/>
      <c r="BG285" s="538"/>
      <c r="BH285" s="538"/>
    </row>
    <row r="286" spans="39:60"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00"/>
      <c r="AX286" s="200"/>
      <c r="AY286" s="200"/>
      <c r="AZ286" s="200"/>
      <c r="BA286" s="320"/>
      <c r="BB286" s="327"/>
      <c r="BC286" s="305"/>
      <c r="BD286" s="538"/>
      <c r="BE286" s="538"/>
      <c r="BF286" s="538"/>
      <c r="BG286" s="538"/>
      <c r="BH286" s="538"/>
    </row>
    <row r="287" spans="39:60"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00"/>
      <c r="AX287" s="200"/>
      <c r="AY287" s="200"/>
      <c r="AZ287" s="200"/>
      <c r="BA287" s="320"/>
      <c r="BB287" s="327"/>
      <c r="BC287" s="305"/>
      <c r="BD287" s="538"/>
      <c r="BE287" s="538"/>
      <c r="BF287" s="538"/>
      <c r="BG287" s="538"/>
      <c r="BH287" s="538"/>
    </row>
    <row r="288" spans="39:60"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00"/>
      <c r="AX288" s="200"/>
      <c r="AY288" s="200"/>
      <c r="AZ288" s="200"/>
      <c r="BA288" s="320"/>
      <c r="BB288" s="327"/>
      <c r="BC288" s="305"/>
      <c r="BD288" s="538"/>
      <c r="BE288" s="538"/>
      <c r="BF288" s="538"/>
      <c r="BG288" s="538"/>
      <c r="BH288" s="538"/>
    </row>
    <row r="289" spans="39:60"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00"/>
      <c r="AX289" s="200"/>
      <c r="AY289" s="200"/>
      <c r="AZ289" s="200"/>
      <c r="BA289" s="320"/>
      <c r="BB289" s="327"/>
      <c r="BC289" s="305"/>
      <c r="BD289" s="538"/>
      <c r="BE289" s="538"/>
      <c r="BF289" s="538"/>
      <c r="BG289" s="538"/>
      <c r="BH289" s="538"/>
    </row>
    <row r="290" spans="39:60"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00"/>
      <c r="AX290" s="200"/>
      <c r="AY290" s="200"/>
      <c r="AZ290" s="200"/>
      <c r="BA290" s="320"/>
      <c r="BB290" s="327"/>
      <c r="BC290" s="305"/>
      <c r="BD290" s="538"/>
      <c r="BE290" s="538"/>
      <c r="BF290" s="538"/>
      <c r="BG290" s="538"/>
      <c r="BH290" s="538"/>
    </row>
    <row r="291" spans="39:60"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00"/>
      <c r="AX291" s="200"/>
      <c r="AY291" s="200"/>
      <c r="AZ291" s="200"/>
      <c r="BA291" s="320"/>
      <c r="BB291" s="327"/>
      <c r="BC291" s="305"/>
      <c r="BD291" s="538"/>
      <c r="BE291" s="538"/>
      <c r="BF291" s="538"/>
      <c r="BG291" s="538"/>
      <c r="BH291" s="538"/>
    </row>
    <row r="292" spans="39:60"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00"/>
      <c r="AX292" s="200"/>
      <c r="AY292" s="200"/>
      <c r="AZ292" s="200"/>
      <c r="BA292" s="320"/>
      <c r="BB292" s="327"/>
      <c r="BC292" s="305"/>
      <c r="BD292" s="538"/>
      <c r="BE292" s="538"/>
      <c r="BF292" s="538"/>
      <c r="BG292" s="538"/>
      <c r="BH292" s="538"/>
    </row>
    <row r="293" spans="39:60"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00"/>
      <c r="AX293" s="200"/>
      <c r="AY293" s="200"/>
      <c r="AZ293" s="200"/>
      <c r="BA293" s="320"/>
      <c r="BB293" s="327"/>
      <c r="BC293" s="305"/>
      <c r="BD293" s="538"/>
      <c r="BE293" s="538"/>
      <c r="BF293" s="538"/>
      <c r="BG293" s="538"/>
      <c r="BH293" s="538"/>
    </row>
    <row r="294" spans="39:60"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00"/>
      <c r="AX294" s="200"/>
      <c r="AY294" s="200"/>
      <c r="AZ294" s="200"/>
      <c r="BA294" s="320"/>
      <c r="BB294" s="327"/>
      <c r="BC294" s="305"/>
      <c r="BD294" s="538"/>
      <c r="BE294" s="538"/>
      <c r="BF294" s="538"/>
      <c r="BG294" s="538"/>
      <c r="BH294" s="538"/>
    </row>
    <row r="295" spans="39:60"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00"/>
      <c r="AX295" s="200"/>
      <c r="AY295" s="200"/>
      <c r="AZ295" s="200"/>
      <c r="BA295" s="320"/>
      <c r="BB295" s="327"/>
      <c r="BC295" s="305"/>
      <c r="BD295" s="538"/>
      <c r="BE295" s="538"/>
      <c r="BF295" s="538"/>
      <c r="BG295" s="538"/>
      <c r="BH295" s="538"/>
    </row>
    <row r="296" spans="39:60"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00"/>
      <c r="AX296" s="200"/>
      <c r="AY296" s="200"/>
      <c r="AZ296" s="200"/>
      <c r="BA296" s="320"/>
      <c r="BB296" s="327"/>
      <c r="BC296" s="305"/>
      <c r="BD296" s="538"/>
      <c r="BE296" s="538"/>
      <c r="BF296" s="538"/>
      <c r="BG296" s="538"/>
      <c r="BH296" s="538"/>
    </row>
    <row r="297" spans="39:60"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00"/>
      <c r="AX297" s="200"/>
      <c r="AY297" s="200"/>
      <c r="AZ297" s="200"/>
      <c r="BA297" s="320"/>
      <c r="BB297" s="327"/>
      <c r="BC297" s="305"/>
      <c r="BD297" s="538"/>
      <c r="BE297" s="538"/>
      <c r="BF297" s="538"/>
      <c r="BG297" s="538"/>
      <c r="BH297" s="538"/>
    </row>
    <row r="298" spans="39:60"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00"/>
      <c r="AX298" s="200"/>
      <c r="AY298" s="200"/>
      <c r="AZ298" s="200"/>
      <c r="BA298" s="320"/>
      <c r="BB298" s="327"/>
      <c r="BC298" s="305"/>
      <c r="BD298" s="538"/>
      <c r="BE298" s="538"/>
      <c r="BF298" s="538"/>
      <c r="BG298" s="538"/>
      <c r="BH298" s="538"/>
    </row>
    <row r="299" spans="39:60"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00"/>
      <c r="AX299" s="200"/>
      <c r="AY299" s="200"/>
      <c r="AZ299" s="200"/>
      <c r="BA299" s="320"/>
      <c r="BB299" s="327"/>
      <c r="BC299" s="305"/>
      <c r="BD299" s="538"/>
      <c r="BE299" s="538"/>
      <c r="BF299" s="538"/>
      <c r="BG299" s="538"/>
      <c r="BH299" s="538"/>
    </row>
    <row r="300" spans="39:60"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00"/>
      <c r="AX300" s="200"/>
      <c r="AY300" s="200"/>
      <c r="AZ300" s="200"/>
      <c r="BA300" s="320"/>
      <c r="BB300" s="327"/>
      <c r="BC300" s="305"/>
      <c r="BD300" s="538"/>
      <c r="BE300" s="538"/>
      <c r="BF300" s="538"/>
      <c r="BG300" s="538"/>
      <c r="BH300" s="538"/>
    </row>
    <row r="301" spans="39:60"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00"/>
      <c r="AX301" s="200"/>
      <c r="AY301" s="200"/>
      <c r="AZ301" s="200"/>
      <c r="BA301" s="320"/>
      <c r="BB301" s="327"/>
      <c r="BC301" s="305"/>
      <c r="BD301" s="538"/>
      <c r="BE301" s="538"/>
      <c r="BF301" s="538"/>
      <c r="BG301" s="538"/>
      <c r="BH301" s="538"/>
    </row>
    <row r="302" spans="39:60"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00"/>
      <c r="AX302" s="200"/>
      <c r="AY302" s="200"/>
      <c r="AZ302" s="200"/>
      <c r="BA302" s="320"/>
      <c r="BB302" s="327"/>
      <c r="BC302" s="305"/>
      <c r="BD302" s="538"/>
      <c r="BE302" s="538"/>
      <c r="BF302" s="538"/>
      <c r="BG302" s="538"/>
      <c r="BH302" s="538"/>
    </row>
    <row r="303" spans="39:60"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00"/>
      <c r="AX303" s="200"/>
      <c r="AY303" s="200"/>
      <c r="AZ303" s="200"/>
      <c r="BA303" s="320"/>
      <c r="BB303" s="327"/>
      <c r="BC303" s="305"/>
      <c r="BD303" s="538"/>
      <c r="BE303" s="538"/>
      <c r="BF303" s="538"/>
      <c r="BG303" s="538"/>
      <c r="BH303" s="538"/>
    </row>
    <row r="304" spans="39:60"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00"/>
      <c r="AX304" s="200"/>
      <c r="AY304" s="200"/>
      <c r="AZ304" s="200"/>
      <c r="BA304" s="320"/>
      <c r="BB304" s="327"/>
      <c r="BC304" s="305"/>
      <c r="BD304" s="538"/>
      <c r="BE304" s="538"/>
      <c r="BF304" s="538"/>
      <c r="BG304" s="538"/>
      <c r="BH304" s="538"/>
    </row>
    <row r="305" spans="39:60"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00"/>
      <c r="AX305" s="200"/>
      <c r="AY305" s="200"/>
      <c r="AZ305" s="200"/>
      <c r="BA305" s="320"/>
      <c r="BB305" s="327"/>
      <c r="BC305" s="305"/>
      <c r="BD305" s="538"/>
      <c r="BE305" s="538"/>
      <c r="BF305" s="538"/>
      <c r="BG305" s="538"/>
      <c r="BH305" s="538"/>
    </row>
    <row r="306" spans="39:60"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00"/>
      <c r="AX306" s="200"/>
      <c r="AY306" s="200"/>
      <c r="AZ306" s="200"/>
      <c r="BA306" s="320"/>
      <c r="BB306" s="327"/>
      <c r="BC306" s="305"/>
      <c r="BD306" s="538"/>
      <c r="BE306" s="538"/>
      <c r="BF306" s="538"/>
      <c r="BG306" s="538"/>
      <c r="BH306" s="538"/>
    </row>
    <row r="307" spans="39:60"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00"/>
      <c r="AX307" s="200"/>
      <c r="AY307" s="200"/>
      <c r="AZ307" s="200"/>
      <c r="BA307" s="320"/>
      <c r="BB307" s="327"/>
      <c r="BC307" s="305"/>
      <c r="BD307" s="538"/>
      <c r="BE307" s="538"/>
      <c r="BF307" s="538"/>
      <c r="BG307" s="538"/>
      <c r="BH307" s="538"/>
    </row>
    <row r="308" spans="39:60"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00"/>
      <c r="AX308" s="200"/>
      <c r="AY308" s="200"/>
      <c r="AZ308" s="200"/>
      <c r="BA308" s="320"/>
      <c r="BB308" s="327"/>
      <c r="BC308" s="305"/>
      <c r="BD308" s="538"/>
      <c r="BE308" s="538"/>
      <c r="BF308" s="538"/>
      <c r="BG308" s="538"/>
      <c r="BH308" s="538"/>
    </row>
    <row r="309" spans="39:60"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00"/>
      <c r="AX309" s="200"/>
      <c r="AY309" s="200"/>
      <c r="AZ309" s="200"/>
      <c r="BA309" s="320"/>
      <c r="BB309" s="327"/>
      <c r="BC309" s="305"/>
      <c r="BD309" s="538"/>
      <c r="BE309" s="538"/>
      <c r="BF309" s="538"/>
      <c r="BG309" s="538"/>
      <c r="BH309" s="538"/>
    </row>
    <row r="310" spans="39:60"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00"/>
      <c r="AX310" s="200"/>
      <c r="AY310" s="200"/>
      <c r="AZ310" s="200"/>
      <c r="BA310" s="320"/>
      <c r="BB310" s="327"/>
      <c r="BC310" s="305"/>
      <c r="BD310" s="538"/>
      <c r="BE310" s="538"/>
      <c r="BF310" s="538"/>
      <c r="BG310" s="538"/>
      <c r="BH310" s="538"/>
    </row>
    <row r="311" spans="39:60"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00"/>
      <c r="AX311" s="200"/>
      <c r="AY311" s="200"/>
      <c r="AZ311" s="200"/>
      <c r="BA311" s="320"/>
      <c r="BB311" s="327"/>
      <c r="BC311" s="305"/>
      <c r="BD311" s="538"/>
      <c r="BE311" s="538"/>
      <c r="BF311" s="538"/>
      <c r="BG311" s="538"/>
      <c r="BH311" s="538"/>
    </row>
    <row r="312" spans="39:60"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00"/>
      <c r="AX312" s="200"/>
      <c r="AY312" s="200"/>
      <c r="AZ312" s="200"/>
      <c r="BA312" s="320"/>
      <c r="BB312" s="327"/>
      <c r="BC312" s="305"/>
      <c r="BD312" s="538"/>
      <c r="BE312" s="538"/>
      <c r="BF312" s="538"/>
      <c r="BG312" s="538"/>
      <c r="BH312" s="538"/>
    </row>
    <row r="313" spans="39:60"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00"/>
      <c r="AX313" s="200"/>
      <c r="AY313" s="200"/>
      <c r="AZ313" s="200"/>
      <c r="BA313" s="320"/>
      <c r="BB313" s="327"/>
      <c r="BC313" s="305"/>
      <c r="BD313" s="538"/>
      <c r="BE313" s="538"/>
      <c r="BF313" s="538"/>
      <c r="BG313" s="538"/>
      <c r="BH313" s="538"/>
    </row>
    <row r="314" spans="39:60"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00"/>
      <c r="AX314" s="200"/>
      <c r="AY314" s="200"/>
      <c r="AZ314" s="200"/>
      <c r="BA314" s="320"/>
      <c r="BB314" s="327"/>
      <c r="BC314" s="305"/>
      <c r="BD314" s="538"/>
      <c r="BE314" s="538"/>
      <c r="BF314" s="538"/>
      <c r="BG314" s="538"/>
      <c r="BH314" s="538"/>
    </row>
    <row r="315" spans="39:60"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00"/>
      <c r="AX315" s="200"/>
      <c r="AY315" s="200"/>
      <c r="AZ315" s="200"/>
      <c r="BA315" s="320"/>
      <c r="BB315" s="327"/>
      <c r="BC315" s="305"/>
      <c r="BD315" s="538"/>
      <c r="BE315" s="538"/>
      <c r="BF315" s="538"/>
      <c r="BG315" s="538"/>
      <c r="BH315" s="538"/>
    </row>
    <row r="316" spans="39:60"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00"/>
      <c r="AX316" s="200"/>
      <c r="AY316" s="200"/>
      <c r="AZ316" s="200"/>
      <c r="BA316" s="320"/>
      <c r="BB316" s="327"/>
      <c r="BC316" s="305"/>
      <c r="BD316" s="538"/>
      <c r="BE316" s="538"/>
      <c r="BF316" s="538"/>
      <c r="BG316" s="538"/>
      <c r="BH316" s="538"/>
    </row>
    <row r="317" spans="39:60"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00"/>
      <c r="AX317" s="200"/>
      <c r="AY317" s="200"/>
      <c r="AZ317" s="200"/>
      <c r="BA317" s="320"/>
      <c r="BB317" s="327"/>
      <c r="BC317" s="305"/>
      <c r="BD317" s="538"/>
      <c r="BE317" s="538"/>
      <c r="BF317" s="538"/>
      <c r="BG317" s="538"/>
      <c r="BH317" s="538"/>
    </row>
    <row r="318" spans="39:60"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00"/>
      <c r="AX318" s="200"/>
      <c r="AY318" s="200"/>
      <c r="AZ318" s="200"/>
      <c r="BA318" s="320"/>
      <c r="BB318" s="327"/>
      <c r="BC318" s="305"/>
      <c r="BD318" s="538"/>
      <c r="BE318" s="538"/>
      <c r="BF318" s="538"/>
      <c r="BG318" s="538"/>
      <c r="BH318" s="538"/>
    </row>
    <row r="319" spans="39:60"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00"/>
      <c r="AX319" s="200"/>
      <c r="AY319" s="200"/>
      <c r="AZ319" s="200"/>
      <c r="BA319" s="320"/>
      <c r="BB319" s="327"/>
      <c r="BC319" s="305"/>
      <c r="BD319" s="538"/>
      <c r="BE319" s="538"/>
      <c r="BF319" s="538"/>
      <c r="BG319" s="538"/>
      <c r="BH319" s="538"/>
    </row>
    <row r="320" spans="39:60"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00"/>
      <c r="AX320" s="200"/>
      <c r="AY320" s="200"/>
      <c r="AZ320" s="200"/>
      <c r="BA320" s="320"/>
      <c r="BB320" s="327"/>
      <c r="BC320" s="305"/>
      <c r="BD320" s="538"/>
      <c r="BE320" s="538"/>
      <c r="BF320" s="538"/>
      <c r="BG320" s="538"/>
      <c r="BH320" s="538"/>
    </row>
    <row r="321" spans="39:60"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00"/>
      <c r="AX321" s="200"/>
      <c r="AY321" s="200"/>
      <c r="AZ321" s="200"/>
      <c r="BA321" s="320"/>
      <c r="BB321" s="327"/>
      <c r="BC321" s="305"/>
      <c r="BD321" s="538"/>
      <c r="BE321" s="538"/>
      <c r="BF321" s="538"/>
      <c r="BG321" s="538"/>
      <c r="BH321" s="538"/>
    </row>
    <row r="322" spans="39:60"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00"/>
      <c r="AX322" s="200"/>
      <c r="AY322" s="200"/>
      <c r="AZ322" s="200"/>
      <c r="BA322" s="320"/>
      <c r="BB322" s="327"/>
      <c r="BC322" s="305"/>
      <c r="BD322" s="538"/>
      <c r="BE322" s="538"/>
      <c r="BF322" s="538"/>
      <c r="BG322" s="538"/>
      <c r="BH322" s="538"/>
    </row>
    <row r="323" spans="39:60"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00"/>
      <c r="AX323" s="200"/>
      <c r="AY323" s="200"/>
      <c r="AZ323" s="200"/>
      <c r="BA323" s="320"/>
      <c r="BB323" s="327"/>
      <c r="BC323" s="305"/>
      <c r="BD323" s="538"/>
      <c r="BE323" s="538"/>
      <c r="BF323" s="538"/>
      <c r="BG323" s="538"/>
      <c r="BH323" s="538"/>
    </row>
    <row r="324" spans="39:60"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00"/>
      <c r="AX324" s="200"/>
      <c r="AY324" s="200"/>
      <c r="AZ324" s="200"/>
      <c r="BA324" s="320"/>
      <c r="BB324" s="327"/>
      <c r="BC324" s="305"/>
      <c r="BD324" s="538"/>
      <c r="BE324" s="538"/>
      <c r="BF324" s="538"/>
      <c r="BG324" s="538"/>
      <c r="BH324" s="538"/>
    </row>
    <row r="325" spans="39:60"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00"/>
      <c r="AX325" s="200"/>
      <c r="AY325" s="200"/>
      <c r="AZ325" s="200"/>
      <c r="BA325" s="320"/>
      <c r="BB325" s="327"/>
      <c r="BC325" s="305"/>
      <c r="BD325" s="538"/>
      <c r="BE325" s="538"/>
      <c r="BF325" s="538"/>
      <c r="BG325" s="538"/>
      <c r="BH325" s="538"/>
    </row>
    <row r="326" spans="39:60"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00"/>
      <c r="AX326" s="200"/>
      <c r="AY326" s="200"/>
      <c r="AZ326" s="200"/>
      <c r="BA326" s="320"/>
      <c r="BB326" s="327"/>
      <c r="BC326" s="305"/>
      <c r="BD326" s="538"/>
      <c r="BE326" s="538"/>
      <c r="BF326" s="538"/>
      <c r="BG326" s="538"/>
      <c r="BH326" s="538"/>
    </row>
    <row r="327" spans="39:60"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00"/>
      <c r="AX327" s="200"/>
      <c r="AY327" s="200"/>
      <c r="AZ327" s="200"/>
      <c r="BA327" s="320"/>
      <c r="BB327" s="327"/>
      <c r="BC327" s="305"/>
      <c r="BD327" s="538"/>
      <c r="BE327" s="538"/>
      <c r="BF327" s="538"/>
      <c r="BG327" s="538"/>
      <c r="BH327" s="538"/>
    </row>
    <row r="328" spans="39:60"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00"/>
      <c r="AX328" s="200"/>
      <c r="AY328" s="200"/>
      <c r="AZ328" s="200"/>
      <c r="BA328" s="320"/>
      <c r="BB328" s="327"/>
      <c r="BC328" s="305"/>
      <c r="BD328" s="538"/>
      <c r="BE328" s="538"/>
      <c r="BF328" s="538"/>
      <c r="BG328" s="538"/>
      <c r="BH328" s="538"/>
    </row>
    <row r="329" spans="39:60"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00"/>
      <c r="AX329" s="200"/>
      <c r="AY329" s="200"/>
      <c r="AZ329" s="200"/>
      <c r="BA329" s="320"/>
      <c r="BB329" s="327"/>
      <c r="BC329" s="305"/>
      <c r="BD329" s="538"/>
      <c r="BE329" s="538"/>
      <c r="BF329" s="538"/>
      <c r="BG329" s="538"/>
      <c r="BH329" s="538"/>
    </row>
    <row r="330" spans="39:60"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00"/>
      <c r="AX330" s="200"/>
      <c r="AY330" s="200"/>
      <c r="AZ330" s="200"/>
      <c r="BA330" s="320"/>
      <c r="BB330" s="327"/>
      <c r="BC330" s="305"/>
      <c r="BD330" s="538"/>
      <c r="BE330" s="538"/>
      <c r="BF330" s="538"/>
      <c r="BG330" s="538"/>
      <c r="BH330" s="538"/>
    </row>
    <row r="331" spans="39:60"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00"/>
      <c r="AX331" s="200"/>
      <c r="AY331" s="200"/>
      <c r="AZ331" s="200"/>
      <c r="BA331" s="320"/>
      <c r="BB331" s="327"/>
      <c r="BC331" s="305"/>
      <c r="BD331" s="538"/>
      <c r="BE331" s="538"/>
      <c r="BF331" s="538"/>
      <c r="BG331" s="538"/>
      <c r="BH331" s="538"/>
    </row>
    <row r="332" spans="39:60"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00"/>
      <c r="AX332" s="200"/>
      <c r="AY332" s="200"/>
      <c r="AZ332" s="200"/>
      <c r="BA332" s="320"/>
      <c r="BB332" s="327"/>
      <c r="BC332" s="305"/>
      <c r="BD332" s="538"/>
      <c r="BE332" s="538"/>
      <c r="BF332" s="538"/>
      <c r="BG332" s="538"/>
      <c r="BH332" s="538"/>
    </row>
    <row r="333" spans="39:60"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00"/>
      <c r="AX333" s="200"/>
      <c r="AY333" s="200"/>
      <c r="AZ333" s="200"/>
      <c r="BA333" s="320"/>
      <c r="BB333" s="327"/>
      <c r="BC333" s="305"/>
      <c r="BD333" s="538"/>
      <c r="BE333" s="538"/>
      <c r="BF333" s="538"/>
      <c r="BG333" s="538"/>
      <c r="BH333" s="538"/>
    </row>
    <row r="334" spans="39:60"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00"/>
      <c r="AX334" s="200"/>
      <c r="AY334" s="200"/>
      <c r="AZ334" s="200"/>
      <c r="BA334" s="320"/>
      <c r="BB334" s="327"/>
      <c r="BC334" s="305"/>
      <c r="BD334" s="538"/>
      <c r="BE334" s="538"/>
      <c r="BF334" s="538"/>
      <c r="BG334" s="538"/>
      <c r="BH334" s="538"/>
    </row>
    <row r="335" spans="39:60"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00"/>
      <c r="AX335" s="200"/>
      <c r="AY335" s="200"/>
      <c r="AZ335" s="200"/>
      <c r="BA335" s="320"/>
      <c r="BB335" s="327"/>
      <c r="BC335" s="305"/>
      <c r="BD335" s="538"/>
      <c r="BE335" s="538"/>
      <c r="BF335" s="538"/>
      <c r="BG335" s="538"/>
      <c r="BH335" s="538"/>
    </row>
    <row r="336" spans="39:60"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00"/>
      <c r="AX336" s="200"/>
      <c r="AY336" s="200"/>
      <c r="AZ336" s="200"/>
      <c r="BA336" s="320"/>
      <c r="BB336" s="327"/>
      <c r="BC336" s="305"/>
      <c r="BD336" s="538"/>
      <c r="BE336" s="538"/>
      <c r="BF336" s="538"/>
      <c r="BG336" s="538"/>
      <c r="BH336" s="538"/>
    </row>
    <row r="337" spans="39:60"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00"/>
      <c r="AX337" s="200"/>
      <c r="AY337" s="200"/>
      <c r="AZ337" s="200"/>
      <c r="BA337" s="320"/>
      <c r="BB337" s="327"/>
      <c r="BC337" s="305"/>
      <c r="BD337" s="538"/>
      <c r="BE337" s="538"/>
      <c r="BF337" s="538"/>
      <c r="BG337" s="538"/>
      <c r="BH337" s="538"/>
    </row>
    <row r="338" spans="39:60"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00"/>
      <c r="AX338" s="200"/>
      <c r="AY338" s="200"/>
      <c r="AZ338" s="200"/>
      <c r="BA338" s="320"/>
      <c r="BB338" s="327"/>
      <c r="BC338" s="305"/>
      <c r="BD338" s="538"/>
      <c r="BE338" s="538"/>
      <c r="BF338" s="538"/>
      <c r="BG338" s="538"/>
      <c r="BH338" s="538"/>
    </row>
    <row r="339" spans="39:60"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00"/>
      <c r="AX339" s="200"/>
      <c r="AY339" s="200"/>
      <c r="AZ339" s="200"/>
      <c r="BA339" s="320"/>
      <c r="BB339" s="327"/>
      <c r="BC339" s="305"/>
      <c r="BD339" s="538"/>
      <c r="BE339" s="538"/>
      <c r="BF339" s="538"/>
      <c r="BG339" s="538"/>
      <c r="BH339" s="538"/>
    </row>
    <row r="340" spans="39:60"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00"/>
      <c r="AX340" s="200"/>
      <c r="AY340" s="200"/>
      <c r="AZ340" s="200"/>
      <c r="BA340" s="320"/>
      <c r="BB340" s="327"/>
      <c r="BC340" s="305"/>
      <c r="BD340" s="538"/>
      <c r="BE340" s="538"/>
      <c r="BF340" s="538"/>
      <c r="BG340" s="538"/>
      <c r="BH340" s="538"/>
    </row>
    <row r="341" spans="39:60"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00"/>
      <c r="AX341" s="200"/>
      <c r="AY341" s="200"/>
      <c r="AZ341" s="200"/>
      <c r="BA341" s="320"/>
      <c r="BB341" s="327"/>
      <c r="BC341" s="305"/>
      <c r="BD341" s="538"/>
      <c r="BE341" s="538"/>
      <c r="BF341" s="538"/>
      <c r="BG341" s="538"/>
      <c r="BH341" s="538"/>
    </row>
    <row r="342" spans="39:60"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00"/>
      <c r="AX342" s="200"/>
      <c r="AY342" s="200"/>
      <c r="AZ342" s="200"/>
      <c r="BA342" s="320"/>
      <c r="BB342" s="327"/>
      <c r="BC342" s="305"/>
      <c r="BD342" s="538"/>
      <c r="BE342" s="538"/>
      <c r="BF342" s="538"/>
      <c r="BG342" s="538"/>
      <c r="BH342" s="538"/>
    </row>
    <row r="343" spans="39:60"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00"/>
      <c r="AX343" s="200"/>
      <c r="AY343" s="200"/>
      <c r="AZ343" s="200"/>
      <c r="BA343" s="320"/>
      <c r="BB343" s="327"/>
      <c r="BC343" s="305"/>
      <c r="BD343" s="538"/>
      <c r="BE343" s="538"/>
      <c r="BF343" s="538"/>
      <c r="BG343" s="538"/>
      <c r="BH343" s="538"/>
    </row>
    <row r="344" spans="39:60"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00"/>
      <c r="AX344" s="200"/>
      <c r="AY344" s="200"/>
      <c r="AZ344" s="200"/>
      <c r="BA344" s="320"/>
      <c r="BB344" s="327"/>
      <c r="BC344" s="305"/>
      <c r="BD344" s="538"/>
      <c r="BE344" s="538"/>
      <c r="BF344" s="538"/>
      <c r="BG344" s="538"/>
      <c r="BH344" s="538"/>
    </row>
    <row r="345" spans="39:60"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00"/>
      <c r="AX345" s="200"/>
      <c r="AY345" s="200"/>
      <c r="AZ345" s="200"/>
      <c r="BA345" s="320"/>
      <c r="BB345" s="327"/>
      <c r="BC345" s="305"/>
      <c r="BD345" s="538"/>
      <c r="BE345" s="538"/>
      <c r="BF345" s="538"/>
      <c r="BG345" s="538"/>
      <c r="BH345" s="538"/>
    </row>
    <row r="346" spans="39:60"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00"/>
      <c r="AX346" s="200"/>
      <c r="AY346" s="200"/>
      <c r="AZ346" s="200"/>
      <c r="BA346" s="320"/>
      <c r="BB346" s="327"/>
      <c r="BC346" s="305"/>
      <c r="BD346" s="538"/>
      <c r="BE346" s="538"/>
      <c r="BF346" s="538"/>
      <c r="BG346" s="538"/>
      <c r="BH346" s="538"/>
    </row>
    <row r="347" spans="39:60"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00"/>
      <c r="AX347" s="200"/>
      <c r="AY347" s="200"/>
      <c r="AZ347" s="200"/>
      <c r="BA347" s="320"/>
      <c r="BB347" s="327"/>
      <c r="BC347" s="305"/>
      <c r="BD347" s="538"/>
      <c r="BE347" s="538"/>
      <c r="BF347" s="538"/>
      <c r="BG347" s="538"/>
      <c r="BH347" s="538"/>
    </row>
    <row r="348" spans="39:60"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00"/>
      <c r="AX348" s="200"/>
      <c r="AY348" s="200"/>
      <c r="AZ348" s="200"/>
      <c r="BA348" s="320"/>
      <c r="BB348" s="327"/>
      <c r="BC348" s="305"/>
      <c r="BD348" s="538"/>
      <c r="BE348" s="538"/>
      <c r="BF348" s="538"/>
      <c r="BG348" s="538"/>
      <c r="BH348" s="538"/>
    </row>
    <row r="349" spans="39:60"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00"/>
      <c r="AX349" s="200"/>
      <c r="AY349" s="200"/>
      <c r="AZ349" s="200"/>
      <c r="BA349" s="320"/>
      <c r="BB349" s="327"/>
      <c r="BC349" s="305"/>
      <c r="BD349" s="538"/>
      <c r="BE349" s="538"/>
      <c r="BF349" s="538"/>
      <c r="BG349" s="538"/>
      <c r="BH349" s="538"/>
    </row>
    <row r="350" spans="39:60"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00"/>
      <c r="AX350" s="200"/>
      <c r="AY350" s="200"/>
      <c r="AZ350" s="200"/>
      <c r="BA350" s="320"/>
      <c r="BB350" s="327"/>
      <c r="BC350" s="305"/>
      <c r="BD350" s="538"/>
      <c r="BE350" s="538"/>
      <c r="BF350" s="538"/>
      <c r="BG350" s="538"/>
      <c r="BH350" s="538"/>
    </row>
    <row r="351" spans="39:60"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00"/>
      <c r="AX351" s="200"/>
      <c r="AY351" s="200"/>
      <c r="AZ351" s="200"/>
      <c r="BA351" s="320"/>
      <c r="BB351" s="327"/>
      <c r="BC351" s="305"/>
      <c r="BD351" s="538"/>
      <c r="BE351" s="538"/>
      <c r="BF351" s="538"/>
      <c r="BG351" s="538"/>
      <c r="BH351" s="538"/>
    </row>
    <row r="352" spans="39:60"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00"/>
      <c r="AX352" s="200"/>
      <c r="AY352" s="200"/>
      <c r="AZ352" s="200"/>
      <c r="BA352" s="320"/>
      <c r="BB352" s="327"/>
      <c r="BC352" s="305"/>
      <c r="BD352" s="538"/>
      <c r="BE352" s="538"/>
      <c r="BF352" s="538"/>
      <c r="BG352" s="538"/>
      <c r="BH352" s="538"/>
    </row>
    <row r="353" spans="39:60"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00"/>
      <c r="AX353" s="200"/>
      <c r="AY353" s="200"/>
      <c r="AZ353" s="200"/>
      <c r="BA353" s="320"/>
      <c r="BB353" s="327"/>
      <c r="BC353" s="305"/>
      <c r="BD353" s="538"/>
      <c r="BE353" s="538"/>
      <c r="BF353" s="538"/>
      <c r="BG353" s="538"/>
      <c r="BH353" s="538"/>
    </row>
    <row r="354" spans="39:60"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00"/>
      <c r="AX354" s="200"/>
      <c r="AY354" s="200"/>
      <c r="AZ354" s="200"/>
      <c r="BA354" s="320"/>
      <c r="BB354" s="327"/>
      <c r="BC354" s="305"/>
      <c r="BD354" s="538"/>
      <c r="BE354" s="538"/>
      <c r="BF354" s="538"/>
      <c r="BG354" s="538"/>
      <c r="BH354" s="538"/>
    </row>
    <row r="355" spans="39:60"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00"/>
      <c r="AX355" s="200"/>
      <c r="AY355" s="200"/>
      <c r="AZ355" s="200"/>
      <c r="BA355" s="320"/>
      <c r="BB355" s="327"/>
      <c r="BC355" s="305"/>
      <c r="BD355" s="538"/>
      <c r="BE355" s="538"/>
      <c r="BF355" s="538"/>
      <c r="BG355" s="538"/>
      <c r="BH355" s="538"/>
    </row>
    <row r="356" spans="39:60"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00"/>
      <c r="AX356" s="200"/>
      <c r="AY356" s="200"/>
      <c r="AZ356" s="200"/>
      <c r="BA356" s="320"/>
      <c r="BB356" s="327"/>
      <c r="BC356" s="305"/>
      <c r="BD356" s="538"/>
      <c r="BE356" s="538"/>
      <c r="BF356" s="538"/>
      <c r="BG356" s="538"/>
      <c r="BH356" s="538"/>
    </row>
    <row r="357" spans="39:60"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00"/>
      <c r="AX357" s="200"/>
      <c r="AY357" s="200"/>
      <c r="AZ357" s="200"/>
      <c r="BA357" s="320"/>
      <c r="BB357" s="327"/>
      <c r="BC357" s="305"/>
      <c r="BD357" s="538"/>
      <c r="BE357" s="538"/>
      <c r="BF357" s="538"/>
      <c r="BG357" s="538"/>
      <c r="BH357" s="538"/>
    </row>
    <row r="358" spans="39:60"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00"/>
      <c r="AX358" s="200"/>
      <c r="AY358" s="200"/>
      <c r="AZ358" s="200"/>
      <c r="BA358" s="320"/>
      <c r="BB358" s="327"/>
      <c r="BC358" s="305"/>
      <c r="BD358" s="538"/>
      <c r="BE358" s="538"/>
      <c r="BF358" s="538"/>
      <c r="BG358" s="538"/>
      <c r="BH358" s="538"/>
    </row>
    <row r="359" spans="39:60"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00"/>
      <c r="AX359" s="200"/>
      <c r="AY359" s="200"/>
      <c r="AZ359" s="200"/>
      <c r="BA359" s="320"/>
      <c r="BB359" s="327"/>
      <c r="BC359" s="305"/>
      <c r="BD359" s="538"/>
      <c r="BE359" s="538"/>
      <c r="BF359" s="538"/>
      <c r="BG359" s="538"/>
      <c r="BH359" s="538"/>
    </row>
    <row r="360" spans="39:60"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00"/>
      <c r="AX360" s="200"/>
      <c r="AY360" s="200"/>
      <c r="AZ360" s="200"/>
      <c r="BA360" s="320"/>
      <c r="BB360" s="327"/>
      <c r="BC360" s="305"/>
      <c r="BD360" s="538"/>
      <c r="BE360" s="538"/>
      <c r="BF360" s="538"/>
      <c r="BG360" s="538"/>
      <c r="BH360" s="538"/>
    </row>
    <row r="361" spans="39:60"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00"/>
      <c r="AX361" s="200"/>
      <c r="AY361" s="200"/>
      <c r="AZ361" s="200"/>
      <c r="BA361" s="320"/>
      <c r="BB361" s="327"/>
      <c r="BC361" s="305"/>
      <c r="BD361" s="538"/>
      <c r="BE361" s="538"/>
      <c r="BF361" s="538"/>
      <c r="BG361" s="538"/>
      <c r="BH361" s="538"/>
    </row>
  </sheetData>
  <mergeCells count="2">
    <mergeCell ref="BI6:BJ6"/>
    <mergeCell ref="BK6:BL6"/>
  </mergeCells>
  <phoneticPr fontId="24" type="noConversion"/>
  <pageMargins left="0.24" right="0.27" top="0.33" bottom="0.37" header="0.5" footer="0.2"/>
  <pageSetup scale="85" fitToWidth="10" fitToHeight="10" pageOrder="overThenDown" orientation="landscape" r:id="rId1"/>
  <headerFooter alignWithMargins="0">
    <oddFooter>&amp;C
&amp;R&amp;8&amp;D--Page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91"/>
  <sheetViews>
    <sheetView topLeftCell="A245" zoomScale="90" zoomScaleNormal="90" zoomScaleSheetLayoutView="100" workbookViewId="0">
      <pane xSplit="1" topLeftCell="V1" activePane="topRight" state="frozen"/>
      <selection pane="topRight" activeCell="BR379" sqref="BR379"/>
    </sheetView>
  </sheetViews>
  <sheetFormatPr defaultColWidth="10" defaultRowHeight="15.6"/>
  <cols>
    <col min="1" max="1" width="46.59765625" style="3" customWidth="1"/>
    <col min="2" max="4" width="6.59765625" style="3" customWidth="1"/>
    <col min="5" max="46" width="6.59765625" style="209" customWidth="1"/>
    <col min="47" max="47" width="7.09765625" style="209" customWidth="1"/>
    <col min="48" max="50" width="6.59765625" style="209" customWidth="1"/>
    <col min="51" max="51" width="6.59765625" style="350" customWidth="1"/>
    <col min="52" max="52" width="8" style="350" customWidth="1"/>
    <col min="53" max="55" width="6.59765625" style="350" customWidth="1"/>
    <col min="56" max="56" width="7.5" style="350" customWidth="1"/>
    <col min="57" max="57" width="6.69921875" style="350" customWidth="1"/>
    <col min="58" max="60" width="6.69921875" style="443" customWidth="1"/>
    <col min="61" max="62" width="8.5" style="300" customWidth="1"/>
    <col min="63" max="63" width="8.19921875" style="563" customWidth="1"/>
    <col min="64" max="64" width="9.09765625" style="564" customWidth="1"/>
    <col min="65" max="88" width="10" style="331" customWidth="1"/>
    <col min="89" max="155" width="10" customWidth="1"/>
    <col min="156" max="156" width="1.69921875" customWidth="1"/>
  </cols>
  <sheetData>
    <row r="1" spans="1:116">
      <c r="A1" s="67" t="s">
        <v>57</v>
      </c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  <c r="X1" s="489"/>
      <c r="Y1" s="489"/>
      <c r="Z1" s="492"/>
      <c r="AA1" s="489"/>
      <c r="AB1" s="489"/>
      <c r="AC1" s="489"/>
      <c r="AD1" s="489"/>
      <c r="AE1" s="489"/>
      <c r="AF1" s="489"/>
      <c r="AG1" s="489"/>
      <c r="AH1" s="489"/>
      <c r="AI1" s="489"/>
      <c r="AJ1" s="489"/>
      <c r="AK1" s="489"/>
      <c r="AL1" s="489"/>
      <c r="AM1" s="161"/>
      <c r="AN1" s="161"/>
      <c r="AO1" s="161"/>
      <c r="BF1" s="443" t="s">
        <v>161</v>
      </c>
      <c r="BI1" s="386"/>
      <c r="BJ1" s="386"/>
    </row>
    <row r="2" spans="1:116">
      <c r="A2" s="50" t="s">
        <v>58</v>
      </c>
      <c r="L2" s="489"/>
      <c r="M2" s="489"/>
      <c r="N2" s="489"/>
      <c r="O2" s="489"/>
      <c r="P2" s="489"/>
      <c r="Q2" s="489"/>
      <c r="R2" s="489"/>
      <c r="S2" s="489"/>
      <c r="T2" s="489"/>
      <c r="U2" s="489"/>
      <c r="V2" s="489"/>
      <c r="W2" s="489"/>
      <c r="X2" s="489"/>
      <c r="Y2" s="489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</row>
    <row r="3" spans="1:116">
      <c r="A3" s="479" t="s">
        <v>123</v>
      </c>
      <c r="B3" s="331"/>
      <c r="L3" s="489"/>
      <c r="M3" s="489"/>
      <c r="N3" s="489"/>
      <c r="O3" s="489"/>
      <c r="P3" s="489"/>
      <c r="Q3" s="489"/>
      <c r="R3" s="489"/>
      <c r="S3" s="489"/>
      <c r="T3" s="489"/>
      <c r="U3" s="489"/>
      <c r="V3" s="489"/>
      <c r="W3" s="489"/>
      <c r="X3" s="489"/>
      <c r="Y3" s="489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</row>
    <row r="4" spans="1:116">
      <c r="A4" s="7"/>
      <c r="L4" s="489"/>
      <c r="M4" s="489"/>
      <c r="N4" s="489"/>
      <c r="O4" s="489"/>
      <c r="P4" s="489"/>
      <c r="Q4" s="489"/>
      <c r="R4" s="489"/>
      <c r="S4" s="489"/>
      <c r="T4" s="489"/>
      <c r="U4" s="489"/>
      <c r="V4" s="489"/>
      <c r="W4" s="489"/>
      <c r="X4" s="489"/>
      <c r="Y4" s="489"/>
      <c r="Z4" s="161"/>
      <c r="AA4" s="161"/>
      <c r="AB4" s="161"/>
      <c r="AC4" s="161"/>
      <c r="AD4" s="161"/>
      <c r="AE4" s="161"/>
      <c r="AF4" s="161"/>
      <c r="AG4" s="161"/>
      <c r="AH4" s="161"/>
      <c r="AK4" s="161"/>
      <c r="AL4" s="161"/>
      <c r="AM4" s="161"/>
      <c r="AN4" s="161"/>
      <c r="AO4" s="161"/>
      <c r="AR4" s="496"/>
      <c r="AS4" s="496"/>
      <c r="AT4" s="496"/>
      <c r="AU4" s="496"/>
      <c r="AV4" s="496"/>
      <c r="BK4" s="565"/>
      <c r="BL4" s="565"/>
    </row>
    <row r="5" spans="1:116">
      <c r="A5" s="22"/>
      <c r="B5" s="23"/>
      <c r="C5" s="23"/>
      <c r="D5" s="23"/>
      <c r="E5" s="480"/>
      <c r="F5" s="480"/>
      <c r="G5" s="480"/>
      <c r="H5" s="480"/>
      <c r="I5" s="480"/>
      <c r="J5" s="480"/>
      <c r="K5" s="480"/>
      <c r="L5" s="490"/>
      <c r="M5" s="490"/>
      <c r="N5" s="490"/>
      <c r="O5" s="490"/>
      <c r="P5" s="490"/>
      <c r="Q5" s="490"/>
      <c r="R5" s="490"/>
      <c r="S5" s="490"/>
      <c r="T5" s="490"/>
      <c r="U5" s="490"/>
      <c r="V5" s="490"/>
      <c r="W5" s="490"/>
      <c r="X5" s="490"/>
      <c r="Y5" s="490"/>
      <c r="Z5" s="494"/>
      <c r="AA5" s="494"/>
      <c r="AB5" s="494"/>
      <c r="AC5" s="494"/>
      <c r="AD5" s="494"/>
      <c r="AE5" s="494"/>
      <c r="AF5" s="494"/>
      <c r="AG5" s="494"/>
      <c r="AH5" s="494"/>
      <c r="AI5" s="480"/>
      <c r="AJ5" s="480"/>
      <c r="AK5" s="494"/>
      <c r="AL5" s="494"/>
      <c r="AM5" s="494"/>
      <c r="AN5" s="494"/>
      <c r="AO5" s="494"/>
      <c r="AP5" s="494"/>
      <c r="AQ5" s="494"/>
      <c r="AR5" s="494"/>
      <c r="AS5" s="494"/>
      <c r="AT5" s="494"/>
      <c r="AU5" s="494"/>
      <c r="AV5" s="494"/>
      <c r="AW5" s="480"/>
      <c r="AX5" s="480"/>
      <c r="AY5" s="435"/>
      <c r="AZ5" s="435"/>
      <c r="BA5" s="435"/>
      <c r="BB5" s="435"/>
      <c r="BC5" s="435"/>
      <c r="BD5" s="435"/>
      <c r="BE5" s="435"/>
      <c r="BF5" s="629"/>
      <c r="BG5" s="629"/>
      <c r="BH5" s="629"/>
      <c r="BI5" s="388"/>
      <c r="BJ5" s="388"/>
      <c r="BK5" s="566"/>
      <c r="BL5" s="566"/>
    </row>
    <row r="6" spans="1:116" ht="10.5" customHeight="1">
      <c r="A6" s="115"/>
      <c r="B6" s="45"/>
      <c r="C6" s="45"/>
      <c r="D6" s="45"/>
      <c r="E6" s="218"/>
      <c r="F6" s="218"/>
      <c r="G6" s="218"/>
      <c r="H6" s="218"/>
      <c r="I6" s="218"/>
      <c r="J6" s="218"/>
      <c r="K6" s="218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3"/>
      <c r="X6" s="313"/>
      <c r="Y6" s="313"/>
      <c r="Z6" s="180"/>
      <c r="AA6" s="180"/>
      <c r="AB6" s="180"/>
      <c r="AC6" s="180"/>
      <c r="AD6" s="180"/>
      <c r="AE6" s="180"/>
      <c r="AF6" s="180"/>
      <c r="AG6" s="180"/>
      <c r="AH6" s="180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497"/>
      <c r="AT6" s="499"/>
      <c r="AU6" s="499"/>
      <c r="AV6" s="218"/>
      <c r="AW6" s="218"/>
      <c r="AX6" s="189"/>
      <c r="AY6" s="351"/>
      <c r="AZ6" s="478"/>
      <c r="BA6" s="351"/>
      <c r="BB6" s="432"/>
      <c r="BC6" s="432"/>
      <c r="BD6" s="331"/>
      <c r="BF6" s="402"/>
      <c r="BG6" s="534" t="s">
        <v>118</v>
      </c>
      <c r="BH6" s="402"/>
      <c r="BI6" s="674" t="s">
        <v>1</v>
      </c>
      <c r="BJ6" s="674"/>
      <c r="BK6" s="675" t="s">
        <v>86</v>
      </c>
      <c r="BL6" s="675"/>
    </row>
    <row r="7" spans="1:116" ht="11.1" customHeight="1">
      <c r="A7" s="188" t="s">
        <v>2</v>
      </c>
      <c r="B7" s="267">
        <v>1960</v>
      </c>
      <c r="C7" s="267">
        <v>1961</v>
      </c>
      <c r="D7" s="267">
        <v>1962</v>
      </c>
      <c r="E7" s="268">
        <v>1963</v>
      </c>
      <c r="F7" s="268">
        <v>1964</v>
      </c>
      <c r="G7" s="268">
        <v>1965</v>
      </c>
      <c r="H7" s="268">
        <v>1966</v>
      </c>
      <c r="I7" s="268">
        <v>1967</v>
      </c>
      <c r="J7" s="268">
        <v>1968</v>
      </c>
      <c r="K7" s="268">
        <v>1969</v>
      </c>
      <c r="L7" s="268">
        <v>1970</v>
      </c>
      <c r="M7" s="268">
        <v>1971</v>
      </c>
      <c r="N7" s="268">
        <v>1972</v>
      </c>
      <c r="O7" s="268">
        <v>1973</v>
      </c>
      <c r="P7" s="268">
        <v>1974</v>
      </c>
      <c r="Q7" s="268">
        <v>1975</v>
      </c>
      <c r="R7" s="268">
        <v>1976</v>
      </c>
      <c r="S7" s="268">
        <v>1977</v>
      </c>
      <c r="T7" s="268">
        <v>1978</v>
      </c>
      <c r="U7" s="268">
        <v>1979</v>
      </c>
      <c r="V7" s="268">
        <v>1980</v>
      </c>
      <c r="W7" s="268">
        <v>1981</v>
      </c>
      <c r="X7" s="268">
        <v>1982</v>
      </c>
      <c r="Y7" s="268">
        <v>1983</v>
      </c>
      <c r="Z7" s="268">
        <v>1984</v>
      </c>
      <c r="AA7" s="268">
        <v>1985</v>
      </c>
      <c r="AB7" s="268">
        <v>1986</v>
      </c>
      <c r="AC7" s="268">
        <v>1987</v>
      </c>
      <c r="AD7" s="268">
        <v>1988</v>
      </c>
      <c r="AE7" s="268">
        <v>1989</v>
      </c>
      <c r="AF7" s="268">
        <v>1990</v>
      </c>
      <c r="AG7" s="268">
        <v>1991</v>
      </c>
      <c r="AH7" s="268">
        <v>1992</v>
      </c>
      <c r="AI7" s="268">
        <v>1993</v>
      </c>
      <c r="AJ7" s="268">
        <v>1994</v>
      </c>
      <c r="AK7" s="268">
        <v>1995</v>
      </c>
      <c r="AL7" s="268">
        <v>1996</v>
      </c>
      <c r="AM7" s="268">
        <v>1997</v>
      </c>
      <c r="AN7" s="268">
        <v>1998</v>
      </c>
      <c r="AO7" s="268">
        <v>1999</v>
      </c>
      <c r="AP7" s="268">
        <v>2000</v>
      </c>
      <c r="AQ7" s="268">
        <v>2001</v>
      </c>
      <c r="AR7" s="268">
        <v>2002</v>
      </c>
      <c r="AS7" s="268">
        <v>2003</v>
      </c>
      <c r="AT7" s="268">
        <v>2004</v>
      </c>
      <c r="AU7" s="268">
        <v>2005</v>
      </c>
      <c r="AV7" s="268">
        <v>2006</v>
      </c>
      <c r="AW7" s="268">
        <v>2007</v>
      </c>
      <c r="AX7" s="500">
        <v>2008</v>
      </c>
      <c r="AY7" s="353">
        <v>2009</v>
      </c>
      <c r="AZ7" s="353">
        <v>2010</v>
      </c>
      <c r="BA7" s="353">
        <v>2011</v>
      </c>
      <c r="BB7" s="353">
        <v>2012</v>
      </c>
      <c r="BC7" s="353">
        <v>2013</v>
      </c>
      <c r="BD7" s="353">
        <v>2014</v>
      </c>
      <c r="BE7" s="353">
        <v>2015</v>
      </c>
      <c r="BF7" s="535">
        <v>2016</v>
      </c>
      <c r="BG7" s="535">
        <v>2017</v>
      </c>
      <c r="BH7" s="535">
        <v>2018</v>
      </c>
      <c r="BI7" s="322" t="s">
        <v>162</v>
      </c>
      <c r="BJ7" s="322" t="s">
        <v>165</v>
      </c>
      <c r="BK7" s="567" t="s">
        <v>162</v>
      </c>
      <c r="BL7" s="567" t="s">
        <v>165</v>
      </c>
      <c r="BM7" s="468"/>
      <c r="BN7" s="468"/>
      <c r="BO7" s="468"/>
      <c r="BP7" s="468"/>
      <c r="BQ7" s="468"/>
      <c r="BR7" s="468"/>
      <c r="BS7" s="468"/>
      <c r="BT7" s="468"/>
      <c r="BU7" s="468"/>
      <c r="BV7" s="468"/>
      <c r="BW7" s="468"/>
      <c r="BX7" s="468"/>
      <c r="BY7" s="468"/>
      <c r="BZ7" s="468"/>
      <c r="CA7" s="468"/>
      <c r="CB7" s="468"/>
      <c r="CC7" s="468"/>
      <c r="CD7" s="468"/>
      <c r="CE7" s="468"/>
      <c r="CF7" s="468"/>
      <c r="CG7" s="468"/>
      <c r="CH7" s="468"/>
      <c r="CI7" s="468"/>
      <c r="CJ7" s="468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</row>
    <row r="8" spans="1:116" ht="16.2" thickBot="1">
      <c r="A8" s="270"/>
      <c r="B8" s="271"/>
      <c r="C8" s="271"/>
      <c r="D8" s="271"/>
      <c r="E8" s="481"/>
      <c r="F8" s="481"/>
      <c r="G8" s="481"/>
      <c r="H8" s="481"/>
      <c r="I8" s="481"/>
      <c r="J8" s="481"/>
      <c r="K8" s="481"/>
      <c r="L8" s="491"/>
      <c r="M8" s="491"/>
      <c r="N8" s="491"/>
      <c r="O8" s="491"/>
      <c r="P8" s="491"/>
      <c r="Q8" s="491"/>
      <c r="R8" s="491"/>
      <c r="S8" s="491"/>
      <c r="T8" s="491"/>
      <c r="U8" s="491"/>
      <c r="V8" s="491"/>
      <c r="W8" s="491"/>
      <c r="X8" s="491"/>
      <c r="Y8" s="491"/>
      <c r="Z8" s="491"/>
      <c r="AA8" s="491"/>
      <c r="AB8" s="491"/>
      <c r="AC8" s="491"/>
      <c r="AD8" s="491"/>
      <c r="AE8" s="491"/>
      <c r="AF8" s="491"/>
      <c r="AG8" s="491"/>
      <c r="AH8" s="491"/>
      <c r="AI8" s="491"/>
      <c r="AJ8" s="491"/>
      <c r="AK8" s="481"/>
      <c r="AL8" s="481"/>
      <c r="AM8" s="491"/>
      <c r="AN8" s="491"/>
      <c r="AO8" s="491"/>
      <c r="AP8" s="481"/>
      <c r="AQ8" s="481"/>
      <c r="AR8" s="481"/>
      <c r="AS8" s="481"/>
      <c r="AT8" s="481"/>
      <c r="AU8" s="481"/>
      <c r="AV8" s="481"/>
      <c r="AW8" s="481"/>
      <c r="AX8" s="481"/>
      <c r="AY8" s="354"/>
      <c r="AZ8" s="354"/>
      <c r="BA8" s="354"/>
      <c r="BB8" s="354"/>
      <c r="BC8" s="354"/>
      <c r="BD8" s="354"/>
      <c r="BE8" s="354"/>
      <c r="BF8" s="630"/>
      <c r="BG8" s="630"/>
      <c r="BH8" s="630"/>
      <c r="BI8" s="390"/>
      <c r="BJ8" s="390"/>
      <c r="BK8" s="568"/>
      <c r="BL8" s="568"/>
      <c r="BM8" s="468"/>
      <c r="BN8" s="468"/>
      <c r="BO8" s="468"/>
      <c r="BP8" s="468"/>
      <c r="BQ8" s="468"/>
      <c r="BR8" s="468"/>
      <c r="BS8" s="468"/>
      <c r="BT8" s="468"/>
      <c r="BU8" s="468"/>
      <c r="BV8" s="468"/>
      <c r="BW8" s="468"/>
      <c r="BX8" s="468"/>
      <c r="BY8" s="468"/>
      <c r="BZ8" s="468"/>
      <c r="CA8" s="468"/>
      <c r="CB8" s="468"/>
      <c r="CC8" s="468"/>
      <c r="CD8" s="468"/>
      <c r="CE8" s="468"/>
      <c r="CF8" s="468"/>
      <c r="CG8" s="468"/>
      <c r="CH8" s="468"/>
      <c r="CI8" s="468"/>
      <c r="CJ8" s="468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</row>
    <row r="9" spans="1:116">
      <c r="A9" s="131" t="s">
        <v>7</v>
      </c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M9" s="161"/>
      <c r="AN9" s="161"/>
      <c r="AO9" s="161"/>
      <c r="AP9" s="218"/>
      <c r="AQ9" s="218"/>
      <c r="AR9" s="218"/>
      <c r="AS9" s="218"/>
      <c r="AT9" s="218"/>
      <c r="AU9" s="218"/>
      <c r="AV9" s="218"/>
      <c r="BI9" s="325"/>
      <c r="BJ9" s="325"/>
      <c r="BM9" s="468"/>
      <c r="BN9" s="468"/>
      <c r="BO9" s="468"/>
      <c r="BP9" s="468"/>
      <c r="BQ9" s="468"/>
      <c r="BR9" s="468"/>
      <c r="BS9" s="468"/>
      <c r="BT9" s="468"/>
      <c r="BU9" s="468"/>
      <c r="BV9" s="468"/>
      <c r="BW9" s="468"/>
      <c r="BX9" s="468"/>
      <c r="BY9" s="468"/>
      <c r="BZ9" s="468"/>
      <c r="CA9" s="468"/>
      <c r="CB9" s="468"/>
      <c r="CC9" s="468"/>
      <c r="CD9" s="468"/>
      <c r="CE9" s="468"/>
      <c r="CF9" s="468"/>
      <c r="CG9" s="468"/>
      <c r="CH9" s="468"/>
      <c r="CI9" s="468"/>
      <c r="CJ9" s="468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</row>
    <row r="10" spans="1:116" ht="11.1" customHeight="1">
      <c r="A10" s="165"/>
      <c r="L10" s="492"/>
      <c r="M10" s="492"/>
      <c r="N10" s="492"/>
      <c r="O10" s="492"/>
      <c r="P10" s="492"/>
      <c r="Q10" s="492"/>
      <c r="R10" s="492"/>
      <c r="S10" s="492"/>
      <c r="T10" s="492"/>
      <c r="U10" s="492"/>
      <c r="V10" s="492"/>
      <c r="W10" s="492"/>
      <c r="X10" s="492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M10" s="161"/>
      <c r="AN10" s="161"/>
      <c r="AO10" s="180"/>
      <c r="AP10" s="218"/>
      <c r="AQ10" s="218"/>
      <c r="AR10" s="218"/>
      <c r="AS10" s="218"/>
      <c r="AT10" s="218"/>
      <c r="AU10" s="218"/>
      <c r="AV10" s="218"/>
      <c r="BI10" s="325"/>
      <c r="BJ10" s="325"/>
    </row>
    <row r="11" spans="1:116">
      <c r="A11" s="130" t="s">
        <v>8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L11" s="161"/>
      <c r="AM11" s="161"/>
      <c r="AN11" s="161"/>
      <c r="AO11" s="161"/>
      <c r="BI11" s="325"/>
      <c r="BJ11" s="325"/>
    </row>
    <row r="12" spans="1:116" ht="6" customHeight="1">
      <c r="A12" s="125"/>
      <c r="L12" s="161"/>
      <c r="M12" s="161"/>
      <c r="N12" s="161"/>
      <c r="AM12" s="161"/>
      <c r="AN12" s="161"/>
      <c r="AO12" s="161"/>
      <c r="BI12" s="327"/>
      <c r="BJ12" s="327"/>
      <c r="BL12" s="563"/>
    </row>
    <row r="13" spans="1:116" ht="10.5" customHeight="1">
      <c r="A13" s="125" t="s">
        <v>20</v>
      </c>
      <c r="B13" s="51" t="s">
        <v>3</v>
      </c>
      <c r="C13" s="51" t="s">
        <v>3</v>
      </c>
      <c r="D13" s="51" t="s">
        <v>3</v>
      </c>
      <c r="E13" s="224" t="s">
        <v>3</v>
      </c>
      <c r="F13" s="224" t="s">
        <v>3</v>
      </c>
      <c r="G13" s="224" t="s">
        <v>3</v>
      </c>
      <c r="H13" s="224" t="s">
        <v>3</v>
      </c>
      <c r="I13" s="224" t="s">
        <v>3</v>
      </c>
      <c r="J13" s="224" t="s">
        <v>3</v>
      </c>
      <c r="K13" s="224" t="s">
        <v>3</v>
      </c>
      <c r="L13" s="224" t="s">
        <v>3</v>
      </c>
      <c r="M13" s="224" t="s">
        <v>3</v>
      </c>
      <c r="N13" s="224" t="s">
        <v>3</v>
      </c>
      <c r="O13" s="53">
        <f>SUM('MasterA1(current$)'!O13)/0.26337</f>
        <v>0</v>
      </c>
      <c r="P13" s="53">
        <f>SUM('MasterA1(current$)'!P13)/0.28703</f>
        <v>66.195171236456119</v>
      </c>
      <c r="Q13" s="53">
        <f>SUM('MasterA1(current$)'!Q13)/0.31361</f>
        <v>108.41491023883167</v>
      </c>
      <c r="R13" s="53">
        <f>SUM('MasterA1(current$)'!R13)/0.33083</f>
        <v>114.86261826315629</v>
      </c>
      <c r="S13" s="53">
        <f>SUM('MasterA1(current$)'!S13)/0.35135</f>
        <v>113.84659171766046</v>
      </c>
      <c r="T13" s="53">
        <f>SUM('MasterA1(current$)'!T13)/0.37602</f>
        <v>106.37732035530024</v>
      </c>
      <c r="U13" s="53">
        <f>SUM('MasterA1(current$)'!U13)/0.40706</f>
        <v>95.808971650370964</v>
      </c>
      <c r="V13" s="53">
        <f>SUM('MasterA1(current$)'!V13)/0.44377</f>
        <v>99.150460824300879</v>
      </c>
      <c r="W13" s="53">
        <f>SUM('MasterA1(current$)'!W13)/0.4852</f>
        <v>84.501236603462488</v>
      </c>
      <c r="X13" s="53">
        <f>SUM('MasterA1(current$)'!X13)/0.5153</f>
        <v>65.980981952260819</v>
      </c>
      <c r="Y13" s="53">
        <f>SUM('MasterA1(current$)'!Y13)/0.53565</f>
        <v>61.60739288714646</v>
      </c>
      <c r="Z13" s="53">
        <f>SUM('MasterA1(current$)'!Z13)/0.55466</f>
        <v>61.298813687664513</v>
      </c>
      <c r="AA13" s="53">
        <f>SUM('MasterA1(current$)'!AA13)/0.5724</f>
        <v>61.146051712089445</v>
      </c>
      <c r="AB13" s="53">
        <f>SUM('MasterA1(current$)'!AB13)/0.58395</f>
        <v>59.936638410822844</v>
      </c>
      <c r="AC13" s="53">
        <f>SUM('MasterA1(current$)'!AC13)/0.59885</f>
        <v>55.105619103281292</v>
      </c>
      <c r="AD13" s="53">
        <f>SUM('MasterA1(current$)'!AD13)/0.61982</f>
        <v>54.854635216675803</v>
      </c>
      <c r="AE13" s="53">
        <f>SUM('MasterA1(current$)'!AE13)/0.64392</f>
        <v>52.801590259659584</v>
      </c>
      <c r="AF13" s="53">
        <f>SUM('MasterA1(current$)'!AF13)/0.66773</f>
        <v>52.416395848621448</v>
      </c>
      <c r="AG13" s="53">
        <f>SUM('MasterA1(current$)'!AG13)/0.68996</f>
        <v>53.626297176647917</v>
      </c>
      <c r="AH13" s="53">
        <f>SUM('MasterA1(current$)'!AH13)/0.70569</f>
        <v>58.099165355892808</v>
      </c>
      <c r="AI13" s="53">
        <f>SUM('MasterA1(current$)'!AI13)/0.72248</f>
        <v>59.517218469715424</v>
      </c>
      <c r="AJ13" s="53">
        <f>SUM('MasterA1(current$)'!AJ13)/0.73785</f>
        <v>62.343294707596392</v>
      </c>
      <c r="AK13" s="53">
        <f>SUM('MasterA1(current$)'!AK13)/0.75324</f>
        <v>57.086718708512556</v>
      </c>
      <c r="AL13" s="53">
        <f>SUM('MasterA1(current$)'!AL13)/0.76699</f>
        <v>56.063312429105991</v>
      </c>
      <c r="AM13" s="53">
        <f>SUM('MasterA1(current$)'!AM13)/0.78012</f>
        <v>55.119725170486589</v>
      </c>
      <c r="AN13" s="53">
        <f>SUM('MasterA1(current$)'!AN13)/0.78859</f>
        <v>57.063873495732892</v>
      </c>
      <c r="AO13" s="53">
        <f>SUM('MasterA1(current$)'!AO13)/0.80065</f>
        <v>61.200274776743896</v>
      </c>
      <c r="AP13" s="98">
        <f>SUM('MasterA1(current$)'!AP13)/0.81887</f>
        <v>62.28094813584574</v>
      </c>
      <c r="AQ13" s="98">
        <f>SUM('MasterA1(current$)'!AQ13)/0.83754</f>
        <v>69.250423860352939</v>
      </c>
      <c r="AR13" s="98">
        <f>SUM('MasterA1(current$)'!AR13)/0.85039</f>
        <v>65.852138430602437</v>
      </c>
      <c r="AS13" s="98">
        <f>SUM('MasterA1(current$)'!AS13)/0.86735</f>
        <v>71.482100651409468</v>
      </c>
      <c r="AT13" s="98">
        <f>SUM('MasterA1(current$)'!AT13)/0.8912</f>
        <v>70.69120287253142</v>
      </c>
      <c r="AU13" s="98">
        <f>SUM('MasterA1(current$)'!AU13)/0.91988</f>
        <v>70.661390616167324</v>
      </c>
      <c r="AV13" s="98">
        <f>SUM('MasterA1(current$)'!AV13)/0.94814</f>
        <v>67.500580083110094</v>
      </c>
      <c r="AW13" s="98">
        <f>SUM('MasterA1(current$)'!AW13)/0.97337</f>
        <v>63.696230621449196</v>
      </c>
      <c r="AX13" s="667">
        <f>SUM('MasterA1(current$)'!AX13*100)/99.246</f>
        <v>70.531809846240662</v>
      </c>
      <c r="AY13" s="416">
        <f>SUM('MasterA1(current$)'!AY13)</f>
        <v>95</v>
      </c>
      <c r="AZ13" s="416">
        <f>SUM('MasterA1(current$)'!AZ13*100)/101.221</f>
        <v>103.73341500281562</v>
      </c>
      <c r="BA13" s="416">
        <f>SUM('MasterA1(current$)'!BA13*100)/103.311</f>
        <v>136.4811104335453</v>
      </c>
      <c r="BB13" s="416">
        <f>SUM('MasterA1(current$)'!BB13*100)/105.214</f>
        <v>114.05326287376205</v>
      </c>
      <c r="BC13" s="416">
        <f>SUM('MasterA1(current$)'!BC13*100)/106.913</f>
        <v>105.69341427141696</v>
      </c>
      <c r="BD13" s="416">
        <f>SUM('MasterA1(current$)'!BD13*100)/108.828</f>
        <v>101.07692873157643</v>
      </c>
      <c r="BE13" s="416">
        <f>SUM('MasterA1(current$)'!BE13*100)/109.998</f>
        <v>111.82021491299841</v>
      </c>
      <c r="BF13" s="539">
        <f>SUM('MasterA1(current$)'!BF13*100)/111.298</f>
        <v>111.41260400007188</v>
      </c>
      <c r="BG13" s="539">
        <f>SUM('MasterA1(current$)'!BG13*100)/113.198</f>
        <v>115.72642626194809</v>
      </c>
      <c r="BH13" s="539">
        <f>SUM('MasterA1(current$)'!BH13*100)/115.198</f>
        <v>110.24496953072102</v>
      </c>
      <c r="BI13" s="385">
        <f>(BG13-BF13)/BF13</f>
        <v>3.8719337911475693E-2</v>
      </c>
      <c r="BJ13" s="385">
        <f>(BH13-BG13)/BG13</f>
        <v>-4.7365644203163498E-2</v>
      </c>
      <c r="BK13" s="569">
        <f>BG13-BF13</f>
        <v>4.3138222618762114</v>
      </c>
      <c r="BL13" s="569">
        <f>BH13-BG13</f>
        <v>-5.4814567312270697</v>
      </c>
    </row>
    <row r="14" spans="1:116" ht="6" customHeight="1">
      <c r="A14" s="125"/>
      <c r="B14" s="37"/>
      <c r="C14" s="38"/>
      <c r="D14" s="38"/>
      <c r="E14" s="482"/>
      <c r="F14" s="482"/>
      <c r="G14" s="482"/>
      <c r="H14" s="482"/>
      <c r="I14" s="482"/>
      <c r="J14" s="482"/>
      <c r="K14" s="482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482"/>
      <c r="AL14" s="53"/>
      <c r="AM14" s="161"/>
      <c r="AN14" s="161"/>
      <c r="AO14" s="161"/>
      <c r="AP14" s="180"/>
      <c r="AQ14" s="180"/>
      <c r="AR14" s="180"/>
      <c r="AS14" s="180"/>
      <c r="AT14" s="180"/>
      <c r="AU14" s="180"/>
      <c r="AV14" s="98"/>
      <c r="AW14" s="98"/>
      <c r="AX14" s="98"/>
      <c r="AY14" s="416"/>
      <c r="AZ14" s="416"/>
      <c r="BA14" s="416"/>
      <c r="BB14" s="416"/>
      <c r="BC14" s="416"/>
      <c r="BD14" s="416"/>
      <c r="BE14" s="416"/>
      <c r="BF14" s="631"/>
      <c r="BG14" s="631"/>
      <c r="BH14" s="631"/>
      <c r="BI14" s="329"/>
      <c r="BJ14" s="329"/>
      <c r="BK14" s="570"/>
      <c r="BL14" s="570"/>
    </row>
    <row r="15" spans="1:116" ht="11.1" customHeight="1">
      <c r="A15" s="126" t="s">
        <v>30</v>
      </c>
      <c r="B15" s="37"/>
      <c r="C15" s="38"/>
      <c r="D15" s="38"/>
      <c r="E15" s="482"/>
      <c r="F15" s="482"/>
      <c r="G15" s="482"/>
      <c r="H15" s="482"/>
      <c r="I15" s="482"/>
      <c r="J15" s="482"/>
      <c r="K15" s="482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482"/>
      <c r="AL15" s="482"/>
      <c r="AM15" s="161"/>
      <c r="AN15" s="161"/>
      <c r="AO15" s="161"/>
      <c r="AP15" s="180"/>
      <c r="AQ15" s="180"/>
      <c r="AR15" s="180"/>
      <c r="AS15" s="180"/>
      <c r="AT15" s="180"/>
      <c r="AU15" s="180"/>
      <c r="AV15" s="98"/>
      <c r="AW15" s="98"/>
      <c r="AX15" s="98"/>
      <c r="AY15" s="416"/>
      <c r="AZ15" s="416"/>
      <c r="BA15" s="416"/>
      <c r="BB15" s="416"/>
      <c r="BC15" s="416"/>
      <c r="BD15" s="416"/>
      <c r="BE15" s="416"/>
      <c r="BF15" s="631"/>
      <c r="BG15" s="631"/>
      <c r="BH15" s="631"/>
      <c r="BI15" s="329"/>
      <c r="BJ15" s="329"/>
      <c r="BK15" s="570"/>
      <c r="BL15" s="570"/>
    </row>
    <row r="16" spans="1:116" ht="11.1" customHeight="1">
      <c r="A16" s="125" t="s">
        <v>31</v>
      </c>
      <c r="B16" s="35"/>
      <c r="C16" s="36"/>
      <c r="D16" s="36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161"/>
      <c r="AN16" s="161"/>
      <c r="AO16" s="342"/>
      <c r="AP16" s="161"/>
      <c r="AQ16" s="161"/>
      <c r="AR16" s="161"/>
      <c r="AS16" s="161"/>
      <c r="AT16" s="161"/>
      <c r="AU16" s="161"/>
      <c r="AV16" s="98"/>
      <c r="AW16" s="98"/>
      <c r="AX16" s="98"/>
      <c r="AY16" s="416"/>
      <c r="AZ16" s="416"/>
      <c r="BA16" s="416"/>
      <c r="BB16" s="416"/>
      <c r="BC16" s="416"/>
      <c r="BD16" s="416"/>
      <c r="BE16" s="416"/>
      <c r="BF16" s="631"/>
      <c r="BG16" s="631"/>
      <c r="BH16" s="631"/>
      <c r="BI16" s="385"/>
      <c r="BJ16" s="385"/>
      <c r="BK16" s="571"/>
      <c r="BL16" s="571"/>
    </row>
    <row r="17" spans="1:64" ht="11.1" customHeight="1">
      <c r="A17" s="125" t="s">
        <v>65</v>
      </c>
      <c r="B17" s="54">
        <f>SUM('MasterA1(current$)'!B17)/0.1756</f>
        <v>335.9908883826879</v>
      </c>
      <c r="C17" s="55">
        <f>SUM('MasterA1(current$)'!C17)/0.178</f>
        <v>376.40449438202251</v>
      </c>
      <c r="D17" s="55">
        <f>SUM('MasterA1(current$)'!D17)/0.1798</f>
        <v>394.8832035595106</v>
      </c>
      <c r="E17" s="33">
        <f>SUM('MasterA1(current$)'!E17)/0.182</f>
        <v>417.58241758241758</v>
      </c>
      <c r="F17" s="33">
        <f>SUM('MasterA1(current$)'!F17)/0.1842</f>
        <v>466.88382193268188</v>
      </c>
      <c r="G17" s="33">
        <f>SUM('MasterA1(current$)'!G17)/0.18702</f>
        <v>374.29151962356968</v>
      </c>
      <c r="H17" s="33">
        <f>SUM('MasterA1(current$)'!H17)/0.19227</f>
        <v>421.2825713839913</v>
      </c>
      <c r="I17" s="33">
        <f>SUM('MasterA1(current$)'!I17)/0.19786</f>
        <v>439.70484180733848</v>
      </c>
      <c r="J17" s="33">
        <f>SUM('MasterA1(current$)'!J17)/0.20627</f>
        <v>416.92926746497307</v>
      </c>
      <c r="K17" s="33">
        <f>SUM('MasterA1(current$)'!K17)/0.21642</f>
        <v>425.09934386840405</v>
      </c>
      <c r="L17" s="33">
        <f>SUM('MasterA1(current$)'!L17)/0.22784</f>
        <v>421.34831460674161</v>
      </c>
      <c r="M17" s="33">
        <f>SUM('MasterA1(current$)'!M17)/0.23941</f>
        <v>438.57817133787222</v>
      </c>
      <c r="N17" s="33">
        <f>SUM('MasterA1(current$)'!N17)/0.24978</f>
        <v>444.39106413644004</v>
      </c>
      <c r="O17" s="33">
        <f>SUM('MasterA1(current$)'!O17)/0.26337</f>
        <v>1271.9747883206137</v>
      </c>
      <c r="P17" s="33">
        <f>SUM('MasterA1(current$)'!P17)/0.28703</f>
        <v>1198.4809950179424</v>
      </c>
      <c r="Q17" s="33">
        <f>SUM('MasterA1(current$)'!Q17)/0.31361</f>
        <v>1186.1866649660406</v>
      </c>
      <c r="R17" s="33">
        <f>SUM('MasterA1(current$)'!R17)/0.33083</f>
        <v>1230.2390956080162</v>
      </c>
      <c r="S17" s="33">
        <f>SUM('MasterA1(current$)'!S17)/0.35135</f>
        <v>1033.1578198377686</v>
      </c>
      <c r="T17" s="33">
        <f>SUM('MasterA1(current$)'!T17)/0.37602</f>
        <v>555.82149885644378</v>
      </c>
      <c r="U17" s="33">
        <f>SUM('MasterA1(current$)'!U17)/0.40706</f>
        <v>577.3104702009532</v>
      </c>
      <c r="V17" s="33">
        <f>SUM('MasterA1(current$)'!V17)/0.44377</f>
        <v>579.12882799648469</v>
      </c>
      <c r="W17" s="33">
        <f>SUM('MasterA1(current$)'!W17)/0.4852</f>
        <v>595.6306677658697</v>
      </c>
      <c r="X17" s="33">
        <f>SUM('MasterA1(current$)'!X17)/0.5153</f>
        <v>628.75994566272072</v>
      </c>
      <c r="Y17" s="33">
        <f>SUM('MasterA1(current$)'!Y17)/0.53565</f>
        <v>470.45645477457299</v>
      </c>
      <c r="Z17" s="33">
        <f>SUM('MasterA1(current$)'!Z17)/0.55466</f>
        <v>670.681137994447</v>
      </c>
      <c r="AA17" s="33">
        <f>SUM('MasterA1(current$)'!AA17)/0.5724</f>
        <v>597.48427672955972</v>
      </c>
      <c r="AB17" s="33">
        <f>SUM('MasterA1(current$)'!AB17)/0.58395</f>
        <v>527.44241801524106</v>
      </c>
      <c r="AC17" s="33">
        <f>SUM('MasterA1(current$)'!AC17)/0.59885</f>
        <v>579.44393420723054</v>
      </c>
      <c r="AD17" s="33">
        <f>SUM('MasterA1(current$)'!AD17)/0.61982</f>
        <v>592.10738601529476</v>
      </c>
      <c r="AE17" s="33">
        <f>SUM('MasterA1(current$)'!AE17)/0.64392</f>
        <v>607.21828798608522</v>
      </c>
      <c r="AF17" s="33">
        <f>SUM('MasterA1(current$)'!AF17)/0.66773</f>
        <v>608.03019184400875</v>
      </c>
      <c r="AG17" s="33">
        <f>SUM('MasterA1(current$)'!AG17)/0.68996</f>
        <v>624.67389413879062</v>
      </c>
      <c r="AH17" s="33">
        <f>SUM('MasterA1(current$)'!AH17)/0.70569</f>
        <v>675.93419206733836</v>
      </c>
      <c r="AI17" s="33">
        <f>SUM('MasterA1(current$)'!AI17)/0.72248</f>
        <v>711.43837891706346</v>
      </c>
      <c r="AJ17" s="33">
        <f>SUM('MasterA1(current$)'!AJ17)/0.73785</f>
        <v>711.52673307582836</v>
      </c>
      <c r="AK17" s="33">
        <f>SUM('MasterA1(current$)'!AK17)/0.75324</f>
        <v>711.59258669215649</v>
      </c>
      <c r="AL17" s="33">
        <f>SUM('MasterA1(current$)'!AL17)/0.76699</f>
        <v>687.10152674741528</v>
      </c>
      <c r="AM17" s="33">
        <f>SUM('MasterA1(current$)'!AM17)/0.78012</f>
        <v>719.12013536379015</v>
      </c>
      <c r="AN17" s="33">
        <f>SUM('MasterA1(current$)'!AN17)/0.78859</f>
        <v>735.48992505611284</v>
      </c>
      <c r="AO17" s="33">
        <f>SUM('MasterA1(current$)'!AO17)/0.80065</f>
        <v>839.31805408105913</v>
      </c>
      <c r="AP17" s="339">
        <f>SUM('MasterA1(current$)'!AP17)/0.81887</f>
        <v>897.57837019307101</v>
      </c>
      <c r="AQ17" s="339">
        <f>SUM('MasterA1(current$)'!AQ17)/0.83754</f>
        <v>1153.37774912243</v>
      </c>
      <c r="AR17" s="339">
        <f>SUM('MasterA1(current$)'!AR17)/0.85039</f>
        <v>983.07835228542206</v>
      </c>
      <c r="AS17" s="339">
        <f>SUM('MasterA1(current$)'!AS17)/0.86735</f>
        <v>1360.4657865913416</v>
      </c>
      <c r="AT17" s="339">
        <f>SUM('MasterA1(current$)'!AT17)/0.8912</f>
        <v>1234.2908438061042</v>
      </c>
      <c r="AU17" s="339">
        <f>SUM('MasterA1(current$)'!AU17)/0.91988</f>
        <v>1316.4760620950558</v>
      </c>
      <c r="AV17" s="339">
        <f>SUM('MasterA1(current$)'!AV17)/0.94814</f>
        <v>1711.7725230451199</v>
      </c>
      <c r="AW17" s="339">
        <f>SUM('MasterA1(current$)'!AW17)/0.97337</f>
        <v>1354.0585799850007</v>
      </c>
      <c r="AX17" s="339">
        <f>SUM('MasterA1(current$)'!AX17*100)/99.246</f>
        <v>1303.8308848719344</v>
      </c>
      <c r="AY17" s="417">
        <f>SUM('MasterA1(current$)'!AY17)</f>
        <v>1288</v>
      </c>
      <c r="AZ17" s="417">
        <f>SUM('MasterA1(current$)'!AZ17*100)/101.221</f>
        <v>1323.8359628930755</v>
      </c>
      <c r="BA17" s="417">
        <f>SUM('MasterA1(current$)'!BA17*100)/103.311</f>
        <v>1291.2468178606343</v>
      </c>
      <c r="BB17" s="417">
        <f>SUM('MasterA1(current$)'!BB17*100)/105.214</f>
        <v>1207.0636987473149</v>
      </c>
      <c r="BC17" s="417">
        <f>SUM('MasterA1(current$)'!BC17*100)/106.913</f>
        <v>1146.7267778474086</v>
      </c>
      <c r="BD17" s="417">
        <f>SUM('MasterA1(current$)'!BD17*100)/108.828</f>
        <v>1118.2783842393501</v>
      </c>
      <c r="BE17" s="417">
        <f>SUM('MasterA1(current$)'!BE17*100)/109.998</f>
        <v>1719.122165857561</v>
      </c>
      <c r="BF17" s="539">
        <f>SUM('MasterA1(current$)'!BF17*100)/111.298</f>
        <v>1487.8973566461211</v>
      </c>
      <c r="BG17" s="539">
        <f>SUM('MasterA1(current$)'!BG17*100)/113.198</f>
        <v>1438.1879538507749</v>
      </c>
      <c r="BH17" s="539">
        <f>SUM('MasterA1(current$)'!BH17*100)/115.198</f>
        <v>1164.950780395493</v>
      </c>
      <c r="BI17" s="385">
        <f t="shared" ref="BI17:BJ21" si="0">(BG17-BF17)/BF17</f>
        <v>-3.340916130625874E-2</v>
      </c>
      <c r="BJ17" s="385">
        <f t="shared" si="0"/>
        <v>-0.18998711032426902</v>
      </c>
      <c r="BK17" s="569">
        <f t="shared" ref="BK17:BL21" si="1">BG17-BF17</f>
        <v>-49.70940279534625</v>
      </c>
      <c r="BL17" s="569">
        <f t="shared" si="1"/>
        <v>-273.23717345528189</v>
      </c>
    </row>
    <row r="18" spans="1:64" ht="11.1" customHeight="1">
      <c r="A18" s="125" t="s">
        <v>66</v>
      </c>
      <c r="B18" s="56" t="s">
        <v>3</v>
      </c>
      <c r="C18" s="56" t="s">
        <v>3</v>
      </c>
      <c r="D18" s="56" t="s">
        <v>3</v>
      </c>
      <c r="E18" s="342" t="s">
        <v>3</v>
      </c>
      <c r="F18" s="342" t="s">
        <v>3</v>
      </c>
      <c r="G18" s="342" t="s">
        <v>3</v>
      </c>
      <c r="H18" s="342" t="s">
        <v>3</v>
      </c>
      <c r="I18" s="342" t="s">
        <v>3</v>
      </c>
      <c r="J18" s="342" t="s">
        <v>3</v>
      </c>
      <c r="K18" s="342" t="s">
        <v>3</v>
      </c>
      <c r="L18" s="342" t="s">
        <v>3</v>
      </c>
      <c r="M18" s="342" t="s">
        <v>3</v>
      </c>
      <c r="N18" s="342" t="s">
        <v>3</v>
      </c>
      <c r="O18" s="342" t="s">
        <v>3</v>
      </c>
      <c r="P18" s="342" t="s">
        <v>3</v>
      </c>
      <c r="Q18" s="342" t="s">
        <v>3</v>
      </c>
      <c r="R18" s="342" t="s">
        <v>3</v>
      </c>
      <c r="S18" s="33">
        <f>SUM('MasterA1(current$)'!S18)/0.35135</f>
        <v>304.53963284474173</v>
      </c>
      <c r="T18" s="33">
        <f>SUM('MasterA1(current$)'!T18)/0.37602</f>
        <v>890.91005797563957</v>
      </c>
      <c r="U18" s="33">
        <f>SUM('MasterA1(current$)'!U18)/0.40706</f>
        <v>842.62762246351895</v>
      </c>
      <c r="V18" s="33">
        <f>SUM('MasterA1(current$)'!V18)/0.44377</f>
        <v>885.59388872614193</v>
      </c>
      <c r="W18" s="33">
        <f>SUM('MasterA1(current$)'!W18)/0.4852</f>
        <v>847.07337180544107</v>
      </c>
      <c r="X18" s="33">
        <f>SUM('MasterA1(current$)'!X18)/0.5153</f>
        <v>683.09722491752382</v>
      </c>
      <c r="Y18" s="33">
        <f>SUM('MasterA1(current$)'!Y18)/0.53565</f>
        <v>670.21375898441147</v>
      </c>
      <c r="Z18" s="33">
        <f>SUM('MasterA1(current$)'!Z18)/0.55466</f>
        <v>676.08985684924096</v>
      </c>
      <c r="AA18" s="33">
        <f>SUM('MasterA1(current$)'!AA18)/0.5724</f>
        <v>698.81201956673647</v>
      </c>
      <c r="AB18" s="33">
        <f>SUM('MasterA1(current$)'!AB18)/0.58395</f>
        <v>667.86539943488322</v>
      </c>
      <c r="AC18" s="33">
        <f>SUM('MasterA1(current$)'!AC18)/0.59885</f>
        <v>696.33464139600903</v>
      </c>
      <c r="AD18" s="33">
        <f>SUM('MasterA1(current$)'!AD18)/0.61982</f>
        <v>708.27014294472588</v>
      </c>
      <c r="AE18" s="33">
        <f>SUM('MasterA1(current$)'!AE18)/0.64392</f>
        <v>703.50354081252328</v>
      </c>
      <c r="AF18" s="33">
        <f>SUM('MasterA1(current$)'!AF18)/0.66773</f>
        <v>711.36537223129108</v>
      </c>
      <c r="AG18" s="33">
        <f>SUM('MasterA1(current$)'!AG18)/0.68996</f>
        <v>720.33161342686526</v>
      </c>
      <c r="AH18" s="33">
        <f>SUM('MasterA1(current$)'!AH18)/0.70569</f>
        <v>746.78683274525633</v>
      </c>
      <c r="AI18" s="33">
        <f>SUM('MasterA1(current$)'!AI18)/0.72248</f>
        <v>791.71741778319119</v>
      </c>
      <c r="AJ18" s="33">
        <f>SUM('MasterA1(current$)'!AJ18)/0.73785</f>
        <v>790.13349596801515</v>
      </c>
      <c r="AK18" s="33">
        <f>SUM('MasterA1(current$)'!AK18)/0.75324</f>
        <v>805.85205246667726</v>
      </c>
      <c r="AL18" s="33">
        <f>SUM('MasterA1(current$)'!AL18)/0.76699</f>
        <v>805.74714142296511</v>
      </c>
      <c r="AM18" s="33">
        <f>SUM('MasterA1(current$)'!AM18)/0.78012</f>
        <v>839.61441829462126</v>
      </c>
      <c r="AN18" s="33">
        <f>SUM('MasterA1(current$)'!AN18)/0.78859</f>
        <v>863.56661890209102</v>
      </c>
      <c r="AO18" s="33">
        <f>SUM('MasterA1(current$)'!AO18)/0.80065</f>
        <v>873.04065446824461</v>
      </c>
      <c r="AP18" s="339">
        <f>SUM('MasterA1(current$)'!AP18)/0.81887</f>
        <v>907.34793068496833</v>
      </c>
      <c r="AQ18" s="339">
        <f>SUM('MasterA1(current$)'!AQ18)/0.83754</f>
        <v>948.01442319172816</v>
      </c>
      <c r="AR18" s="339">
        <f>SUM('MasterA1(current$)'!AR18)/0.85039</f>
        <v>963.08752454756052</v>
      </c>
      <c r="AS18" s="339">
        <f>SUM('MasterA1(current$)'!AS18)/0.86735</f>
        <v>969.62010722315108</v>
      </c>
      <c r="AT18" s="339">
        <f>SUM('MasterA1(current$)'!AT18)/0.8912</f>
        <v>996.40933572710958</v>
      </c>
      <c r="AU18" s="339">
        <f>SUM('MasterA1(current$)'!AU18)/0.91988</f>
        <v>1003.391746749576</v>
      </c>
      <c r="AV18" s="332">
        <f>SUM('MasterA1(current$)'!AV18)/0.94814</f>
        <v>1020.9462737570401</v>
      </c>
      <c r="AW18" s="332">
        <f>SUM('MasterA1(current$)'!AW18)/0.97337</f>
        <v>987.29157463246247</v>
      </c>
      <c r="AX18" s="332">
        <f>SUM('MasterA1(current$)'!AX18*100)/99.246</f>
        <v>1079.1366906474821</v>
      </c>
      <c r="AY18" s="417">
        <f>SUM('MasterA1(current$)'!AY18)</f>
        <v>1111</v>
      </c>
      <c r="AZ18" s="417">
        <f>SUM('MasterA1(current$)'!AZ18*100)/101.221</f>
        <v>1154.8986870313472</v>
      </c>
      <c r="BA18" s="417">
        <f>SUM('MasterA1(current$)'!BA18*100)/103.311</f>
        <v>1159.6054631162219</v>
      </c>
      <c r="BB18" s="417">
        <f>SUM('MasterA1(current$)'!BB18*100)/105.214</f>
        <v>1106.316649875492</v>
      </c>
      <c r="BC18" s="417">
        <f>SUM('MasterA1(current$)'!BC18*100)/106.913</f>
        <v>1117.7312394189669</v>
      </c>
      <c r="BD18" s="417">
        <f>SUM('MasterA1(current$)'!BD18*100)/108.828</f>
        <v>1075.0909692358584</v>
      </c>
      <c r="BE18" s="417">
        <f>SUM('MasterA1(current$)'!BE18*100)/109.998</f>
        <v>1092.7471408571064</v>
      </c>
      <c r="BF18" s="539">
        <f>SUM('MasterA1(current$)'!BF18*100)/111.298</f>
        <v>1120.4154611942713</v>
      </c>
      <c r="BG18" s="539">
        <f>SUM('MasterA1(current$)'!BG18*100)/113.198</f>
        <v>1066.2732557112317</v>
      </c>
      <c r="BH18" s="539">
        <f>SUM('MasterA1(current$)'!BH18*100)/115.198</f>
        <v>1081.6160002777826</v>
      </c>
      <c r="BI18" s="385">
        <f t="shared" si="0"/>
        <v>-4.8323329477556833E-2</v>
      </c>
      <c r="BJ18" s="385">
        <f t="shared" si="0"/>
        <v>1.4389130069962118E-2</v>
      </c>
      <c r="BK18" s="569">
        <f t="shared" si="1"/>
        <v>-54.142205483039561</v>
      </c>
      <c r="BL18" s="569">
        <f t="shared" si="1"/>
        <v>15.342744566550891</v>
      </c>
    </row>
    <row r="19" spans="1:64" ht="11.1" customHeight="1">
      <c r="A19" s="127" t="s">
        <v>67</v>
      </c>
      <c r="B19" s="60" t="s">
        <v>3</v>
      </c>
      <c r="C19" s="60" t="s">
        <v>3</v>
      </c>
      <c r="D19" s="60" t="s">
        <v>3</v>
      </c>
      <c r="E19" s="170" t="s">
        <v>3</v>
      </c>
      <c r="F19" s="170" t="s">
        <v>3</v>
      </c>
      <c r="G19" s="170" t="s">
        <v>3</v>
      </c>
      <c r="H19" s="344">
        <f>SUM('MasterA1(current$)'!H19)/0.19227</f>
        <v>10.402038799604723</v>
      </c>
      <c r="I19" s="344">
        <f>SUM('MasterA1(current$)'!I19)/0.19786</f>
        <v>10.108157282927323</v>
      </c>
      <c r="J19" s="344">
        <f>SUM('MasterA1(current$)'!J19)/0.20627</f>
        <v>14.544044213894409</v>
      </c>
      <c r="K19" s="344">
        <f>SUM('MasterA1(current$)'!K19)/0.21642</f>
        <v>13.86193512614361</v>
      </c>
      <c r="L19" s="344">
        <f>SUM('MasterA1(current$)'!L19)/0.22784</f>
        <v>13.167134831460675</v>
      </c>
      <c r="M19" s="344">
        <f>SUM('MasterA1(current$)'!M19)/0.23941</f>
        <v>16.707739860490371</v>
      </c>
      <c r="N19" s="344">
        <f>SUM('MasterA1(current$)'!N19)/0.24978</f>
        <v>16.014092401313157</v>
      </c>
      <c r="O19" s="344">
        <f>SUM('MasterA1(current$)'!O19)/0.26337</f>
        <v>15.187758666514789</v>
      </c>
      <c r="P19" s="344">
        <f>SUM('MasterA1(current$)'!P19)/0.28703</f>
        <v>13.935825523464446</v>
      </c>
      <c r="Q19" s="344">
        <f>SUM('MasterA1(current$)'!Q19)/0.31361</f>
        <v>15.943369152769364</v>
      </c>
      <c r="R19" s="344">
        <f>SUM('MasterA1(current$)'!R19)/0.33083</f>
        <v>15.113502403046882</v>
      </c>
      <c r="S19" s="344">
        <f>SUM('MasterA1(current$)'!S19)/0.35135</f>
        <v>68.307955030596275</v>
      </c>
      <c r="T19" s="344">
        <f>SUM('MasterA1(current$)'!T19)/0.37602</f>
        <v>111.69618637306526</v>
      </c>
      <c r="U19" s="33">
        <f>SUM('MasterA1(current$)'!U19)/0.40706</f>
        <v>130.20193583255539</v>
      </c>
      <c r="V19" s="344">
        <f>SUM('MasterA1(current$)'!V19)/0.44377</f>
        <v>148.72569123645133</v>
      </c>
      <c r="W19" s="344">
        <f>SUM('MasterA1(current$)'!W19)/0.4852</f>
        <v>146.33140972794723</v>
      </c>
      <c r="X19" s="344">
        <f>SUM('MasterA1(current$)'!X19)/0.5153</f>
        <v>116.43702697457792</v>
      </c>
      <c r="Y19" s="344">
        <f>SUM('MasterA1(current$)'!Y19)/0.53565</f>
        <v>87.743862596844963</v>
      </c>
      <c r="Z19" s="344">
        <f>SUM('MasterA1(current$)'!Z19)/0.55466</f>
        <v>75.722063967114977</v>
      </c>
      <c r="AA19" s="344">
        <f>SUM('MasterA1(current$)'!AA19)/0.5724</f>
        <v>80.363382250174695</v>
      </c>
      <c r="AB19" s="344">
        <f>SUM('MasterA1(current$)'!AB19)/0.58395</f>
        <v>78.773867625652883</v>
      </c>
      <c r="AC19" s="344">
        <f>SUM('MasterA1(current$)'!AC19)/0.59885</f>
        <v>70.13442431326709</v>
      </c>
      <c r="AD19" s="344">
        <f>SUM('MasterA1(current$)'!AD19)/0.61982</f>
        <v>69.374979832854692</v>
      </c>
      <c r="AE19" s="344">
        <f>SUM('MasterA1(current$)'!AE19)/0.64392</f>
        <v>79.202385389489365</v>
      </c>
      <c r="AF19" s="344">
        <f>SUM('MasterA1(current$)'!AF19)/0.66773</f>
        <v>74.880565498030634</v>
      </c>
      <c r="AG19" s="344">
        <f>SUM('MasterA1(current$)'!AG19)/0.68996</f>
        <v>75.366687923937619</v>
      </c>
      <c r="AH19" s="344">
        <f>SUM('MasterA1(current$)'!AH19)/0.70569</f>
        <v>72.269693491476417</v>
      </c>
      <c r="AI19" s="344">
        <f>SUM('MasterA1(current$)'!AI19)/0.72248</f>
        <v>80.279038866127777</v>
      </c>
      <c r="AJ19" s="344">
        <f>SUM('MasterA1(current$)'!AJ19)/0.73785</f>
        <v>74.540895846039163</v>
      </c>
      <c r="AK19" s="344">
        <f>SUM('MasterA1(current$)'!AK19)/0.75324</f>
        <v>78.328288460517228</v>
      </c>
      <c r="AL19" s="344">
        <f>SUM('MasterA1(current$)'!AL19)/0.76699</f>
        <v>74.316483917652121</v>
      </c>
      <c r="AM19" s="344">
        <f>SUM('MasterA1(current$)'!AM19)/0.78012</f>
        <v>70.50197405527355</v>
      </c>
      <c r="AN19" s="344">
        <f>SUM('MasterA1(current$)'!AN19)/0.78859</f>
        <v>71.012820350245377</v>
      </c>
      <c r="AO19" s="344">
        <f>SUM('MasterA1(current$)'!AO19)/0.80065</f>
        <v>76.188097171048526</v>
      </c>
      <c r="AP19" s="332">
        <f>SUM('MasterA1(current$)'!AP19)/0.81887</f>
        <v>73.271703689230279</v>
      </c>
      <c r="AQ19" s="332">
        <f>SUM('MasterA1(current$)'!AQ19)/0.83754</f>
        <v>82.384124937316429</v>
      </c>
      <c r="AR19" s="332">
        <f>SUM('MasterA1(current$)'!AR19)/0.85039</f>
        <v>78.787379908042197</v>
      </c>
      <c r="AS19" s="332">
        <f>SUM('MasterA1(current$)'!AS19)/0.86735</f>
        <v>76.093849080532664</v>
      </c>
      <c r="AT19" s="332">
        <f>SUM('MasterA1(current$)'!AT19)/0.8912</f>
        <v>76.301615798922796</v>
      </c>
      <c r="AU19" s="332">
        <f>SUM('MasterA1(current$)'!AU19)/0.91988</f>
        <v>80.445275470713568</v>
      </c>
      <c r="AV19" s="332">
        <f>SUM('MasterA1(current$)'!AV19)/0.94814</f>
        <v>80.15693884869323</v>
      </c>
      <c r="AW19" s="332">
        <f>SUM('MasterA1(current$)'!AW19)/0.97337</f>
        <v>81.161326114427197</v>
      </c>
      <c r="AX19" s="332">
        <f>SUM('MasterA1(current$)'!AX19*100)/99.246</f>
        <v>79.600185397900177</v>
      </c>
      <c r="AY19" s="417">
        <f>SUM('MasterA1(current$)'!AY19)</f>
        <v>83</v>
      </c>
      <c r="AZ19" s="417">
        <f>SUM('MasterA1(current$)'!AZ19*100)/101.221</f>
        <v>85.9505438594758</v>
      </c>
      <c r="BA19" s="417">
        <f>SUM('MasterA1(current$)'!BA19*100)/103.311</f>
        <v>84.211748990910934</v>
      </c>
      <c r="BB19" s="417">
        <f>SUM('MasterA1(current$)'!BB19*100)/105.214</f>
        <v>83.639059440758842</v>
      </c>
      <c r="BC19" s="417">
        <f>SUM('MasterA1(current$)'!BC19*100)/106.913</f>
        <v>83.245255488107162</v>
      </c>
      <c r="BD19" s="417">
        <f>SUM('MasterA1(current$)'!BD19*100)/108.828</f>
        <v>82.699305325835255</v>
      </c>
      <c r="BE19" s="417">
        <f>SUM('MasterA1(current$)'!BE19*100)/109.998</f>
        <v>87.274314078437783</v>
      </c>
      <c r="BF19" s="539">
        <f>SUM('MasterA1(current$)'!BF19*100)/111.298</f>
        <v>83.559453000053907</v>
      </c>
      <c r="BG19" s="539">
        <f>SUM('MasterA1(current$)'!BG19*100)/113.198</f>
        <v>91.874414742309938</v>
      </c>
      <c r="BH19" s="539">
        <f>SUM('MasterA1(current$)'!BH19*100)/115.198</f>
        <v>90.279345127519576</v>
      </c>
      <c r="BI19" s="385">
        <f t="shared" si="0"/>
        <v>9.9509528170925995E-2</v>
      </c>
      <c r="BJ19" s="385">
        <f t="shared" si="0"/>
        <v>-1.7361412524523012E-2</v>
      </c>
      <c r="BK19" s="569">
        <f t="shared" si="1"/>
        <v>8.3149617422560311</v>
      </c>
      <c r="BL19" s="569">
        <f t="shared" si="1"/>
        <v>-1.5950696147903614</v>
      </c>
    </row>
    <row r="20" spans="1:64" ht="11.1" customHeight="1">
      <c r="A20" s="127" t="s">
        <v>84</v>
      </c>
      <c r="B20" s="60" t="s">
        <v>3</v>
      </c>
      <c r="C20" s="60" t="s">
        <v>3</v>
      </c>
      <c r="D20" s="60" t="s">
        <v>3</v>
      </c>
      <c r="E20" s="170" t="s">
        <v>3</v>
      </c>
      <c r="F20" s="170" t="s">
        <v>3</v>
      </c>
      <c r="G20" s="170" t="s">
        <v>3</v>
      </c>
      <c r="H20" s="170" t="s">
        <v>3</v>
      </c>
      <c r="I20" s="170" t="s">
        <v>3</v>
      </c>
      <c r="J20" s="170" t="s">
        <v>3</v>
      </c>
      <c r="K20" s="170" t="s">
        <v>3</v>
      </c>
      <c r="L20" s="170" t="s">
        <v>3</v>
      </c>
      <c r="M20" s="170" t="s">
        <v>3</v>
      </c>
      <c r="N20" s="170" t="s">
        <v>3</v>
      </c>
      <c r="O20" s="170" t="s">
        <v>3</v>
      </c>
      <c r="P20" s="170" t="s">
        <v>3</v>
      </c>
      <c r="Q20" s="170" t="s">
        <v>3</v>
      </c>
      <c r="R20" s="170" t="s">
        <v>3</v>
      </c>
      <c r="S20" s="170" t="s">
        <v>3</v>
      </c>
      <c r="T20" s="170" t="s">
        <v>3</v>
      </c>
      <c r="U20" s="170" t="s">
        <v>3</v>
      </c>
      <c r="V20" s="170" t="s">
        <v>3</v>
      </c>
      <c r="W20" s="170" t="s">
        <v>3</v>
      </c>
      <c r="X20" s="170" t="s">
        <v>3</v>
      </c>
      <c r="Y20" s="170" t="s">
        <v>3</v>
      </c>
      <c r="Z20" s="170" t="s">
        <v>3</v>
      </c>
      <c r="AA20" s="170" t="s">
        <v>3</v>
      </c>
      <c r="AB20" s="170" t="s">
        <v>3</v>
      </c>
      <c r="AC20" s="170" t="s">
        <v>3</v>
      </c>
      <c r="AD20" s="170" t="s">
        <v>3</v>
      </c>
      <c r="AE20" s="170" t="s">
        <v>3</v>
      </c>
      <c r="AF20" s="170" t="s">
        <v>3</v>
      </c>
      <c r="AG20" s="170" t="s">
        <v>3</v>
      </c>
      <c r="AH20" s="170" t="s">
        <v>3</v>
      </c>
      <c r="AI20" s="170" t="s">
        <v>3</v>
      </c>
      <c r="AJ20" s="170" t="s">
        <v>3</v>
      </c>
      <c r="AK20" s="170" t="s">
        <v>3</v>
      </c>
      <c r="AL20" s="344">
        <f>SUM('MasterA1(current$)'!AL20)/0.76699</f>
        <v>11.73418167120823</v>
      </c>
      <c r="AM20" s="344">
        <f>SUM('MasterA1(current$)'!AM20)/0.78012</f>
        <v>67.938265907809054</v>
      </c>
      <c r="AN20" s="344">
        <f>SUM('MasterA1(current$)'!AN20)/0.78859</f>
        <v>308.14491687695761</v>
      </c>
      <c r="AO20" s="344">
        <f>SUM('MasterA1(current$)'!AO20)/0.80065</f>
        <v>67.445200774370832</v>
      </c>
      <c r="AP20" s="332">
        <f>SUM('MasterA1(current$)'!AP20)/0.81887</f>
        <v>78.156483935178969</v>
      </c>
      <c r="AQ20" s="332">
        <f>SUM('MasterA1(current$)'!AQ20)/0.83754</f>
        <v>100.29371731499391</v>
      </c>
      <c r="AR20" s="332">
        <f>SUM('MasterA1(current$)'!AR20)/0.85039</f>
        <v>99.954138689307257</v>
      </c>
      <c r="AS20" s="332">
        <f>SUM('MasterA1(current$)'!AS20)/0.86735</f>
        <v>88.776157260621432</v>
      </c>
      <c r="AT20" s="332">
        <f>SUM('MasterA1(current$)'!AT20)/0.8912</f>
        <v>79.667863554757631</v>
      </c>
      <c r="AU20" s="332">
        <f>SUM('MasterA1(current$)'!AU20)/0.91988</f>
        <v>72.83558725051094</v>
      </c>
      <c r="AV20" s="332">
        <f>SUM('MasterA1(current$)'!AV20)/0.94814</f>
        <v>78.047545721096043</v>
      </c>
      <c r="AW20" s="332">
        <f>SUM('MasterA1(current$)'!AW20)/0.97337</f>
        <v>81.161326114427197</v>
      </c>
      <c r="AX20" s="332">
        <f>SUM('MasterA1(current$)'!AX20*100)/99.246</f>
        <v>76.577393547347</v>
      </c>
      <c r="AY20" s="417">
        <f>SUM('MasterA1(current$)'!AY20)</f>
        <v>73</v>
      </c>
      <c r="AZ20" s="417">
        <f>SUM('MasterA1(current$)'!AZ20*100)/101.221</f>
        <v>77.059108287805884</v>
      </c>
      <c r="BA20" s="417">
        <f>SUM('MasterA1(current$)'!BA20*100)/103.311</f>
        <v>74.532237612645304</v>
      </c>
      <c r="BB20" s="417">
        <f>SUM('MasterA1(current$)'!BB20*100)/105.214</f>
        <v>73.184177010663987</v>
      </c>
      <c r="BC20" s="417">
        <f>SUM('MasterA1(current$)'!BC20*100)/106.913</f>
        <v>68.279816299233957</v>
      </c>
      <c r="BD20" s="417">
        <f>SUM('MasterA1(current$)'!BD20*100)/108.828</f>
        <v>61.565038409232919</v>
      </c>
      <c r="BE20" s="417">
        <f>SUM('MasterA1(current$)'!BE20*100)/109.998</f>
        <v>70.001272750413648</v>
      </c>
      <c r="BF20" s="539">
        <f>SUM('MasterA1(current$)'!BF20*100)/111.298</f>
        <v>74.574565580693275</v>
      </c>
      <c r="BG20" s="539">
        <f>SUM('MasterA1(current$)'!BG20*100)/113.198</f>
        <v>74.206258061096491</v>
      </c>
      <c r="BH20" s="539">
        <f>SUM('MasterA1(current$)'!BH20*100)/115.198</f>
        <v>59.028802583378187</v>
      </c>
      <c r="BI20" s="385">
        <f t="shared" si="0"/>
        <v>-4.9387819657931041E-3</v>
      </c>
      <c r="BJ20" s="385">
        <f t="shared" si="0"/>
        <v>-0.20453066728175673</v>
      </c>
      <c r="BK20" s="569">
        <f t="shared" si="1"/>
        <v>-0.3683075195967831</v>
      </c>
      <c r="BL20" s="569">
        <f t="shared" si="1"/>
        <v>-15.177455477718304</v>
      </c>
    </row>
    <row r="21" spans="1:64" ht="11.1" customHeight="1">
      <c r="A21" s="128" t="s">
        <v>32</v>
      </c>
      <c r="B21" s="119">
        <f>SUM('MasterA1(current$)'!B21)/0.1756</f>
        <v>335.9908883826879</v>
      </c>
      <c r="C21" s="119">
        <f>SUM('MasterA1(current$)'!C21)/0.178</f>
        <v>376.40449438202251</v>
      </c>
      <c r="D21" s="118">
        <f>SUM('MasterA1(current$)'!D21)/0.1798</f>
        <v>394.8832035595106</v>
      </c>
      <c r="E21" s="464">
        <f>SUM('MasterA1(current$)'!E21)/0.182</f>
        <v>417.58241758241758</v>
      </c>
      <c r="F21" s="464">
        <f>SUM('MasterA1(current$)'!F21)/0.1842</f>
        <v>466.88382193268188</v>
      </c>
      <c r="G21" s="464">
        <f>SUM('MasterA1(current$)'!G21)/0.18702</f>
        <v>374.29151962356968</v>
      </c>
      <c r="H21" s="464">
        <f>SUM('MasterA1(current$)'!H21)/0.19227</f>
        <v>431.68461018359596</v>
      </c>
      <c r="I21" s="464">
        <f>SUM('MasterA1(current$)'!I21)/0.19786</f>
        <v>449.81299909026581</v>
      </c>
      <c r="J21" s="464">
        <f>SUM('MasterA1(current$)'!J21)/0.20627</f>
        <v>431.4733116788675</v>
      </c>
      <c r="K21" s="464">
        <f>SUM('MasterA1(current$)'!K21)/0.21642</f>
        <v>438.96127899454763</v>
      </c>
      <c r="L21" s="464">
        <f>SUM('MasterA1(current$)'!L21)/0.22784</f>
        <v>434.51544943820227</v>
      </c>
      <c r="M21" s="464">
        <f>SUM('MasterA1(current$)'!M21)/0.23941</f>
        <v>455.28591119836261</v>
      </c>
      <c r="N21" s="464">
        <f>SUM('MasterA1(current$)'!N21)/0.24978</f>
        <v>460.40515653775321</v>
      </c>
      <c r="O21" s="464">
        <f>SUM('MasterA1(current$)'!O21)/0.26337</f>
        <v>1287.1625469871285</v>
      </c>
      <c r="P21" s="464">
        <f>SUM('MasterA1(current$)'!P21)/0.28703</f>
        <v>1212.4168205414069</v>
      </c>
      <c r="Q21" s="464">
        <f>SUM('MasterA1(current$)'!Q21)/0.31361</f>
        <v>1202.13003411881</v>
      </c>
      <c r="R21" s="464">
        <f>SUM('MasterA1(current$)'!R21)/0.33083</f>
        <v>1245.352598011063</v>
      </c>
      <c r="S21" s="464">
        <f>SUM('MasterA1(current$)'!S21)/0.35135</f>
        <v>1406.0054077131067</v>
      </c>
      <c r="T21" s="464">
        <f>SUM('MasterA1(current$)'!T21)/0.37602</f>
        <v>1558.4277432051485</v>
      </c>
      <c r="U21" s="464">
        <f>SUM('MasterA1(current$)'!U21)/0.40706</f>
        <v>1550.1400284970275</v>
      </c>
      <c r="V21" s="464">
        <f>SUM('MasterA1(current$)'!V21)/0.44377</f>
        <v>1613.4484079590779</v>
      </c>
      <c r="W21" s="464">
        <f>SUM('MasterA1(current$)'!W21)/0.4852</f>
        <v>1589.0354492992581</v>
      </c>
      <c r="X21" s="464">
        <f>SUM('MasterA1(current$)'!X21)/0.5153</f>
        <v>1428.2941975548224</v>
      </c>
      <c r="Y21" s="464">
        <f>SUM('MasterA1(current$)'!Y21)/0.53565</f>
        <v>1228.4140763558294</v>
      </c>
      <c r="Z21" s="464">
        <f>SUM('MasterA1(current$)'!Z21)/0.55466</f>
        <v>1422.4930588108029</v>
      </c>
      <c r="AA21" s="464">
        <f>SUM('MasterA1(current$)'!AA21)/0.5724</f>
        <v>1376.659678546471</v>
      </c>
      <c r="AB21" s="464">
        <f>SUM('MasterA1(current$)'!AB21)/0.58395</f>
        <v>1274.0816850757772</v>
      </c>
      <c r="AC21" s="464">
        <f>SUM('MasterA1(current$)'!AC21)/0.59885</f>
        <v>1345.9129999165066</v>
      </c>
      <c r="AD21" s="464">
        <f>SUM('MasterA1(current$)'!AD21)/0.61982</f>
        <v>1369.7525087928752</v>
      </c>
      <c r="AE21" s="464">
        <f>SUM('MasterA1(current$)'!AE21)/0.64392</f>
        <v>1389.9242141880977</v>
      </c>
      <c r="AF21" s="464">
        <f>SUM('MasterA1(current$)'!AF21)/0.66773</f>
        <v>1394.2761295733305</v>
      </c>
      <c r="AG21" s="464">
        <f>SUM('MasterA1(current$)'!AG21)/0.68996</f>
        <v>1420.3721954895937</v>
      </c>
      <c r="AH21" s="464">
        <f>SUM('MasterA1(current$)'!AH21)/0.70569</f>
        <v>1494.9907183040712</v>
      </c>
      <c r="AI21" s="464">
        <f>SUM('MasterA1(current$)'!AI21)/0.72248</f>
        <v>1583.4348355663824</v>
      </c>
      <c r="AJ21" s="464">
        <f>SUM('MasterA1(current$)'!AJ21)/0.73785</f>
        <v>1576.2011248898827</v>
      </c>
      <c r="AK21" s="464">
        <f>SUM('MasterA1(current$)'!AK21)/0.75324</f>
        <v>1595.7729276193511</v>
      </c>
      <c r="AL21" s="464">
        <f>SUM('MasterA1(current$)'!AL21)/0.76699</f>
        <v>1578.8993337592408</v>
      </c>
      <c r="AM21" s="464">
        <f>SUM('MasterA1(current$)'!AM21)/0.78012</f>
        <v>1697.174793621494</v>
      </c>
      <c r="AN21" s="464">
        <f>SUM('MasterA1(current$)'!AN21)/0.78859</f>
        <v>1978.2142811854069</v>
      </c>
      <c r="AO21" s="464">
        <f>SUM('MasterA1(current$)'!AO21)/0.80065</f>
        <v>1855.992006494723</v>
      </c>
      <c r="AP21" s="138">
        <f>SUM('MasterA1(current$)'!AP21)/0.81887</f>
        <v>1956.3544885024485</v>
      </c>
      <c r="AQ21" s="138">
        <f>SUM('MasterA1(current$)'!AQ21)/0.83754</f>
        <v>2284.0700145664687</v>
      </c>
      <c r="AR21" s="138">
        <f>SUM('MasterA1(current$)'!AR21)/0.85039</f>
        <v>2124.9073954303321</v>
      </c>
      <c r="AS21" s="138">
        <f>SUM('MasterA1(current$)'!AS21)/0.86735</f>
        <v>2494.9559001556468</v>
      </c>
      <c r="AT21" s="138">
        <f>SUM('MasterA1(current$)'!AT21)/0.8912</f>
        <v>2386.669658886894</v>
      </c>
      <c r="AU21" s="138">
        <f>SUM('MasterA1(current$)'!AU21)/0.91988</f>
        <v>2473.1486715658561</v>
      </c>
      <c r="AV21" s="463">
        <f>SUM(AV17:AV20)</f>
        <v>2890.9232813719491</v>
      </c>
      <c r="AW21" s="463">
        <f>SUM(AW17:AW20)</f>
        <v>2503.6728068463171</v>
      </c>
      <c r="AX21" s="668">
        <f>SUM(AX17:AX20)</f>
        <v>2539.1451544646638</v>
      </c>
      <c r="AY21" s="502">
        <f>SUM('MasterA1(current$)'!AY21)</f>
        <v>2555</v>
      </c>
      <c r="AZ21" s="418">
        <f>SUM('MasterA1(current$)'!AZ21*100)/101.221</f>
        <v>2641.7443020717042</v>
      </c>
      <c r="BA21" s="418">
        <f>SUM('MasterA1(current$)'!BA21*100)/103.311</f>
        <v>2609.5962675804126</v>
      </c>
      <c r="BB21" s="418">
        <f>SUM('MasterA1(current$)'!BB21*100)/105.214</f>
        <v>2470.2035850742295</v>
      </c>
      <c r="BC21" s="418">
        <f>SUM('MasterA1(current$)'!BC21*100)/106.913</f>
        <v>2415.9830890537169</v>
      </c>
      <c r="BD21" s="418">
        <f>SUM('MasterA1(current$)'!BD21*100)/108.828</f>
        <v>2337.6336972102768</v>
      </c>
      <c r="BE21" s="418">
        <f>SUM('MasterA1(current$)'!BE21*100)/109.998</f>
        <v>2969.1448935435187</v>
      </c>
      <c r="BF21" s="632">
        <f>SUM('MasterA1(current$)'!BF21*100)/111.298</f>
        <v>2766.4468364211398</v>
      </c>
      <c r="BG21" s="632">
        <f>SUM('MasterA1(current$)'!BG21*100)/113.198</f>
        <v>2670.5418823654131</v>
      </c>
      <c r="BH21" s="632">
        <f>SUM('MasterA1(current$)'!BH21*100)/115.198</f>
        <v>2395.8749283841735</v>
      </c>
      <c r="BI21" s="415">
        <f t="shared" si="0"/>
        <v>-3.4667195766463994E-2</v>
      </c>
      <c r="BJ21" s="415">
        <f t="shared" si="0"/>
        <v>-0.10285064458077527</v>
      </c>
      <c r="BK21" s="572">
        <f t="shared" si="1"/>
        <v>-95.904954055726648</v>
      </c>
      <c r="BL21" s="572">
        <f t="shared" si="1"/>
        <v>-274.66695398123966</v>
      </c>
    </row>
    <row r="22" spans="1:64" ht="6" customHeight="1">
      <c r="A22" s="125"/>
      <c r="B22" s="35"/>
      <c r="C22" s="36"/>
      <c r="D22" s="3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161"/>
      <c r="AN22" s="161"/>
      <c r="AO22" s="161"/>
      <c r="AP22" s="161"/>
      <c r="AQ22" s="161"/>
      <c r="AR22" s="161"/>
      <c r="AS22" s="161"/>
      <c r="AT22" s="161"/>
      <c r="AU22" s="161"/>
      <c r="AV22" s="339"/>
      <c r="AW22" s="339"/>
      <c r="AX22" s="339"/>
      <c r="AY22" s="417"/>
      <c r="AZ22" s="416"/>
      <c r="BA22" s="416"/>
      <c r="BB22" s="416"/>
      <c r="BC22" s="416"/>
      <c r="BD22" s="416"/>
      <c r="BE22" s="416"/>
      <c r="BF22" s="631"/>
      <c r="BG22" s="631"/>
      <c r="BH22" s="631"/>
      <c r="BI22" s="329"/>
      <c r="BJ22" s="329"/>
      <c r="BK22" s="570"/>
      <c r="BL22" s="570"/>
    </row>
    <row r="23" spans="1:64" ht="11.1" customHeight="1">
      <c r="A23" s="126" t="s">
        <v>33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633"/>
      <c r="BG23" s="633"/>
      <c r="BH23" s="633"/>
      <c r="BI23" s="329"/>
      <c r="BJ23" s="329"/>
      <c r="BK23" s="570"/>
      <c r="BL23" s="570"/>
    </row>
    <row r="24" spans="1:64" ht="11.1" customHeight="1">
      <c r="A24" s="125" t="s">
        <v>80</v>
      </c>
      <c r="B24" s="54">
        <f>SUM('MasterA1(current$)'!B24)/0.1756</f>
        <v>91.116173120728931</v>
      </c>
      <c r="C24" s="55">
        <f>SUM('MasterA1(current$)'!C24)/0.178</f>
        <v>112.35955056179776</v>
      </c>
      <c r="D24" s="55">
        <f>SUM('MasterA1(current$)'!D24)/0.1798</f>
        <v>139.04338153503895</v>
      </c>
      <c r="E24" s="33">
        <f>SUM('MasterA1(current$)'!E24)/0.182</f>
        <v>170.32967032967034</v>
      </c>
      <c r="F24" s="33">
        <f>SUM('MasterA1(current$)'!F24)/0.1842</f>
        <v>211.72638436482083</v>
      </c>
      <c r="G24" s="33">
        <f>SUM('MasterA1(current$)'!G24)/0.18702</f>
        <v>224.57491177414181</v>
      </c>
      <c r="H24" s="33">
        <f>SUM('MasterA1(current$)'!H24)/0.19227</f>
        <v>244.44791179071098</v>
      </c>
      <c r="I24" s="33">
        <f>SUM('MasterA1(current$)'!I24)/0.19786</f>
        <v>308.29879712928334</v>
      </c>
      <c r="J24" s="33">
        <f>SUM('MasterA1(current$)'!J24)/0.20627</f>
        <v>344.20904639550105</v>
      </c>
      <c r="K24" s="33">
        <f>SUM('MasterA1(current$)'!K24)/0.21642</f>
        <v>300.34192773311156</v>
      </c>
      <c r="L24" s="33">
        <f>SUM('MasterA1(current$)'!L24)/0.22784</f>
        <v>316.01123595505618</v>
      </c>
      <c r="M24" s="33">
        <f>SUM('MasterA1(current$)'!M24)/0.23941</f>
        <v>355.03947203542037</v>
      </c>
      <c r="N24" s="33">
        <f>SUM('MasterA1(current$)'!N24)/0.24978</f>
        <v>420.36992553447033</v>
      </c>
      <c r="O24" s="33">
        <f>SUM('MasterA1(current$)'!O24)/0.26337</f>
        <v>542.96237232790372</v>
      </c>
      <c r="P24" s="33">
        <f>SUM('MasterA1(current$)'!P24)/0.28703</f>
        <v>574.85280284290843</v>
      </c>
      <c r="Q24" s="33">
        <f>SUM('MasterA1(current$)'!Q24)/0.31361</f>
        <v>640.92343994132841</v>
      </c>
      <c r="R24" s="33">
        <f>SUM('MasterA1(current$)'!R24)/0.33083</f>
        <v>658.94870477284405</v>
      </c>
      <c r="S24" s="33">
        <f>SUM('MasterA1(current$)'!S24)/0.35135</f>
        <v>697.31037427067031</v>
      </c>
      <c r="T24" s="33">
        <f>SUM('MasterA1(current$)'!T24)/0.37602</f>
        <v>734.00351045157163</v>
      </c>
      <c r="U24" s="33">
        <f>SUM('MasterA1(current$)'!U24)/0.40706</f>
        <v>736.99208961823808</v>
      </c>
      <c r="V24" s="33">
        <f>SUM('MasterA1(current$)'!V24)/0.44377</f>
        <v>734.61477792550193</v>
      </c>
      <c r="W24" s="33">
        <f>SUM('MasterA1(current$)'!W24)/0.4852</f>
        <v>694.55894476504534</v>
      </c>
      <c r="X24" s="33">
        <f>SUM('MasterA1(current$)'!X24)/0.5153</f>
        <v>667.57228798758013</v>
      </c>
      <c r="Y24" s="33">
        <f>SUM('MasterA1(current$)'!Y24)/0.53565</f>
        <v>679.54821245216101</v>
      </c>
      <c r="Z24" s="33">
        <f>SUM('MasterA1(current$)'!Z24)/0.55466</f>
        <v>703.13345112321053</v>
      </c>
      <c r="AA24" s="33">
        <f>SUM('MasterA1(current$)'!AA24)/0.5724</f>
        <v>730.25856044723969</v>
      </c>
      <c r="AB24" s="33">
        <f>SUM('MasterA1(current$)'!AB24)/0.58395</f>
        <v>714.10223478037506</v>
      </c>
      <c r="AC24" s="33">
        <f>SUM('MasterA1(current$)'!AC24)/0.59885</f>
        <v>704.6839776237789</v>
      </c>
      <c r="AD24" s="33">
        <f>SUM('MasterA1(current$)'!AD24)/0.61982</f>
        <v>746.99106192120291</v>
      </c>
      <c r="AE24" s="33">
        <f>SUM('MasterA1(current$)'!AE24)/0.64392</f>
        <v>792.0238538948937</v>
      </c>
      <c r="AF24" s="33">
        <f>SUM('MasterA1(current$)'!AF24)/0.66773</f>
        <v>840.15994488790375</v>
      </c>
      <c r="AG24" s="33">
        <f>SUM('MasterA1(current$)'!AG24)/0.68996</f>
        <v>963.82398979650986</v>
      </c>
      <c r="AH24" s="33">
        <f>SUM('MasterA1(current$)'!AH24)/0.70569</f>
        <v>1088.2965608128213</v>
      </c>
      <c r="AI24" s="33">
        <f>SUM('MasterA1(current$)'!AI24)/0.72248</f>
        <v>1074.0781751743993</v>
      </c>
      <c r="AJ24" s="33">
        <f>SUM('MasterA1(current$)'!AJ24)/0.73785</f>
        <v>1179.1014433828013</v>
      </c>
      <c r="AK24" s="33">
        <f>SUM('MasterA1(current$)'!AK24)/0.75324</f>
        <v>1266.5285964632785</v>
      </c>
      <c r="AL24" s="33">
        <f>SUM('MasterA1(current$)'!AL24)/0.76699</f>
        <v>1276.418206234762</v>
      </c>
      <c r="AM24" s="33">
        <f>SUM('MasterA1(current$)'!AM24)/0.78012</f>
        <v>1278.0085115110496</v>
      </c>
      <c r="AN24" s="33">
        <f>SUM('MasterA1(current$)'!AN24)/0.78859</f>
        <v>1273.1584219936849</v>
      </c>
      <c r="AO24" s="33">
        <f>SUM('MasterA1(current$)'!AO24)/0.80065</f>
        <v>1397.6144382689065</v>
      </c>
      <c r="AP24" s="339">
        <f>SUM('MasterA1(current$)'!AP24)/0.81887</f>
        <v>1476.4248293379901</v>
      </c>
      <c r="AQ24" s="339">
        <f>SUM('MasterA1(current$)'!AQ24)/0.83754</f>
        <v>1578.4320748859757</v>
      </c>
      <c r="AR24" s="339">
        <f>SUM('MasterA1(current$)'!AR24)/0.85039</f>
        <v>1710.9796681522596</v>
      </c>
      <c r="AS24" s="339">
        <f>SUM('MasterA1(current$)'!AS24)/0.86735</f>
        <v>2001.4988182394652</v>
      </c>
      <c r="AT24" s="339">
        <f>SUM('MasterA1(current$)'!AT24)/0.8912</f>
        <v>1992.8186714542192</v>
      </c>
      <c r="AU24" s="339">
        <f>SUM('MasterA1(current$)'!AU24)/0.91988</f>
        <v>1877.4187937557072</v>
      </c>
      <c r="AV24" s="339">
        <f>SUM('MasterA1(current$)'!AV24)/0.94814</f>
        <v>2009.1969540363239</v>
      </c>
      <c r="AW24" s="339">
        <f>SUM('MasterA1(current$)'!AW24)/0.97337</f>
        <v>1892.3944645920874</v>
      </c>
      <c r="AX24" s="339">
        <f>SUM('MasterA1(current$)'!AX24*100)/99.246</f>
        <v>2058.5212502267095</v>
      </c>
      <c r="AY24" s="417">
        <f>SUM('MasterA1(current$)'!AY24)</f>
        <v>2539</v>
      </c>
      <c r="AZ24" s="417">
        <f>SUM('MasterA1(current$)'!AZ24*100)/101.221</f>
        <v>2991.4741012240543</v>
      </c>
      <c r="BA24" s="417">
        <f>SUM('MasterA1(current$)'!BA24*100)/103.311</f>
        <v>3156.4886604524199</v>
      </c>
      <c r="BB24" s="417">
        <f>SUM('MasterA1(current$)'!BB24*100)/105.214</f>
        <v>3171.6311517478662</v>
      </c>
      <c r="BC24" s="417">
        <f>SUM('MasterA1(current$)'!BC24*100)/106.913</f>
        <v>3243.7589441882651</v>
      </c>
      <c r="BD24" s="417">
        <f>SUM('MasterA1(current$)'!BD24*100)/108.828</f>
        <v>3604.7708310361304</v>
      </c>
      <c r="BE24" s="417">
        <f>SUM('MasterA1(current$)'!BE24*100)/109.998</f>
        <v>3982.799687267041</v>
      </c>
      <c r="BF24" s="539">
        <f>SUM('MasterA1(current$)'!BF24*100)/111.298</f>
        <v>4224.6940645833711</v>
      </c>
      <c r="BG24" s="539">
        <f>SUM('MasterA1(current$)'!BG24*100)/113.198</f>
        <v>4110.4966518843094</v>
      </c>
      <c r="BH24" s="539">
        <f>SUM('MasterA1(current$)'!BH24*100)/115.198</f>
        <v>4607.7188840084036</v>
      </c>
      <c r="BI24" s="385">
        <f>(BG24-BF24)/BF24</f>
        <v>-2.7030930749851488E-2</v>
      </c>
      <c r="BJ24" s="385">
        <f>(BH24-BG24)/BG24</f>
        <v>0.12096402800770087</v>
      </c>
      <c r="BK24" s="569">
        <f>BG24-BF24</f>
        <v>-114.19741269906172</v>
      </c>
      <c r="BL24" s="569">
        <f>BH24-BG24</f>
        <v>497.22223212409426</v>
      </c>
    </row>
    <row r="25" spans="1:64" ht="6" customHeight="1">
      <c r="A25" s="125"/>
      <c r="B25" s="35"/>
      <c r="C25" s="36"/>
      <c r="D25" s="36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161"/>
      <c r="AQ25" s="161"/>
      <c r="AR25" s="161"/>
      <c r="AS25" s="161"/>
      <c r="AT25" s="161"/>
      <c r="AU25" s="161"/>
      <c r="AV25" s="339"/>
      <c r="AW25" s="339"/>
      <c r="AX25" s="339"/>
      <c r="AY25" s="417"/>
      <c r="AZ25" s="420"/>
      <c r="BA25" s="420"/>
      <c r="BB25" s="420"/>
      <c r="BC25" s="420"/>
      <c r="BD25" s="420"/>
      <c r="BE25" s="420"/>
      <c r="BF25" s="634"/>
      <c r="BG25" s="634"/>
      <c r="BH25" s="634"/>
      <c r="BI25" s="329"/>
      <c r="BJ25" s="329"/>
      <c r="BK25" s="570"/>
      <c r="BL25" s="570"/>
    </row>
    <row r="26" spans="1:64" ht="11.1" customHeight="1">
      <c r="A26" s="126" t="s">
        <v>34</v>
      </c>
      <c r="B26" s="35"/>
      <c r="C26" s="36"/>
      <c r="D26" s="36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161"/>
      <c r="AQ26" s="161"/>
      <c r="AR26" s="161"/>
      <c r="AS26" s="161"/>
      <c r="AT26" s="161"/>
      <c r="AU26" s="161"/>
      <c r="AV26" s="339"/>
      <c r="AW26" s="339"/>
      <c r="AX26" s="339"/>
      <c r="AY26" s="417"/>
      <c r="AZ26" s="420"/>
      <c r="BA26" s="420"/>
      <c r="BB26" s="420"/>
      <c r="BC26" s="420"/>
      <c r="BD26" s="420"/>
      <c r="BE26" s="420"/>
      <c r="BF26" s="634"/>
      <c r="BG26" s="634"/>
      <c r="BH26" s="634"/>
      <c r="BI26" s="329"/>
      <c r="BJ26" s="329"/>
      <c r="BK26" s="570"/>
      <c r="BL26" s="570"/>
    </row>
    <row r="27" spans="1:64" ht="11.1" customHeight="1">
      <c r="A27" s="125" t="s">
        <v>81</v>
      </c>
      <c r="B27" s="51" t="s">
        <v>3</v>
      </c>
      <c r="C27" s="51" t="s">
        <v>3</v>
      </c>
      <c r="D27" s="51" t="s">
        <v>3</v>
      </c>
      <c r="E27" s="224" t="s">
        <v>3</v>
      </c>
      <c r="F27" s="224" t="s">
        <v>3</v>
      </c>
      <c r="G27" s="224" t="s">
        <v>3</v>
      </c>
      <c r="H27" s="224" t="s">
        <v>3</v>
      </c>
      <c r="I27" s="224" t="s">
        <v>3</v>
      </c>
      <c r="J27" s="224" t="s">
        <v>3</v>
      </c>
      <c r="K27" s="224" t="s">
        <v>3</v>
      </c>
      <c r="L27" s="224" t="s">
        <v>3</v>
      </c>
      <c r="M27" s="224" t="s">
        <v>3</v>
      </c>
      <c r="N27" s="342" t="s">
        <v>10</v>
      </c>
      <c r="O27" s="224">
        <f>SUM('MasterA1(current$)'!O27)/0.26337</f>
        <v>3.7969396666286972</v>
      </c>
      <c r="P27" s="33">
        <f>SUM('MasterA1(current$)'!P27)/0.28703</f>
        <v>3.4839563808661116</v>
      </c>
      <c r="Q27" s="33">
        <f>SUM('MasterA1(current$)'!Q27)/0.31361</f>
        <v>6.3773476611077449</v>
      </c>
      <c r="R27" s="342" t="s">
        <v>10</v>
      </c>
      <c r="S27" s="342" t="s">
        <v>10</v>
      </c>
      <c r="T27" s="342" t="s">
        <v>10</v>
      </c>
      <c r="U27" s="33">
        <f>SUM('MasterA1(current$)'!U27)/0.40706</f>
        <v>2.4566402987274603</v>
      </c>
      <c r="V27" s="33">
        <f>SUM('MasterA1(current$)'!V27)/0.44377</f>
        <v>4.5068391283773126</v>
      </c>
      <c r="W27" s="33">
        <f>SUM('MasterA1(current$)'!W27)/0.4852</f>
        <v>10.30502885408079</v>
      </c>
      <c r="X27" s="33">
        <f>SUM('MasterA1(current$)'!X27)/0.5153</f>
        <v>7.7624684649718612</v>
      </c>
      <c r="Y27" s="33">
        <f>SUM('MasterA1(current$)'!Y27)/0.53565</f>
        <v>9.3344534677494639</v>
      </c>
      <c r="Z27" s="33">
        <f>SUM('MasterA1(current$)'!Z27)/0.55466</f>
        <v>9.0145314246565462</v>
      </c>
      <c r="AA27" s="33">
        <f>SUM('MasterA1(current$)'!AA27)/0.5724</f>
        <v>12.22921034241789</v>
      </c>
      <c r="AB27" s="33">
        <f>SUM('MasterA1(current$)'!AB27)/0.58395</f>
        <v>10.274852298998203</v>
      </c>
      <c r="AC27" s="33">
        <f>SUM('MasterA1(current$)'!AC27)/0.59885</f>
        <v>10.019203473323872</v>
      </c>
      <c r="AD27" s="33">
        <f>SUM('MasterA1(current$)'!AD27)/0.61982</f>
        <v>11.293601368139136</v>
      </c>
      <c r="AE27" s="33">
        <f>SUM('MasterA1(current$)'!AE27)/0.64392</f>
        <v>10.870915641694619</v>
      </c>
      <c r="AF27" s="33">
        <f>SUM('MasterA1(current$)'!AF27)/0.66773</f>
        <v>7.4880565498030638</v>
      </c>
      <c r="AG27" s="33">
        <f>SUM('MasterA1(current$)'!AG27)/0.68996</f>
        <v>11.594875065221173</v>
      </c>
      <c r="AH27" s="33">
        <f>SUM('MasterA1(current$)'!AH27)/0.70569</f>
        <v>9.9193696949085286</v>
      </c>
      <c r="AI27" s="33">
        <f>SUM('MasterA1(current$)'!AI27)/0.72248</f>
        <v>11.07297087808659</v>
      </c>
      <c r="AJ27" s="33">
        <f>SUM('MasterA1(current$)'!AJ27)/0.73785</f>
        <v>12.197601138442772</v>
      </c>
      <c r="AK27" s="33">
        <f>SUM('MasterA1(current$)'!AK27)/0.75324</f>
        <v>13.275981095002921</v>
      </c>
      <c r="AL27" s="33">
        <f>SUM('MasterA1(current$)'!AL27)/0.76699</f>
        <v>15.645575561610974</v>
      </c>
      <c r="AM27" s="33">
        <f>SUM('MasterA1(current$)'!AM27)/0.78012</f>
        <v>16.664102958519202</v>
      </c>
      <c r="AN27" s="33">
        <f>SUM('MasterA1(current$)'!AN27)/0.78859</f>
        <v>20.289377242927248</v>
      </c>
      <c r="AO27" s="33">
        <f>SUM('MasterA1(current$)'!AO27)/0.80065</f>
        <v>18.734777992880787</v>
      </c>
      <c r="AP27" s="339">
        <f>SUM('MasterA1(current$)'!AP27)/0.81887</f>
        <v>17.096730860820401</v>
      </c>
      <c r="AQ27" s="339">
        <f>SUM('MasterA1(current$)'!AQ27)/0.83754</f>
        <v>11.93972825178499</v>
      </c>
      <c r="AR27" s="339">
        <f>SUM('MasterA1(current$)'!AR27)/0.85039</f>
        <v>11.759310434036149</v>
      </c>
      <c r="AS27" s="339">
        <f>SUM('MasterA1(current$)'!AS27)/0.86735</f>
        <v>8.070559750965586</v>
      </c>
      <c r="AT27" s="339">
        <f>SUM('MasterA1(current$)'!AT27)/0.8912</f>
        <v>11.220825852782765</v>
      </c>
      <c r="AU27" s="339">
        <f>SUM('MasterA1(current$)'!AU27)/0.91988</f>
        <v>10.87098317171805</v>
      </c>
      <c r="AV27" s="339">
        <f>SUM('MasterA1(current$)'!AV27)/0.94814</f>
        <v>9.492269074187357</v>
      </c>
      <c r="AW27" s="339">
        <f>SUM('MasterA1(current$)'!AW27)/0.97337</f>
        <v>7.1915099088732966</v>
      </c>
      <c r="AX27" s="339">
        <f>SUM('MasterA1(current$)'!AX27*100)/99.246</f>
        <v>7.0531809846240661</v>
      </c>
      <c r="AY27" s="417">
        <f>SUM('MasterA1(current$)'!AY27)</f>
        <v>6</v>
      </c>
      <c r="AZ27" s="420">
        <f>SUM('MasterA1(current$)'!AZ27*100)/101.221</f>
        <v>5.9276237144466064</v>
      </c>
      <c r="BA27" s="420">
        <f>SUM('MasterA1(current$)'!BA27*100)/103.311</f>
        <v>6.7756579647859372</v>
      </c>
      <c r="BB27" s="420">
        <f>SUM('MasterA1(current$)'!BB27*100)/105.214</f>
        <v>6.6531070009694524</v>
      </c>
      <c r="BC27" s="420">
        <f>SUM('MasterA1(current$)'!BC27*100)/106.913</f>
        <v>6.5473796451320236</v>
      </c>
      <c r="BD27" s="420">
        <f>SUM('MasterA1(current$)'!BD27*100)/108.828</f>
        <v>7.3510493622964672</v>
      </c>
      <c r="BE27" s="420">
        <f>SUM('MasterA1(current$)'!BE27*100)/109.998</f>
        <v>8.1819669448535421</v>
      </c>
      <c r="BF27" s="634">
        <f>SUM('MasterA1(current$)'!BF27*100)/111.298</f>
        <v>10.781864903232762</v>
      </c>
      <c r="BG27" s="634">
        <f>SUM('MasterA1(current$)'!BG27*100)/113.198</f>
        <v>10.600894008728069</v>
      </c>
      <c r="BH27" s="634">
        <f>SUM('MasterA1(current$)'!BH27*100)/115.198</f>
        <v>10.416847514713798</v>
      </c>
      <c r="BI27" s="385">
        <f>(BG27-BF27)/BF27</f>
        <v>-1.6784748847152753E-2</v>
      </c>
      <c r="BJ27" s="385">
        <f>(BH27-BG27)/BG27</f>
        <v>-1.7361412524522935E-2</v>
      </c>
      <c r="BK27" s="569">
        <f>BG27-BF27</f>
        <v>-0.18097089450469284</v>
      </c>
      <c r="BL27" s="569">
        <f>BH27-BG27</f>
        <v>-0.18404649401427164</v>
      </c>
    </row>
    <row r="28" spans="1:64" ht="11.1" customHeight="1">
      <c r="A28" s="129" t="s">
        <v>85</v>
      </c>
      <c r="B28" s="51" t="s">
        <v>3</v>
      </c>
      <c r="C28" s="51" t="s">
        <v>3</v>
      </c>
      <c r="D28" s="51" t="s">
        <v>3</v>
      </c>
      <c r="E28" s="224" t="s">
        <v>3</v>
      </c>
      <c r="F28" s="224" t="s">
        <v>3</v>
      </c>
      <c r="G28" s="224" t="s">
        <v>3</v>
      </c>
      <c r="H28" s="224" t="s">
        <v>3</v>
      </c>
      <c r="I28" s="224" t="s">
        <v>3</v>
      </c>
      <c r="J28" s="224" t="s">
        <v>3</v>
      </c>
      <c r="K28" s="224" t="s">
        <v>3</v>
      </c>
      <c r="L28" s="224" t="s">
        <v>3</v>
      </c>
      <c r="M28" s="224" t="s">
        <v>3</v>
      </c>
      <c r="N28" s="224" t="s">
        <v>3</v>
      </c>
      <c r="O28" s="224" t="s">
        <v>3</v>
      </c>
      <c r="P28" s="224" t="s">
        <v>3</v>
      </c>
      <c r="Q28" s="224" t="s">
        <v>3</v>
      </c>
      <c r="R28" s="224" t="s">
        <v>3</v>
      </c>
      <c r="S28" s="224" t="s">
        <v>3</v>
      </c>
      <c r="T28" s="224" t="s">
        <v>3</v>
      </c>
      <c r="U28" s="224" t="s">
        <v>3</v>
      </c>
      <c r="V28" s="224" t="s">
        <v>3</v>
      </c>
      <c r="W28" s="224" t="s">
        <v>3</v>
      </c>
      <c r="X28" s="224" t="s">
        <v>3</v>
      </c>
      <c r="Y28" s="224" t="s">
        <v>3</v>
      </c>
      <c r="Z28" s="224" t="s">
        <v>3</v>
      </c>
      <c r="AA28" s="224" t="s">
        <v>3</v>
      </c>
      <c r="AB28" s="224" t="s">
        <v>3</v>
      </c>
      <c r="AC28" s="224" t="s">
        <v>3</v>
      </c>
      <c r="AD28" s="224" t="s">
        <v>3</v>
      </c>
      <c r="AE28" s="224" t="s">
        <v>3</v>
      </c>
      <c r="AF28" s="224" t="s">
        <v>3</v>
      </c>
      <c r="AG28" s="224" t="s">
        <v>3</v>
      </c>
      <c r="AH28" s="224" t="s">
        <v>3</v>
      </c>
      <c r="AI28" s="224" t="s">
        <v>3</v>
      </c>
      <c r="AJ28" s="224" t="s">
        <v>3</v>
      </c>
      <c r="AK28" s="224" t="s">
        <v>3</v>
      </c>
      <c r="AL28" s="224" t="s">
        <v>3</v>
      </c>
      <c r="AM28" s="224" t="s">
        <v>3</v>
      </c>
      <c r="AN28" s="224" t="s">
        <v>3</v>
      </c>
      <c r="AO28" s="33">
        <f>SUM('MasterA1(current$)'!AO28)/0.80065</f>
        <v>2.4979703990507711</v>
      </c>
      <c r="AP28" s="339">
        <f>SUM('MasterA1(current$)'!AP28)/0.81887</f>
        <v>116.01353084128128</v>
      </c>
      <c r="AQ28" s="339">
        <f>SUM('MasterA1(current$)'!AQ28)/0.83754</f>
        <v>102.68166296535091</v>
      </c>
      <c r="AR28" s="339">
        <f>SUM('MasterA1(current$)'!AR28)/0.85039</f>
        <v>111.71344912334341</v>
      </c>
      <c r="AS28" s="339">
        <f>SUM('MasterA1(current$)'!AS28)/0.86735</f>
        <v>104.9172767625526</v>
      </c>
      <c r="AT28" s="339">
        <f>SUM('MasterA1(current$)'!AT28)/0.8912</f>
        <v>126.79533213644524</v>
      </c>
      <c r="AU28" s="339">
        <f>SUM('MasterA1(current$)'!AU28)/0.91988</f>
        <v>144.58407618385007</v>
      </c>
      <c r="AV28" s="339">
        <f>SUM('MasterA1(current$)'!AV28)/0.94814</f>
        <v>126.56358765583143</v>
      </c>
      <c r="AW28" s="339">
        <f>SUM('MasterA1(current$)'!AW28)/0.97337</f>
        <v>151.02170808633923</v>
      </c>
      <c r="AX28" s="339">
        <f>SUM('MasterA1(current$)'!AX28*100)/99.246</f>
        <v>150.13199524414082</v>
      </c>
      <c r="AY28" s="417">
        <f>SUM('MasterA1(current$)'!AY28)</f>
        <v>168</v>
      </c>
      <c r="AZ28" s="420">
        <f>SUM('MasterA1(current$)'!AZ28*100)/101.221</f>
        <v>176.8407741476571</v>
      </c>
      <c r="BA28" s="420">
        <f>SUM('MasterA1(current$)'!BA28*100)/103.311</f>
        <v>168.42349798182187</v>
      </c>
      <c r="BB28" s="420">
        <f>SUM('MasterA1(current$)'!BB28*100)/105.214</f>
        <v>140.66569087763986</v>
      </c>
      <c r="BC28" s="420">
        <f>SUM('MasterA1(current$)'!BC28*100)/106.913</f>
        <v>116.91749366307185</v>
      </c>
      <c r="BD28" s="420">
        <f>SUM('MasterA1(current$)'!BD28*100)/108.828</f>
        <v>112.10350277502113</v>
      </c>
      <c r="BE28" s="420">
        <f>SUM('MasterA1(current$)'!BE28*100)/109.998</f>
        <v>101.82003309151075</v>
      </c>
      <c r="BF28" s="634">
        <f>SUM('MasterA1(current$)'!BF28*100)/111.298</f>
        <v>85.356430483926033</v>
      </c>
      <c r="BG28" s="634">
        <f>SUM('MasterA1(current$)'!BG28*100)/113.198</f>
        <v>89.224191240127922</v>
      </c>
      <c r="BH28" s="634">
        <f>SUM('MasterA1(current$)'!BH28*100)/115.198</f>
        <v>87.675133248841135</v>
      </c>
      <c r="BI28" s="385">
        <f>(BG28-BF28)/BF28</f>
        <v>4.5313056488816617E-2</v>
      </c>
      <c r="BJ28" s="385">
        <f>(BH28-BG28)/BG28</f>
        <v>-1.7361412524522942E-2</v>
      </c>
      <c r="BK28" s="569">
        <f>BG28-BF28</f>
        <v>3.8677607562018892</v>
      </c>
      <c r="BL28" s="569">
        <f>BH28-BG28</f>
        <v>-1.5490579912867872</v>
      </c>
    </row>
    <row r="29" spans="1:64" ht="11.1" customHeight="1">
      <c r="A29" s="129" t="s">
        <v>87</v>
      </c>
      <c r="B29" s="51" t="s">
        <v>3</v>
      </c>
      <c r="C29" s="51" t="s">
        <v>3</v>
      </c>
      <c r="D29" s="51" t="s">
        <v>3</v>
      </c>
      <c r="E29" s="224" t="s">
        <v>3</v>
      </c>
      <c r="F29" s="224" t="s">
        <v>3</v>
      </c>
      <c r="G29" s="224" t="s">
        <v>3</v>
      </c>
      <c r="H29" s="224" t="s">
        <v>3</v>
      </c>
      <c r="I29" s="224" t="s">
        <v>3</v>
      </c>
      <c r="J29" s="224" t="s">
        <v>3</v>
      </c>
      <c r="K29" s="224" t="s">
        <v>3</v>
      </c>
      <c r="L29" s="224" t="s">
        <v>3</v>
      </c>
      <c r="M29" s="224" t="s">
        <v>3</v>
      </c>
      <c r="N29" s="224" t="s">
        <v>3</v>
      </c>
      <c r="O29" s="224" t="s">
        <v>3</v>
      </c>
      <c r="P29" s="224" t="s">
        <v>3</v>
      </c>
      <c r="Q29" s="224" t="s">
        <v>3</v>
      </c>
      <c r="R29" s="224" t="s">
        <v>3</v>
      </c>
      <c r="S29" s="224" t="s">
        <v>3</v>
      </c>
      <c r="T29" s="224" t="s">
        <v>3</v>
      </c>
      <c r="U29" s="224" t="s">
        <v>3</v>
      </c>
      <c r="V29" s="224" t="s">
        <v>3</v>
      </c>
      <c r="W29" s="224" t="s">
        <v>3</v>
      </c>
      <c r="X29" s="224" t="s">
        <v>3</v>
      </c>
      <c r="Y29" s="224" t="s">
        <v>3</v>
      </c>
      <c r="Z29" s="224" t="s">
        <v>3</v>
      </c>
      <c r="AA29" s="224" t="s">
        <v>3</v>
      </c>
      <c r="AB29" s="224" t="s">
        <v>3</v>
      </c>
      <c r="AC29" s="224" t="s">
        <v>3</v>
      </c>
      <c r="AD29" s="224" t="s">
        <v>3</v>
      </c>
      <c r="AE29" s="224" t="s">
        <v>3</v>
      </c>
      <c r="AF29" s="224" t="s">
        <v>3</v>
      </c>
      <c r="AG29" s="224" t="s">
        <v>3</v>
      </c>
      <c r="AH29" s="342" t="s">
        <v>10</v>
      </c>
      <c r="AI29" s="342" t="s">
        <v>10</v>
      </c>
      <c r="AJ29" s="33">
        <f>SUM('MasterA1(current$)'!AJ29)/0.73785</f>
        <v>6.7764450769126512</v>
      </c>
      <c r="AK29" s="33">
        <f>SUM('MasterA1(current$)'!AK29)/0.75324</f>
        <v>14.603579204503212</v>
      </c>
      <c r="AL29" s="33">
        <f>SUM('MasterA1(current$)'!AL29)/0.76699</f>
        <v>18.253171488546137</v>
      </c>
      <c r="AM29" s="33">
        <f>SUM('MasterA1(current$)'!AM29)/0.78012</f>
        <v>21.791519253448186</v>
      </c>
      <c r="AN29" s="33">
        <f>SUM('MasterA1(current$)'!AN29)/0.78859</f>
        <v>20.289377242927248</v>
      </c>
      <c r="AO29" s="33">
        <f>SUM('MasterA1(current$)'!AO29)/0.80065</f>
        <v>19.983763192406169</v>
      </c>
      <c r="AP29" s="339">
        <f>SUM('MasterA1(current$)'!AP29)/0.81887</f>
        <v>21.981511106769084</v>
      </c>
      <c r="AQ29" s="339">
        <f>SUM('MasterA1(current$)'!AQ29)/0.83754</f>
        <v>27.461374979105479</v>
      </c>
      <c r="AR29" s="339">
        <f>SUM('MasterA1(current$)'!AR29)/0.85039</f>
        <v>31.7501381718976</v>
      </c>
      <c r="AS29" s="339">
        <f>SUM('MasterA1(current$)'!AS29)/0.86735</f>
        <v>32.282239003862344</v>
      </c>
      <c r="AT29" s="339">
        <f>SUM('MasterA1(current$)'!AT29)/0.8912</f>
        <v>43.761220825852782</v>
      </c>
      <c r="AU29" s="339">
        <f>SUM('MasterA1(current$)'!AU29)/0.91988</f>
        <v>52.180719224246637</v>
      </c>
      <c r="AV29" s="192">
        <f>SUM('MasterA1(current$)'!AV29)/0.94814</f>
        <v>65.391186955512893</v>
      </c>
      <c r="AW29" s="192">
        <f>SUM('MasterA1(current$)'!AW29)/0.97337</f>
        <v>64.723589179859673</v>
      </c>
      <c r="AX29" s="339">
        <f>SUM('MasterA1(current$)'!AX29*100)/99.246</f>
        <v>69.524212562722937</v>
      </c>
      <c r="AY29" s="421" t="s">
        <v>3</v>
      </c>
      <c r="AZ29" s="421" t="s">
        <v>3</v>
      </c>
      <c r="BA29" s="421" t="s">
        <v>3</v>
      </c>
      <c r="BB29" s="421" t="s">
        <v>3</v>
      </c>
      <c r="BC29" s="421" t="s">
        <v>3</v>
      </c>
      <c r="BD29" s="421" t="s">
        <v>3</v>
      </c>
      <c r="BE29" s="421" t="s">
        <v>3</v>
      </c>
      <c r="BF29" s="541" t="s">
        <v>3</v>
      </c>
      <c r="BG29" s="541" t="s">
        <v>3</v>
      </c>
      <c r="BH29" s="541" t="s">
        <v>3</v>
      </c>
      <c r="BI29" s="419" t="s">
        <v>9</v>
      </c>
      <c r="BJ29" s="419" t="s">
        <v>9</v>
      </c>
      <c r="BK29" s="573"/>
      <c r="BL29" s="573"/>
    </row>
    <row r="30" spans="1:64" ht="11.1" customHeight="1">
      <c r="A30" s="128" t="s">
        <v>32</v>
      </c>
      <c r="B30" s="449" t="s">
        <v>3</v>
      </c>
      <c r="C30" s="449" t="s">
        <v>3</v>
      </c>
      <c r="D30" s="449" t="s">
        <v>3</v>
      </c>
      <c r="E30" s="483" t="s">
        <v>3</v>
      </c>
      <c r="F30" s="483" t="s">
        <v>3</v>
      </c>
      <c r="G30" s="483" t="s">
        <v>3</v>
      </c>
      <c r="H30" s="483" t="s">
        <v>3</v>
      </c>
      <c r="I30" s="483" t="s">
        <v>3</v>
      </c>
      <c r="J30" s="483" t="s">
        <v>3</v>
      </c>
      <c r="K30" s="483" t="s">
        <v>3</v>
      </c>
      <c r="L30" s="483" t="s">
        <v>3</v>
      </c>
      <c r="N30" s="483" t="s">
        <v>3</v>
      </c>
      <c r="O30" s="464">
        <f>SUM('MasterA1(current$)'!O30)/0.26337</f>
        <v>3.7969396666286972</v>
      </c>
      <c r="P30" s="464">
        <f>SUM('MasterA1(current$)'!P30)/0.28703</f>
        <v>3.4839563808661116</v>
      </c>
      <c r="Q30" s="464">
        <f>SUM('MasterA1(current$)'!Q30)/0.31361</f>
        <v>6.3773476611077449</v>
      </c>
      <c r="R30" s="483" t="s">
        <v>3</v>
      </c>
      <c r="S30" s="483" t="s">
        <v>3</v>
      </c>
      <c r="T30" s="483" t="s">
        <v>3</v>
      </c>
      <c r="U30" s="464">
        <f>SUM('MasterA1(current$)'!U30)/0.40706</f>
        <v>2.4566402987274603</v>
      </c>
      <c r="V30" s="487">
        <f>SUM('MasterA1(current$)'!V30)/0.44377</f>
        <v>4.5068391283773126</v>
      </c>
      <c r="W30" s="487">
        <f>SUM('MasterA1(current$)'!W30)/0.4852</f>
        <v>10.30502885408079</v>
      </c>
      <c r="X30" s="487">
        <f>SUM('MasterA1(current$)'!X30)/0.5153</f>
        <v>7.7624684649718612</v>
      </c>
      <c r="Y30" s="487">
        <f>SUM('MasterA1(current$)'!Y30)/0.53565</f>
        <v>9.3344534677494639</v>
      </c>
      <c r="Z30" s="487">
        <f>SUM('MasterA1(current$)'!Z30)/0.55466</f>
        <v>9.0145314246565462</v>
      </c>
      <c r="AA30" s="487">
        <f>SUM('MasterA1(current$)'!AA30)/0.5724</f>
        <v>12.22921034241789</v>
      </c>
      <c r="AB30" s="487">
        <f>SUM('MasterA1(current$)'!AB30)/0.58395</f>
        <v>10.274852298998203</v>
      </c>
      <c r="AC30" s="487">
        <f>SUM('MasterA1(current$)'!AC30)/0.59885</f>
        <v>10.019203473323872</v>
      </c>
      <c r="AD30" s="487">
        <f>SUM('MasterA1(current$)'!AD30)/0.61982</f>
        <v>11.293601368139136</v>
      </c>
      <c r="AE30" s="487">
        <f>SUM('MasterA1(current$)'!AE30)/0.64392</f>
        <v>10.870915641694619</v>
      </c>
      <c r="AF30" s="487">
        <f>SUM('MasterA1(current$)'!AF30)/0.66773</f>
        <v>7.4880565498030638</v>
      </c>
      <c r="AG30" s="487">
        <f>SUM('MasterA1(current$)'!AG30)/0.68996</f>
        <v>11.594875065221173</v>
      </c>
      <c r="AH30" s="487">
        <f>SUM('MasterA1(current$)'!AH30)/0.70569</f>
        <v>9.9193696949085286</v>
      </c>
      <c r="AI30" s="487">
        <f>SUM('MasterA1(current$)'!AI30)/0.72248</f>
        <v>11.07297087808659</v>
      </c>
      <c r="AJ30" s="487">
        <f>SUM('MasterA1(current$)'!AJ30)/0.73785</f>
        <v>18.974046215355425</v>
      </c>
      <c r="AK30" s="487">
        <f>SUM('MasterA1(current$)'!AK30)/0.75324</f>
        <v>27.879560299506132</v>
      </c>
      <c r="AL30" s="487">
        <f>SUM('MasterA1(current$)'!AL30)/0.76699</f>
        <v>33.898747050157112</v>
      </c>
      <c r="AM30" s="487">
        <f>SUM('MasterA1(current$)'!AM30)/0.78012</f>
        <v>38.455622211967388</v>
      </c>
      <c r="AN30" s="487">
        <f>SUM('MasterA1(current$)'!AN30)/0.78859</f>
        <v>40.578754485854496</v>
      </c>
      <c r="AO30" s="487">
        <f>SUM('MasterA1(current$)'!AO30)/0.80065</f>
        <v>41.216511584337724</v>
      </c>
      <c r="AP30" s="463">
        <f>SUM('MasterA1(current$)'!AP30)/0.81887</f>
        <v>155.09177280887076</v>
      </c>
      <c r="AQ30" s="463">
        <f>SUM('MasterA1(current$)'!AQ30)/0.83754</f>
        <v>142.08276619624138</v>
      </c>
      <c r="AR30" s="463">
        <f>SUM('MasterA1(current$)'!AR30)/0.85039</f>
        <v>155.22289772927715</v>
      </c>
      <c r="AS30" s="463">
        <f>SUM('MasterA1(current$)'!AS30)/0.86735</f>
        <v>145.27007551738055</v>
      </c>
      <c r="AT30" s="463">
        <f>SUM('MasterA1(current$)'!AT30)/0.8912</f>
        <v>181.77737881508079</v>
      </c>
      <c r="AU30" s="463">
        <f>SUM('MasterA1(current$)'!AU30)/0.91988</f>
        <v>207.63577857981474</v>
      </c>
      <c r="AV30" s="138">
        <f>SUM(AV27:AV29)</f>
        <v>201.44704368553167</v>
      </c>
      <c r="AW30" s="138">
        <f>SUM(AW27:AW29)</f>
        <v>222.9368071750722</v>
      </c>
      <c r="AX30" s="669">
        <f>SUM(AX27:AX29)</f>
        <v>226.70938879148784</v>
      </c>
      <c r="AY30" s="502">
        <f>SUM('MasterA1(current$)'!AY30)</f>
        <v>174</v>
      </c>
      <c r="AZ30" s="418">
        <f>SUM('MasterA1(current$)'!AZ30*100)/101.221</f>
        <v>182.76839786210371</v>
      </c>
      <c r="BA30" s="418">
        <f>SUM('MasterA1(current$)'!BA30*100)/103.311</f>
        <v>175.19915594660782</v>
      </c>
      <c r="BB30" s="418">
        <f>SUM('MasterA1(current$)'!BB30*100)/105.214</f>
        <v>147.3187978786093</v>
      </c>
      <c r="BC30" s="418">
        <f>SUM('MasterA1(current$)'!BC30*100)/106.913</f>
        <v>123.46487330820388</v>
      </c>
      <c r="BD30" s="418">
        <f>SUM('MasterA1(current$)'!BD30*100)/108.828</f>
        <v>119.45455213731761</v>
      </c>
      <c r="BE30" s="418">
        <f>SUM('MasterA1(current$)'!BE30*100)/109.998</f>
        <v>110.00200003636429</v>
      </c>
      <c r="BF30" s="632">
        <f>SUM('MasterA1(current$)'!BF30*100)/111.298</f>
        <v>96.138295387158792</v>
      </c>
      <c r="BG30" s="632">
        <f>SUM('MasterA1(current$)'!BG30*100)/113.198</f>
        <v>99.825085248855999</v>
      </c>
      <c r="BH30" s="632">
        <f>SUM('MasterA1(current$)'!BH30*100)/115.198</f>
        <v>98.091980763554929</v>
      </c>
      <c r="BI30" s="415">
        <f>(BG30-BF30)/BF30</f>
        <v>3.8348816638053812E-2</v>
      </c>
      <c r="BJ30" s="415">
        <f>(BH30-BG30)/BG30</f>
        <v>-1.736141252452305E-2</v>
      </c>
      <c r="BK30" s="572">
        <f>BG30-BF30</f>
        <v>3.686789861697207</v>
      </c>
      <c r="BL30" s="572">
        <f>BH30-BG30</f>
        <v>-1.7331044853010695</v>
      </c>
    </row>
    <row r="31" spans="1:64" ht="11.25" customHeight="1">
      <c r="A31" s="125"/>
      <c r="B31" s="35"/>
      <c r="C31" s="36"/>
      <c r="D31" s="36"/>
      <c r="E31" s="53"/>
      <c r="F31" s="53"/>
      <c r="G31" s="53"/>
      <c r="H31" s="53"/>
      <c r="I31" s="483" t="s">
        <v>3</v>
      </c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289"/>
      <c r="BG31" s="289"/>
      <c r="BH31" s="289"/>
      <c r="BI31" s="329"/>
      <c r="BJ31" s="329"/>
      <c r="BK31" s="570"/>
      <c r="BL31" s="570"/>
    </row>
    <row r="32" spans="1:64" ht="11.1" customHeight="1">
      <c r="A32" s="126" t="s">
        <v>35</v>
      </c>
      <c r="B32" s="35"/>
      <c r="C32" s="36"/>
      <c r="D32" s="36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161"/>
      <c r="AQ32" s="161"/>
      <c r="AR32" s="161"/>
      <c r="AS32" s="161"/>
      <c r="AT32" s="161"/>
      <c r="AU32" s="161"/>
      <c r="AV32" s="98"/>
      <c r="AW32" s="98"/>
      <c r="AX32" s="98"/>
      <c r="AY32" s="416"/>
      <c r="AZ32" s="416"/>
      <c r="BA32" s="416"/>
      <c r="BB32" s="416"/>
      <c r="BC32" s="416"/>
      <c r="BD32" s="416"/>
      <c r="BE32" s="416"/>
      <c r="BF32" s="631"/>
      <c r="BG32" s="631"/>
      <c r="BH32" s="631"/>
      <c r="BI32" s="329"/>
      <c r="BJ32" s="329"/>
      <c r="BK32" s="570"/>
      <c r="BL32" s="570"/>
    </row>
    <row r="33" spans="1:64" ht="11.1" customHeight="1">
      <c r="A33" s="125" t="s">
        <v>88</v>
      </c>
      <c r="B33" s="51" t="s">
        <v>3</v>
      </c>
      <c r="C33" s="51" t="s">
        <v>3</v>
      </c>
      <c r="D33" s="51" t="s">
        <v>3</v>
      </c>
      <c r="E33" s="224" t="s">
        <v>3</v>
      </c>
      <c r="F33" s="224" t="s">
        <v>3</v>
      </c>
      <c r="G33" s="224" t="s">
        <v>3</v>
      </c>
      <c r="H33" s="224" t="s">
        <v>3</v>
      </c>
      <c r="I33" s="224" t="s">
        <v>3</v>
      </c>
      <c r="J33" s="33">
        <f>SUM('MasterA1(current$)'!J33)/0.20627</f>
        <v>4.8480147379648031</v>
      </c>
      <c r="K33" s="33">
        <f>SUM('MasterA1(current$)'!K33)/0.21642</f>
        <v>9.2412900840957395</v>
      </c>
      <c r="L33" s="33">
        <f>SUM('MasterA1(current$)'!L33)/0.22784</f>
        <v>8.7780898876404496</v>
      </c>
      <c r="M33" s="33">
        <f>SUM('MasterA1(current$)'!M33)/0.23941</f>
        <v>16.707739860490371</v>
      </c>
      <c r="N33" s="33">
        <f>SUM('MasterA1(current$)'!N33)/0.24978</f>
        <v>28.024661702298022</v>
      </c>
      <c r="O33" s="33">
        <f>SUM('MasterA1(current$)'!O33)/0.26337</f>
        <v>37.969396666286976</v>
      </c>
      <c r="P33" s="33">
        <f>SUM('MasterA1(current$)'!P33)/0.28703</f>
        <v>24.387694666062782</v>
      </c>
      <c r="Q33" s="33">
        <f>SUM('MasterA1(current$)'!Q33)/0.31361</f>
        <v>38.264085966646469</v>
      </c>
      <c r="R33" s="33">
        <f>SUM('MasterA1(current$)'!R33)/0.33083</f>
        <v>27.204304325484387</v>
      </c>
      <c r="S33" s="33">
        <f>SUM('MasterA1(current$)'!S33)/0.35135</f>
        <v>25.615483136473603</v>
      </c>
      <c r="T33" s="33">
        <f>SUM('MasterA1(current$)'!T33)/0.37602</f>
        <v>23.934897079942555</v>
      </c>
      <c r="U33" s="33">
        <f>SUM('MasterA1(current$)'!U33)/0.40706</f>
        <v>31.936323883456986</v>
      </c>
      <c r="V33" s="33">
        <f>SUM('MasterA1(current$)'!V33)/0.44377</f>
        <v>29.294454334452531</v>
      </c>
      <c r="W33" s="33">
        <f>SUM('MasterA1(current$)'!W33)/0.4852</f>
        <v>26.793075020610058</v>
      </c>
      <c r="X33" s="33">
        <f>SUM('MasterA1(current$)'!X33)/0.5153</f>
        <v>27.168639627401515</v>
      </c>
      <c r="Y33" s="33">
        <f>SUM('MasterA1(current$)'!Y33)/0.53565</f>
        <v>29.870251096798285</v>
      </c>
      <c r="Z33" s="33">
        <f>SUM('MasterA1(current$)'!Z33)/0.55466</f>
        <v>27.043594273969639</v>
      </c>
      <c r="AA33" s="33">
        <f>SUM('MasterA1(current$)'!AA33)/0.5724</f>
        <v>29.699510831586302</v>
      </c>
      <c r="AB33" s="33">
        <f>SUM('MasterA1(current$)'!AB33)/0.58395</f>
        <v>29.11208151382824</v>
      </c>
      <c r="AC33" s="33">
        <f>SUM('MasterA1(current$)'!AC33)/0.59885</f>
        <v>35.067212156633545</v>
      </c>
      <c r="AD33" s="33">
        <f>SUM('MasterA1(current$)'!AD33)/0.61982</f>
        <v>40.334290600496914</v>
      </c>
      <c r="AE33" s="33">
        <f>SUM('MasterA1(current$)'!AE33)/0.64392</f>
        <v>38.824698720337928</v>
      </c>
      <c r="AF33" s="33">
        <f>SUM('MasterA1(current$)'!AF33)/0.66773</f>
        <v>40.435505368936546</v>
      </c>
      <c r="AG33" s="33">
        <f>SUM('MasterA1(current$)'!AG33)/0.68996</f>
        <v>44.930140877732043</v>
      </c>
      <c r="AH33" s="33">
        <f>SUM('MasterA1(current$)'!AH33)/0.70569</f>
        <v>53.848006915217724</v>
      </c>
      <c r="AI33" s="33">
        <f>SUM('MasterA1(current$)'!AI33)/0.72248</f>
        <v>53.980733030672127</v>
      </c>
      <c r="AJ33" s="33">
        <f>SUM('MasterA1(current$)'!AJ33)/0.73785</f>
        <v>62.343294707596392</v>
      </c>
      <c r="AK33" s="33">
        <f>SUM('MasterA1(current$)'!AK33)/0.75324</f>
        <v>57.086718708512556</v>
      </c>
      <c r="AL33" s="33">
        <f>SUM('MasterA1(current$)'!AL33)/0.76699</f>
        <v>71.70888799071696</v>
      </c>
      <c r="AM33" s="33">
        <f>SUM('MasterA1(current$)'!AM33)/0.78012</f>
        <v>71.783828129005798</v>
      </c>
      <c r="AN33" s="33">
        <f>SUM('MasterA1(current$)'!AN33)/0.78859</f>
        <v>76.085164660977185</v>
      </c>
      <c r="AO33" s="33">
        <f>SUM('MasterA1(current$)'!AO33)/0.80065</f>
        <v>78.686067570099297</v>
      </c>
      <c r="AP33" s="339">
        <f>SUM('MasterA1(current$)'!AP33)/0.81887</f>
        <v>90.368434550050679</v>
      </c>
      <c r="AQ33" s="339">
        <f>SUM('MasterA1(current$)'!AQ33)/0.83754</f>
        <v>89.54796188838742</v>
      </c>
      <c r="AR33" s="339">
        <f>SUM('MasterA1(current$)'!AR33)/0.85039</f>
        <v>90.54669034207835</v>
      </c>
      <c r="AS33" s="339">
        <f>SUM('MasterA1(current$)'!AS33)/0.86735</f>
        <v>93.387905689744628</v>
      </c>
      <c r="AT33" s="339">
        <f>SUM('MasterA1(current$)'!AT33)/0.8912</f>
        <v>100.98743267504489</v>
      </c>
      <c r="AU33" s="339">
        <f>SUM('MasterA1(current$)'!AU33)/0.91988</f>
        <v>136.97438796364742</v>
      </c>
      <c r="AV33" s="341">
        <f>SUM('MasterA1(current$)'!AV33)/0.94814</f>
        <v>165.58736051637945</v>
      </c>
      <c r="AW33" s="341">
        <f>SUM('MasterA1(current$)'!AW33)/0.97337</f>
        <v>165.4047279040858</v>
      </c>
      <c r="AX33" s="341">
        <f>SUM('MasterA1(current$)'!AX33*100)/99.246</f>
        <v>212.60302682223968</v>
      </c>
      <c r="AY33" s="417">
        <f>SUM('MasterA1(current$)'!AY33)</f>
        <v>204</v>
      </c>
      <c r="AZ33" s="420">
        <f>SUM('MasterA1(current$)'!AZ33*100)/101.221</f>
        <v>246.98432143527529</v>
      </c>
      <c r="BA33" s="420">
        <f>SUM('MasterA1(current$)'!BA33*100)/103.311</f>
        <v>253.60319811055936</v>
      </c>
      <c r="BB33" s="420">
        <f>SUM('MasterA1(current$)'!BB33*100)/105.214</f>
        <v>277.52960632615429</v>
      </c>
      <c r="BC33" s="420">
        <f>SUM('MasterA1(current$)'!BC33*100)/106.913</f>
        <v>281.53732474067704</v>
      </c>
      <c r="BD33" s="420">
        <f>SUM('MasterA1(current$)'!BD33*100)/108.828</f>
        <v>296.79861800271988</v>
      </c>
      <c r="BE33" s="420">
        <f>SUM('MasterA1(current$)'!BE33*100)/109.998</f>
        <v>290.00527282314221</v>
      </c>
      <c r="BF33" s="634">
        <f>SUM('MasterA1(current$)'!BF33*100)/111.298</f>
        <v>309.97861596794189</v>
      </c>
      <c r="BG33" s="634">
        <f>SUM('MasterA1(current$)'!BG33*100)/113.198</f>
        <v>364.84743546705772</v>
      </c>
      <c r="BH33" s="634">
        <f>SUM('MasterA1(current$)'!BH33*100)/115.198</f>
        <v>375.0065105296967</v>
      </c>
      <c r="BI33" s="385">
        <f>(BG33-BF33)/BF33</f>
        <v>0.17700840210471289</v>
      </c>
      <c r="BJ33" s="385">
        <f>(BH33-BG33)/BG33</f>
        <v>2.7844721039724137E-2</v>
      </c>
      <c r="BK33" s="569">
        <f t="shared" ref="BK33:BL36" si="2">BG33-BF33</f>
        <v>54.86881949911583</v>
      </c>
      <c r="BL33" s="569">
        <f t="shared" si="2"/>
        <v>10.159075062638976</v>
      </c>
    </row>
    <row r="34" spans="1:64" ht="11.1" customHeight="1">
      <c r="A34" s="129" t="s">
        <v>117</v>
      </c>
      <c r="B34"/>
      <c r="C34"/>
      <c r="D34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161"/>
      <c r="AN34" s="161"/>
      <c r="AO34" s="161"/>
      <c r="AP34" s="180"/>
      <c r="AQ34" s="180"/>
      <c r="AR34" s="180"/>
      <c r="AS34" s="180"/>
      <c r="AT34" s="180"/>
      <c r="AU34" s="180"/>
      <c r="AV34" s="341"/>
      <c r="AW34" s="341"/>
      <c r="AX34" s="341"/>
      <c r="AY34" s="417">
        <f>SUM('MasterA1(current$)'!AY34)</f>
        <v>0</v>
      </c>
      <c r="AZ34" s="420"/>
      <c r="BA34" s="420"/>
      <c r="BB34" s="420"/>
      <c r="BC34" s="420"/>
      <c r="BD34" s="420"/>
      <c r="BE34" s="420"/>
      <c r="BF34" s="634"/>
      <c r="BG34" s="634"/>
      <c r="BH34" s="634"/>
      <c r="BI34" s="329"/>
      <c r="BJ34" s="329"/>
      <c r="BK34" s="569">
        <f t="shared" si="2"/>
        <v>0</v>
      </c>
      <c r="BL34" s="569">
        <f t="shared" si="2"/>
        <v>0</v>
      </c>
    </row>
    <row r="35" spans="1:64" ht="11.1" customHeight="1">
      <c r="A35" s="129" t="s">
        <v>89</v>
      </c>
      <c r="B35" s="54">
        <f>SUM('MasterA1(current$)'!B35)/0.1756</f>
        <v>153.75854214123007</v>
      </c>
      <c r="C35" s="55">
        <f>SUM('MasterA1(current$)'!C35)/0.178</f>
        <v>162.92134831460675</v>
      </c>
      <c r="D35" s="55">
        <f>SUM('MasterA1(current$)'!D35)/0.1798</f>
        <v>166.85205784204672</v>
      </c>
      <c r="E35" s="33">
        <f>SUM('MasterA1(current$)'!E35)/0.182</f>
        <v>175.82417582417582</v>
      </c>
      <c r="F35" s="33">
        <f>SUM('MasterA1(current$)'!F35)/0.1842</f>
        <v>179.15309446254071</v>
      </c>
      <c r="G35" s="33">
        <f>SUM('MasterA1(current$)'!G35)/0.18702</f>
        <v>176.45171639396855</v>
      </c>
      <c r="H35" s="33">
        <f>SUM('MasterA1(current$)'!H35)/0.19227</f>
        <v>182.03567899308266</v>
      </c>
      <c r="I35" s="33">
        <f>SUM('MasterA1(current$)'!I35)/0.19786</f>
        <v>187.00090973415544</v>
      </c>
      <c r="J35" s="33">
        <f>SUM('MasterA1(current$)'!J35)/0.20627</f>
        <v>174.52853056673291</v>
      </c>
      <c r="K35" s="33">
        <f>SUM('MasterA1(current$)'!K35)/0.21642</f>
        <v>189.44644672396265</v>
      </c>
      <c r="L35" s="33">
        <f>SUM('MasterA1(current$)'!L35)/0.22784</f>
        <v>215.06320224719101</v>
      </c>
      <c r="M35" s="33">
        <f>SUM('MasterA1(current$)'!M35)/0.23941</f>
        <v>242.26222797711037</v>
      </c>
      <c r="N35" s="33">
        <f>SUM('MasterA1(current$)'!N35)/0.24978</f>
        <v>280.24661702298022</v>
      </c>
      <c r="O35" s="33">
        <f>SUM('MasterA1(current$)'!O35)/0.26337</f>
        <v>265.78577666400884</v>
      </c>
      <c r="P35" s="33">
        <f>SUM('MasterA1(current$)'!P35)/0.28703</f>
        <v>275.23255408842283</v>
      </c>
      <c r="Q35" s="33">
        <f>SUM('MasterA1(current$)'!Q35)/0.31361</f>
        <v>302.9240139026179</v>
      </c>
      <c r="R35" s="33">
        <f>SUM('MasterA1(current$)'!R35)/0.33083</f>
        <v>314.36084998337515</v>
      </c>
      <c r="S35" s="33">
        <f>SUM('MasterA1(current$)'!S35)/0.35135</f>
        <v>335.84744556709836</v>
      </c>
      <c r="T35" s="33">
        <f>SUM('MasterA1(current$)'!T35)/0.37602</f>
        <v>343.0668581458433</v>
      </c>
      <c r="U35" s="33">
        <f>SUM('MasterA1(current$)'!U35)/0.40706</f>
        <v>324.27651943202477</v>
      </c>
      <c r="V35" s="33">
        <f>SUM('MasterA1(current$)'!V35)/0.44377</f>
        <v>331.2526759357325</v>
      </c>
      <c r="W35" s="33">
        <f>SUM('MasterA1(current$)'!W35)/0.4852</f>
        <v>305.0288540807914</v>
      </c>
      <c r="X35" s="33">
        <f>SUM('MasterA1(current$)'!X35)/0.5153</f>
        <v>267.80516204152923</v>
      </c>
      <c r="Y35" s="33">
        <f>SUM('MasterA1(current$)'!Y35)/0.53565</f>
        <v>270.69915056473445</v>
      </c>
      <c r="Z35" s="33">
        <f>SUM('MasterA1(current$)'!Z35)/0.55466</f>
        <v>288.46500558900948</v>
      </c>
      <c r="AA35" s="33">
        <f>SUM('MasterA1(current$)'!AA35)/0.5724</f>
        <v>296.99510831586304</v>
      </c>
      <c r="AB35" s="33">
        <f>SUM('MasterA1(current$)'!AB35)/0.58395</f>
        <v>285.9833889887833</v>
      </c>
      <c r="AC35" s="33">
        <f>SUM('MasterA1(current$)'!AC35)/0.59885</f>
        <v>300.5761041997161</v>
      </c>
      <c r="AD35" s="33">
        <f>SUM('MasterA1(current$)'!AD35)/0.61982</f>
        <v>345.26152754025361</v>
      </c>
      <c r="AE35" s="33">
        <f>SUM('MasterA1(current$)'!AE35)/0.64392</f>
        <v>369.61113181761709</v>
      </c>
      <c r="AF35" s="33">
        <f>SUM('MasterA1(current$)'!AF35)/0.66773</f>
        <v>408.84788761924727</v>
      </c>
      <c r="AG35" s="33">
        <f>SUM('MasterA1(current$)'!AG35)/0.68996</f>
        <v>457.9975650762363</v>
      </c>
      <c r="AH35" s="33">
        <f>SUM('MasterA1(current$)'!AH35)/0.70569</f>
        <v>497.38553755898482</v>
      </c>
      <c r="AI35" s="33">
        <f>SUM('MasterA1(current$)'!AI35)/0.72248</f>
        <v>545.34381574576457</v>
      </c>
      <c r="AJ35" s="33">
        <f>SUM('MasterA1(current$)'!AJ35)/0.73785</f>
        <v>551.60262926068981</v>
      </c>
      <c r="AK35" s="33">
        <f>SUM('MasterA1(current$)'!AK35)/0.75324</f>
        <v>524.40125325261533</v>
      </c>
      <c r="AL35" s="33">
        <f>SUM('MasterA1(current$)'!AL35)/0.76699</f>
        <v>539.77235687557857</v>
      </c>
      <c r="AM35" s="33">
        <f>SUM('MasterA1(current$)'!AM35)/0.78012</f>
        <v>626.82664205506842</v>
      </c>
      <c r="AN35" s="33">
        <f>SUM('MasterA1(current$)'!AN35)/0.78859</f>
        <v>615.02174767623228</v>
      </c>
      <c r="AO35" s="33">
        <f>SUM('MasterA1(current$)'!AO35)/0.80065</f>
        <v>696.93374133516522</v>
      </c>
      <c r="AP35" s="339">
        <f>SUM('MasterA1(current$)'!AP35)/0.81887</f>
        <v>677.76325912538016</v>
      </c>
      <c r="AQ35" s="339">
        <f>SUM('MasterA1(current$)'!AQ35)/0.83754</f>
        <v>835.78097762494929</v>
      </c>
      <c r="AR35" s="339">
        <f>SUM('MasterA1(current$)'!AR35)/0.85039</f>
        <v>923.10586907183767</v>
      </c>
      <c r="AS35" s="339">
        <f>SUM('MasterA1(current$)'!AS35)/0.86735</f>
        <v>954.6319248285007</v>
      </c>
      <c r="AT35" s="339">
        <f>SUM('MasterA1(current$)'!AT35)/0.8912</f>
        <v>1000.8976660682226</v>
      </c>
      <c r="AU35" s="339">
        <f>SUM('MasterA1(current$)'!AU35)/0.91988</f>
        <v>981.64978040613994</v>
      </c>
      <c r="AV35" s="239">
        <f>SUM('MasterA1(current$)'!AV35)/0.94814</f>
        <v>1025.1650600122346</v>
      </c>
      <c r="AW35" s="239">
        <f>SUM('MasterA1(current$)'!AW35)/0.97337</f>
        <v>1030.4406340857022</v>
      </c>
      <c r="AX35" s="239">
        <f>SUM('MasterA1(current$)'!AX35*100)/99.246</f>
        <v>1018.6808536364186</v>
      </c>
      <c r="AY35" s="417">
        <f>SUM('MasterA1(current$)'!AY35)</f>
        <v>1124</v>
      </c>
      <c r="AZ35" s="420">
        <f>SUM('MasterA1(current$)'!AZ35*100)/101.221</f>
        <v>1218.1266733187776</v>
      </c>
      <c r="BA35" s="420">
        <f>SUM('MasterA1(current$)'!BA35*100)/103.311</f>
        <v>1180.9003881484061</v>
      </c>
      <c r="BB35" s="417">
        <f>SUM('MasterA1(current$)'!BB35*100)/105.214</f>
        <v>1170.9468321706238</v>
      </c>
      <c r="BC35" s="417">
        <f>SUM('MasterA1(current$)'!BC35*100)/106.913</f>
        <v>1145.791437898104</v>
      </c>
      <c r="BD35" s="417">
        <f>SUM('MasterA1(current$)'!BD35*100)/108.828</f>
        <v>1105.4140478553313</v>
      </c>
      <c r="BE35" s="417">
        <f>SUM('MasterA1(current$)'!BE35*100)/109.998</f>
        <v>1173.6577028673248</v>
      </c>
      <c r="BF35" s="539">
        <f>SUM('MasterA1(current$)'!BF35*100)/111.298</f>
        <v>1206.6703804201334</v>
      </c>
      <c r="BG35" s="539">
        <f>SUM('MasterA1(current$)'!BG35*100)/113.198</f>
        <v>1203.201469990636</v>
      </c>
      <c r="BH35" s="539">
        <f>SUM('MasterA1(current$)'!BH35*100)/115.198</f>
        <v>1223.9795829788711</v>
      </c>
      <c r="BI35" s="385">
        <f>(BG35-BF35)/BF35</f>
        <v>-2.8747788010587754E-3</v>
      </c>
      <c r="BJ35" s="385">
        <f>(BH35-BG35)/BG35</f>
        <v>1.7269022276374699E-2</v>
      </c>
      <c r="BK35" s="569">
        <f t="shared" si="2"/>
        <v>-3.4689104294973276</v>
      </c>
      <c r="BL35" s="569">
        <f t="shared" si="2"/>
        <v>20.77811298823508</v>
      </c>
    </row>
    <row r="36" spans="1:64" ht="11.1" customHeight="1">
      <c r="A36" s="128" t="s">
        <v>32</v>
      </c>
      <c r="B36" s="154">
        <f>SUM('MasterA1(current$)'!B36)/0.1756</f>
        <v>153.75854214123007</v>
      </c>
      <c r="C36" s="149">
        <f>SUM('MasterA1(current$)'!C36)/0.178</f>
        <v>162.92134831460675</v>
      </c>
      <c r="D36" s="149">
        <f>SUM('MasterA1(current$)'!D36)/0.1798</f>
        <v>166.85205784204672</v>
      </c>
      <c r="E36" s="484">
        <f>SUM('MasterA1(current$)'!E36)/0.182</f>
        <v>175.82417582417582</v>
      </c>
      <c r="F36" s="484">
        <f>SUM('MasterA1(current$)'!F36)/0.1842</f>
        <v>179.15309446254071</v>
      </c>
      <c r="G36" s="484">
        <f>SUM('MasterA1(current$)'!G36)/0.18702</f>
        <v>176.45171639396855</v>
      </c>
      <c r="H36" s="484">
        <f>SUM('MasterA1(current$)'!H36)/0.19227</f>
        <v>182.03567899308266</v>
      </c>
      <c r="I36" s="484">
        <f>SUM('MasterA1(current$)'!I36)/0.19786</f>
        <v>187.00090973415544</v>
      </c>
      <c r="J36" s="484">
        <f>SUM('MasterA1(current$)'!J36)/0.20627</f>
        <v>179.37654530469771</v>
      </c>
      <c r="K36" s="484">
        <f>SUM('MasterA1(current$)'!K36)/0.21642</f>
        <v>198.68773680805842</v>
      </c>
      <c r="L36" s="484">
        <f>SUM('MasterA1(current$)'!L36)/0.22784</f>
        <v>223.84129213483146</v>
      </c>
      <c r="M36" s="484">
        <f>SUM('MasterA1(current$)'!M36)/0.23941</f>
        <v>258.96996783760073</v>
      </c>
      <c r="N36" s="484">
        <f>SUM('MasterA1(current$)'!N36)/0.24978</f>
        <v>308.27127872527825</v>
      </c>
      <c r="O36" s="484">
        <f>SUM('MasterA1(current$)'!O36)/0.26337</f>
        <v>303.7551733302958</v>
      </c>
      <c r="P36" s="484">
        <f>SUM('MasterA1(current$)'!P36)/0.28703</f>
        <v>299.6202487544856</v>
      </c>
      <c r="Q36" s="484">
        <f>SUM('MasterA1(current$)'!Q36)/0.31361</f>
        <v>341.18809986926436</v>
      </c>
      <c r="R36" s="484">
        <f>SUM('MasterA1(current$)'!R36)/0.33083</f>
        <v>341.56515430885952</v>
      </c>
      <c r="S36" s="484">
        <f>SUM('MasterA1(current$)'!S36)/0.35135</f>
        <v>361.46292870357195</v>
      </c>
      <c r="T36" s="484">
        <f>SUM('MasterA1(current$)'!T36)/0.37602</f>
        <v>367.00175522578581</v>
      </c>
      <c r="U36" s="464">
        <f>SUM('MasterA1(current$)'!U36)/0.40706</f>
        <v>356.21284331548179</v>
      </c>
      <c r="V36" s="484">
        <f>SUM('MasterA1(current$)'!V36)/0.44377</f>
        <v>360.54713027018499</v>
      </c>
      <c r="W36" s="484">
        <f>SUM('MasterA1(current$)'!W36)/0.4852</f>
        <v>331.82192910140145</v>
      </c>
      <c r="X36" s="484">
        <f>SUM('MasterA1(current$)'!X36)/0.5153</f>
        <v>294.97380166893072</v>
      </c>
      <c r="Y36" s="484">
        <f>SUM('MasterA1(current$)'!Y36)/0.53565</f>
        <v>300.56940166153277</v>
      </c>
      <c r="Z36" s="484">
        <f>SUM('MasterA1(current$)'!Z36)/0.55466</f>
        <v>315.50859986297911</v>
      </c>
      <c r="AA36" s="484">
        <f>SUM('MasterA1(current$)'!AA36)/0.5724</f>
        <v>326.69461914744932</v>
      </c>
      <c r="AB36" s="484">
        <f>SUM('MasterA1(current$)'!AB36)/0.58395</f>
        <v>315.09547050261153</v>
      </c>
      <c r="AC36" s="484">
        <f>SUM('MasterA1(current$)'!AC36)/0.59885</f>
        <v>335.64331635634966</v>
      </c>
      <c r="AD36" s="484">
        <f>SUM('MasterA1(current$)'!AD36)/0.61982</f>
        <v>385.59581814075051</v>
      </c>
      <c r="AE36" s="484">
        <f>SUM('MasterA1(current$)'!AE36)/0.64392</f>
        <v>408.43583053795498</v>
      </c>
      <c r="AF36" s="484">
        <f>SUM('MasterA1(current$)'!AF36)/0.66773</f>
        <v>449.28339298818383</v>
      </c>
      <c r="AG36" s="484">
        <f>SUM('MasterA1(current$)'!AG36)/0.68996</f>
        <v>502.92770595396831</v>
      </c>
      <c r="AH36" s="484">
        <f>SUM('MasterA1(current$)'!AH36)/0.70569</f>
        <v>551.23354447420252</v>
      </c>
      <c r="AI36" s="484">
        <f>SUM('MasterA1(current$)'!AI36)/0.72248</f>
        <v>599.3245487764367</v>
      </c>
      <c r="AJ36" s="484">
        <f>SUM('MasterA1(current$)'!AJ36)/0.73785</f>
        <v>613.94592396828625</v>
      </c>
      <c r="AK36" s="484">
        <f>SUM('MasterA1(current$)'!AK36)/0.75324</f>
        <v>581.48797196112787</v>
      </c>
      <c r="AL36" s="484">
        <f>SUM('MasterA1(current$)'!AL36)/0.76699</f>
        <v>611.48124486629558</v>
      </c>
      <c r="AM36" s="484">
        <f>SUM('MasterA1(current$)'!AM36)/0.78012</f>
        <v>698.61047018407419</v>
      </c>
      <c r="AN36" s="484">
        <f>SUM('MasterA1(current$)'!AN36)/0.78859</f>
        <v>691.10691233720945</v>
      </c>
      <c r="AO36" s="484">
        <f>SUM('MasterA1(current$)'!AO36)/0.80065</f>
        <v>775.61980890526445</v>
      </c>
      <c r="AP36" s="133">
        <f>SUM('MasterA1(current$)'!AP36)/0.81887</f>
        <v>768.13169367543082</v>
      </c>
      <c r="AQ36" s="133">
        <f>SUM('MasterA1(current$)'!AQ36)/0.83754</f>
        <v>925.32893951333676</v>
      </c>
      <c r="AR36" s="133">
        <f>SUM('MasterA1(current$)'!AR36)/0.85039</f>
        <v>1013.652559413916</v>
      </c>
      <c r="AS36" s="133">
        <f>SUM('MasterA1(current$)'!AS36)/0.86735</f>
        <v>1048.0198305182453</v>
      </c>
      <c r="AT36" s="133">
        <f>SUM('MasterA1(current$)'!AT36)/0.8912</f>
        <v>1101.8850987432675</v>
      </c>
      <c r="AU36" s="133">
        <f>SUM('MasterA1(current$)'!AU36)/0.91988</f>
        <v>1118.6241683697874</v>
      </c>
      <c r="AV36" s="138">
        <f>SUM('MasterA1(current$)'!AV36)/0.94814</f>
        <v>1190.752420528614</v>
      </c>
      <c r="AW36" s="138">
        <f>SUM('MasterA1(current$)'!AW36)/0.97337</f>
        <v>1195.8453619897882</v>
      </c>
      <c r="AX36" s="669">
        <f>SUM('MasterA1(current$)'!AX36*100)/99.246</f>
        <v>1231.2838804586584</v>
      </c>
      <c r="AY36" s="502">
        <f>SUM('MasterA1(current$)'!AY36)</f>
        <v>1328</v>
      </c>
      <c r="AZ36" s="418">
        <f>SUM('MasterA1(current$)'!AZ36*100)/101.221</f>
        <v>1465.1109947540529</v>
      </c>
      <c r="BA36" s="418">
        <f>SUM('MasterA1(current$)'!BA36*100)/103.311</f>
        <v>1434.5035862589655</v>
      </c>
      <c r="BB36" s="418">
        <f>SUM('MasterA1(current$)'!BB36*100)/105.214</f>
        <v>1448.476438496778</v>
      </c>
      <c r="BC36" s="418">
        <f>SUM('MasterA1(current$)'!BC36*100)/106.913</f>
        <v>1427.3287626387812</v>
      </c>
      <c r="BD36" s="418">
        <f>SUM('MasterA1(current$)'!BD36*100)/108.828</f>
        <v>1402.2126658580512</v>
      </c>
      <c r="BE36" s="418">
        <f>SUM('MasterA1(current$)'!BE36*100)/109.998</f>
        <v>1463.662975690467</v>
      </c>
      <c r="BF36" s="632">
        <f>SUM('MasterA1(current$)'!BF36*100)/111.298</f>
        <v>1516.6489963880751</v>
      </c>
      <c r="BG36" s="632">
        <f>SUM('MasterA1(current$)'!BG36*100)/113.198</f>
        <v>1568.0489054576938</v>
      </c>
      <c r="BH36" s="632">
        <f>SUM('MasterA1(current$)'!BH36*100)/115.198</f>
        <v>1598.986093508568</v>
      </c>
      <c r="BI36" s="415">
        <f>(BG36-BF36)/BF36</f>
        <v>3.3890444784540362E-2</v>
      </c>
      <c r="BJ36" s="415">
        <f>(BH36-BG36)/BG36</f>
        <v>1.9729734157649954E-2</v>
      </c>
      <c r="BK36" s="572">
        <f t="shared" si="2"/>
        <v>51.399909069618616</v>
      </c>
      <c r="BL36" s="572">
        <f t="shared" si="2"/>
        <v>30.937188050874283</v>
      </c>
    </row>
    <row r="37" spans="1:64" ht="6" customHeight="1">
      <c r="A37" s="125"/>
      <c r="B37" s="54"/>
      <c r="C37" s="55"/>
      <c r="D37" s="5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9"/>
      <c r="AQ37" s="339"/>
      <c r="AR37" s="339"/>
      <c r="AS37" s="339"/>
      <c r="AT37" s="339"/>
      <c r="AU37" s="339"/>
      <c r="AV37" s="98"/>
      <c r="AW37" s="98"/>
      <c r="AX37" s="98"/>
      <c r="AY37" s="416"/>
      <c r="AZ37" s="416"/>
      <c r="BA37" s="416"/>
      <c r="BB37" s="416"/>
      <c r="BC37" s="416"/>
      <c r="BD37" s="416"/>
      <c r="BE37" s="416"/>
      <c r="BF37" s="631"/>
      <c r="BG37" s="631"/>
      <c r="BH37" s="631"/>
      <c r="BI37" s="329"/>
      <c r="BJ37" s="329"/>
      <c r="BK37" s="570"/>
      <c r="BL37" s="570"/>
    </row>
    <row r="38" spans="1:64" ht="14.25" customHeight="1">
      <c r="A38" s="126" t="s">
        <v>74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416"/>
      <c r="AA38" s="416"/>
      <c r="AB38" s="416"/>
      <c r="AC38" s="416"/>
      <c r="AD38" s="416"/>
      <c r="AE38" s="416"/>
      <c r="AF38" s="416"/>
      <c r="AG38" s="416"/>
      <c r="AH38" s="416"/>
      <c r="AI38" s="416"/>
      <c r="AJ38" s="416"/>
      <c r="AK38" s="416"/>
      <c r="AL38" s="416"/>
      <c r="AM38" s="416"/>
      <c r="AN38" s="416"/>
      <c r="AO38" s="416"/>
      <c r="AP38" s="416"/>
      <c r="AQ38" s="416"/>
      <c r="AR38" s="416"/>
      <c r="AS38" s="416"/>
      <c r="AT38" s="416"/>
      <c r="AU38" s="416"/>
      <c r="AV38" s="416"/>
      <c r="AW38" s="416"/>
      <c r="AX38" s="416"/>
      <c r="AY38" s="416"/>
      <c r="AZ38" s="416"/>
      <c r="BA38" s="416"/>
      <c r="BB38" s="416"/>
      <c r="BC38" s="416"/>
      <c r="BD38" s="416"/>
      <c r="BE38" s="416"/>
      <c r="BF38" s="631"/>
      <c r="BG38" s="631"/>
      <c r="BH38" s="631"/>
      <c r="BI38" s="329"/>
      <c r="BJ38" s="329"/>
      <c r="BK38" s="570"/>
      <c r="BL38" s="570"/>
    </row>
    <row r="39" spans="1:64" ht="11.1" customHeight="1">
      <c r="A39" s="129" t="s">
        <v>90</v>
      </c>
      <c r="B39" s="102" t="s">
        <v>3</v>
      </c>
      <c r="C39" s="102" t="s">
        <v>3</v>
      </c>
      <c r="D39" s="102" t="s">
        <v>3</v>
      </c>
      <c r="E39" s="102" t="s">
        <v>3</v>
      </c>
      <c r="F39" s="102" t="s">
        <v>3</v>
      </c>
      <c r="G39" s="102" t="s">
        <v>3</v>
      </c>
      <c r="H39" s="102" t="s">
        <v>3</v>
      </c>
      <c r="I39" s="102" t="s">
        <v>3</v>
      </c>
      <c r="J39" s="102" t="s">
        <v>3</v>
      </c>
      <c r="K39" s="102" t="s">
        <v>3</v>
      </c>
      <c r="L39" s="102" t="s">
        <v>3</v>
      </c>
      <c r="M39" s="102" t="s">
        <v>3</v>
      </c>
      <c r="N39" s="102" t="s">
        <v>3</v>
      </c>
      <c r="O39" s="102" t="s">
        <v>3</v>
      </c>
      <c r="P39" s="102" t="s">
        <v>3</v>
      </c>
      <c r="Q39" s="102" t="s">
        <v>3</v>
      </c>
      <c r="R39" s="102" t="s">
        <v>3</v>
      </c>
      <c r="S39" s="102" t="s">
        <v>3</v>
      </c>
      <c r="T39" s="102" t="s">
        <v>3</v>
      </c>
      <c r="U39" s="102" t="s">
        <v>3</v>
      </c>
      <c r="V39" s="102" t="s">
        <v>3</v>
      </c>
      <c r="W39" s="102" t="s">
        <v>3</v>
      </c>
      <c r="X39" s="102" t="s">
        <v>3</v>
      </c>
      <c r="Y39" s="102" t="s">
        <v>3</v>
      </c>
      <c r="Z39" s="102" t="s">
        <v>3</v>
      </c>
      <c r="AA39" s="102" t="s">
        <v>3</v>
      </c>
      <c r="AB39" s="102" t="s">
        <v>3</v>
      </c>
      <c r="AC39" s="102" t="s">
        <v>3</v>
      </c>
      <c r="AD39" s="102" t="s">
        <v>3</v>
      </c>
      <c r="AE39" s="102" t="s">
        <v>3</v>
      </c>
      <c r="AF39" s="102" t="s">
        <v>3</v>
      </c>
      <c r="AG39" s="102" t="s">
        <v>3</v>
      </c>
      <c r="AH39" s="102" t="s">
        <v>3</v>
      </c>
      <c r="AI39" s="102" t="s">
        <v>3</v>
      </c>
      <c r="AJ39" s="102" t="s">
        <v>3</v>
      </c>
      <c r="AK39" s="102" t="s">
        <v>3</v>
      </c>
      <c r="AL39" s="102" t="s">
        <v>3</v>
      </c>
      <c r="AM39" s="102" t="s">
        <v>3</v>
      </c>
      <c r="AN39" s="102" t="s">
        <v>3</v>
      </c>
      <c r="AO39" s="102" t="s">
        <v>3</v>
      </c>
      <c r="AP39" s="102" t="s">
        <v>3</v>
      </c>
      <c r="AQ39" s="102" t="s">
        <v>3</v>
      </c>
      <c r="AR39" s="339">
        <f>SUM('MasterA1(current$)'!AR39)/0.85039</f>
        <v>79.963310951445806</v>
      </c>
      <c r="AS39" s="339">
        <f>SUM('MasterA1(current$)'!AS39)/0.86735</f>
        <v>91.08203147518303</v>
      </c>
      <c r="AT39" s="339">
        <f>SUM('MasterA1(current$)'!AT39)/0.8912</f>
        <v>79.667863554757631</v>
      </c>
      <c r="AU39" s="339">
        <f>SUM('MasterA1(current$)'!AU39)/0.91988</f>
        <v>94.57755359394703</v>
      </c>
      <c r="AV39" s="341">
        <f>SUM('MasterA1(current$)'!AV39)/0.94814</f>
        <v>98.086780433269354</v>
      </c>
      <c r="AW39" s="341">
        <f>SUM('MasterA1(current$)'!AW39)/0.97337</f>
        <v>94.516987373763328</v>
      </c>
      <c r="AX39" s="341">
        <f>SUM('MasterA1(current$)'!AX39*100)/99.246</f>
        <v>96.729339217701479</v>
      </c>
      <c r="AY39" s="417">
        <f>SUM('MasterA1(current$)'!AY39)</f>
        <v>100</v>
      </c>
      <c r="AZ39" s="420">
        <f>SUM('MasterA1(current$)'!AZ39*100)/101.221</f>
        <v>101.75754043133341</v>
      </c>
      <c r="BA39" s="420">
        <f>SUM('MasterA1(current$)'!BA39*100)/103.311</f>
        <v>101.63486947178906</v>
      </c>
      <c r="BB39" s="420">
        <f>SUM('MasterA1(current$)'!BB39*100)/105.214</f>
        <v>102.64793658638584</v>
      </c>
      <c r="BC39" s="420">
        <f>SUM('MasterA1(current$)'!BC39*100)/106.913</f>
        <v>96.340014778371199</v>
      </c>
      <c r="BD39" s="420">
        <f>SUM('MasterA1(current$)'!BD39*100)/108.828</f>
        <v>93.725879369279966</v>
      </c>
      <c r="BE39" s="420">
        <f>SUM('MasterA1(current$)'!BE39*100)/109.998</f>
        <v>94.547173584974274</v>
      </c>
      <c r="BF39" s="634">
        <f>SUM('MasterA1(current$)'!BF39*100)/111.298</f>
        <v>98.833761612966981</v>
      </c>
      <c r="BG39" s="634">
        <f>SUM('MasterA1(current$)'!BG39*100)/113.198</f>
        <v>99.825085248855999</v>
      </c>
      <c r="BH39" s="634">
        <f>SUM('MasterA1(current$)'!BH39*100)/115.198</f>
        <v>92.883557006198032</v>
      </c>
      <c r="BI39" s="385">
        <f>(BG39-BF39)/BF39</f>
        <v>1.0030212547925079E-2</v>
      </c>
      <c r="BJ39" s="385">
        <f>(BH39-BG39)/BG39</f>
        <v>-6.9536912744459861E-2</v>
      </c>
      <c r="BK39" s="569">
        <f>BG39-BF39</f>
        <v>0.9913236358890174</v>
      </c>
      <c r="BL39" s="569">
        <f>BH39-BG39</f>
        <v>-6.9415282426579665</v>
      </c>
    </row>
    <row r="40" spans="1:64" ht="11.25" customHeight="1">
      <c r="A40" s="163"/>
      <c r="B40" s="35"/>
      <c r="C40" s="36"/>
      <c r="D40" s="36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161"/>
      <c r="AN40" s="161"/>
      <c r="AO40" s="161"/>
      <c r="AP40" s="339"/>
      <c r="AQ40" s="339"/>
      <c r="AR40" s="339"/>
      <c r="AS40" s="339"/>
      <c r="AT40" s="339"/>
      <c r="AU40" s="339"/>
      <c r="AV40" s="341"/>
      <c r="AW40" s="341"/>
      <c r="AX40" s="341"/>
      <c r="AY40" s="420"/>
      <c r="AZ40" s="420"/>
      <c r="BA40" s="420"/>
      <c r="BB40" s="420"/>
      <c r="BC40" s="420"/>
      <c r="BD40" s="420"/>
      <c r="BE40" s="420"/>
      <c r="BF40" s="634"/>
      <c r="BG40" s="634"/>
      <c r="BH40" s="634"/>
      <c r="BI40" s="329"/>
      <c r="BJ40" s="329"/>
      <c r="BK40" s="569"/>
      <c r="BL40" s="569"/>
    </row>
    <row r="41" spans="1:64" ht="11.25" customHeight="1">
      <c r="A41" s="297" t="s">
        <v>105</v>
      </c>
      <c r="B41" s="102" t="s">
        <v>3</v>
      </c>
      <c r="C41" s="102" t="s">
        <v>3</v>
      </c>
      <c r="D41" s="102" t="s">
        <v>3</v>
      </c>
      <c r="E41" s="102" t="s">
        <v>3</v>
      </c>
      <c r="F41" s="102" t="s">
        <v>3</v>
      </c>
      <c r="G41" s="102" t="s">
        <v>3</v>
      </c>
      <c r="H41" s="102" t="s">
        <v>3</v>
      </c>
      <c r="I41" s="102" t="s">
        <v>3</v>
      </c>
      <c r="J41" s="102" t="s">
        <v>3</v>
      </c>
      <c r="K41" s="102" t="s">
        <v>3</v>
      </c>
      <c r="L41" s="102" t="s">
        <v>3</v>
      </c>
      <c r="M41" s="102" t="s">
        <v>3</v>
      </c>
      <c r="N41" s="102" t="s">
        <v>3</v>
      </c>
      <c r="O41" s="102" t="s">
        <v>3</v>
      </c>
      <c r="P41" s="102" t="s">
        <v>3</v>
      </c>
      <c r="Q41" s="102" t="s">
        <v>3</v>
      </c>
      <c r="R41" s="102" t="s">
        <v>3</v>
      </c>
      <c r="S41" s="102" t="s">
        <v>3</v>
      </c>
      <c r="T41" s="102" t="s">
        <v>3</v>
      </c>
      <c r="U41" s="102" t="s">
        <v>3</v>
      </c>
      <c r="V41" s="102" t="s">
        <v>3</v>
      </c>
      <c r="W41" s="102" t="s">
        <v>3</v>
      </c>
      <c r="X41" s="102" t="s">
        <v>3</v>
      </c>
      <c r="Y41" s="102" t="s">
        <v>3</v>
      </c>
      <c r="Z41" s="102" t="s">
        <v>3</v>
      </c>
      <c r="AA41" s="102" t="s">
        <v>3</v>
      </c>
      <c r="AB41" s="102" t="s">
        <v>3</v>
      </c>
      <c r="AC41" s="102" t="s">
        <v>3</v>
      </c>
      <c r="AD41" s="102" t="s">
        <v>3</v>
      </c>
      <c r="AE41" s="102" t="s">
        <v>3</v>
      </c>
      <c r="AF41" s="33">
        <f>SUM('MasterA1(current$)'!AF41)/0.66773</f>
        <v>4.4928339298818383</v>
      </c>
      <c r="AG41" s="33">
        <f>SUM('MasterA1(current$)'!AG41)/0.68996</f>
        <v>13.044234448373819</v>
      </c>
      <c r="AH41" s="33">
        <f>SUM('MasterA1(current$)'!AH41)/0.70569</f>
        <v>18.421686576258697</v>
      </c>
      <c r="AI41" s="33">
        <f>SUM('MasterA1(current$)'!AI41)/0.72248</f>
        <v>19.377699036651535</v>
      </c>
      <c r="AJ41" s="33">
        <f>SUM('MasterA1(current$)'!AJ41)/0.73785</f>
        <v>21.684624246120485</v>
      </c>
      <c r="AK41" s="33">
        <f>SUM('MasterA1(current$)'!AK41)/0.75324</f>
        <v>21.241569752004672</v>
      </c>
      <c r="AL41" s="33">
        <f>SUM('MasterA1(current$)'!AL41)/0.76699</f>
        <v>22.164565378948879</v>
      </c>
      <c r="AM41" s="33">
        <f>SUM('MasterA1(current$)'!AM41)/0.78012</f>
        <v>20.509665179715942</v>
      </c>
      <c r="AN41" s="33">
        <f>SUM('MasterA1(current$)'!AN41)/0.78859</f>
        <v>21.557463320610204</v>
      </c>
      <c r="AO41" s="33">
        <f>SUM('MasterA1(current$)'!AO41)/0.80065</f>
        <v>21.232748391931555</v>
      </c>
      <c r="AP41" s="339">
        <f>SUM('MasterA1(current$)'!AP41)/0.81887</f>
        <v>20.760316045281915</v>
      </c>
      <c r="AQ41" s="339">
        <f>SUM('MasterA1(current$)'!AQ41)/0.83754</f>
        <v>21.491510853212983</v>
      </c>
      <c r="AR41" s="339">
        <f>SUM('MasterA1(current$)'!AR41)/0.85039</f>
        <v>23.518620868072297</v>
      </c>
      <c r="AS41" s="339">
        <f>SUM('MasterA1(current$)'!AS41)/0.86735</f>
        <v>23.058742145615959</v>
      </c>
      <c r="AT41" s="339">
        <f>SUM('MasterA1(current$)'!AT41)/0.8912</f>
        <v>23.563734290843808</v>
      </c>
      <c r="AU41" s="339">
        <f>SUM('MasterA1(current$)'!AU41)/0.91988</f>
        <v>21.741966343436101</v>
      </c>
      <c r="AV41" s="236">
        <f>SUM('MasterA1(current$)'!AV41)/0.94814</f>
        <v>21.093931275971904</v>
      </c>
      <c r="AW41" s="236">
        <f>SUM('MasterA1(current$)'!AW41)/0.97337</f>
        <v>21.57452972661989</v>
      </c>
      <c r="AX41" s="236">
        <f>SUM('MasterA1(current$)'!AX41*100)/99.246</f>
        <v>22.167140237389923</v>
      </c>
      <c r="AY41" s="417">
        <f>SUM('MasterA1(current$)'!AY41)</f>
        <v>24</v>
      </c>
      <c r="AZ41" s="420">
        <f>SUM('MasterA1(current$)'!AZ41*100)/101.221</f>
        <v>24.698432143527526</v>
      </c>
      <c r="BA41" s="420">
        <f>SUM('MasterA1(current$)'!BA41*100)/103.311</f>
        <v>26.134680721317185</v>
      </c>
      <c r="BB41" s="420">
        <f>SUM('MasterA1(current$)'!BB41*100)/105.214</f>
        <v>25.66198414659646</v>
      </c>
      <c r="BC41" s="420">
        <f>SUM('MasterA1(current$)'!BC41*100)/106.913</f>
        <v>26.189518580528095</v>
      </c>
      <c r="BD41" s="420">
        <f>SUM('MasterA1(current$)'!BD41*100)/108.828</f>
        <v>22.972029257176462</v>
      </c>
      <c r="BE41" s="420">
        <f>SUM('MasterA1(current$)'!BE41*100)/109.998</f>
        <v>23.636793396243569</v>
      </c>
      <c r="BF41" s="634">
        <f>SUM('MasterA1(current$)'!BF41*100)/111.298</f>
        <v>25.15768477420978</v>
      </c>
      <c r="BG41" s="634">
        <f>SUM('MasterA1(current$)'!BG41*100)/113.198</f>
        <v>25.618827187759504</v>
      </c>
      <c r="BH41" s="634">
        <f>SUM('MasterA1(current$)'!BH41*100)/115.198</f>
        <v>26.042118786784496</v>
      </c>
      <c r="BI41" s="385">
        <f>(BG41-BF41)/BF41</f>
        <v>1.8330081551163242E-2</v>
      </c>
      <c r="BJ41" s="385">
        <f>(BH41-BG41)/BG41</f>
        <v>1.6522676698769331E-2</v>
      </c>
      <c r="BK41" s="569">
        <f>BG41-BF41</f>
        <v>0.46114241354972307</v>
      </c>
      <c r="BL41" s="569">
        <f>BH41-BG41</f>
        <v>0.42329159902499214</v>
      </c>
    </row>
    <row r="42" spans="1:64" ht="11.25" customHeight="1">
      <c r="A42" s="163"/>
      <c r="B42" s="35"/>
      <c r="C42" s="36"/>
      <c r="D42" s="36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161"/>
      <c r="AN42" s="161"/>
      <c r="AO42" s="161"/>
      <c r="AP42" s="339"/>
      <c r="AQ42" s="339"/>
      <c r="AR42" s="339"/>
      <c r="AS42" s="339"/>
      <c r="AT42" s="339"/>
      <c r="AU42" s="339"/>
      <c r="AV42" s="341"/>
      <c r="AW42" s="341"/>
      <c r="AX42" s="341"/>
      <c r="AY42" s="420"/>
      <c r="AZ42" s="420"/>
      <c r="BA42" s="420"/>
      <c r="BB42" s="420"/>
      <c r="BC42" s="420"/>
      <c r="BD42" s="420"/>
      <c r="BE42" s="420"/>
      <c r="BF42" s="634"/>
      <c r="BG42" s="634"/>
      <c r="BH42" s="634"/>
      <c r="BI42" s="329"/>
      <c r="BJ42" s="329"/>
      <c r="BK42" s="569"/>
      <c r="BL42" s="569"/>
    </row>
    <row r="43" spans="1:64" ht="11.1" customHeight="1">
      <c r="A43" s="129" t="s">
        <v>91</v>
      </c>
      <c r="B43" s="51" t="s">
        <v>3</v>
      </c>
      <c r="C43" s="51" t="s">
        <v>3</v>
      </c>
      <c r="D43" s="51" t="s">
        <v>3</v>
      </c>
      <c r="E43" s="224" t="s">
        <v>3</v>
      </c>
      <c r="F43" s="224" t="s">
        <v>3</v>
      </c>
      <c r="G43" s="224" t="s">
        <v>3</v>
      </c>
      <c r="H43" s="224" t="s">
        <v>3</v>
      </c>
      <c r="I43" s="224" t="s">
        <v>3</v>
      </c>
      <c r="J43" s="224" t="s">
        <v>3</v>
      </c>
      <c r="K43" s="224" t="s">
        <v>3</v>
      </c>
      <c r="L43" s="224" t="s">
        <v>3</v>
      </c>
      <c r="M43" s="224" t="s">
        <v>3</v>
      </c>
      <c r="N43" s="224" t="s">
        <v>3</v>
      </c>
      <c r="O43" s="224" t="s">
        <v>3</v>
      </c>
      <c r="P43" s="224" t="s">
        <v>3</v>
      </c>
      <c r="Q43" s="224" t="s">
        <v>3</v>
      </c>
      <c r="R43" s="224" t="s">
        <v>3</v>
      </c>
      <c r="S43" s="224" t="s">
        <v>3</v>
      </c>
      <c r="T43" s="224" t="s">
        <v>3</v>
      </c>
      <c r="U43" s="224" t="s">
        <v>3</v>
      </c>
      <c r="V43" s="224" t="s">
        <v>3</v>
      </c>
      <c r="W43" s="224" t="s">
        <v>3</v>
      </c>
      <c r="X43" s="224" t="s">
        <v>3</v>
      </c>
      <c r="Y43" s="224" t="s">
        <v>3</v>
      </c>
      <c r="Z43" s="224" t="s">
        <v>3</v>
      </c>
      <c r="AA43" s="224" t="s">
        <v>3</v>
      </c>
      <c r="AB43" s="224" t="s">
        <v>3</v>
      </c>
      <c r="AC43" s="224" t="s">
        <v>3</v>
      </c>
      <c r="AD43" s="224" t="s">
        <v>3</v>
      </c>
      <c r="AE43" s="224" t="s">
        <v>3</v>
      </c>
      <c r="AF43" s="224" t="s">
        <v>3</v>
      </c>
      <c r="AG43" s="224" t="s">
        <v>3</v>
      </c>
      <c r="AH43" s="224" t="s">
        <v>3</v>
      </c>
      <c r="AI43" s="224" t="s">
        <v>3</v>
      </c>
      <c r="AJ43" s="224" t="s">
        <v>3</v>
      </c>
      <c r="AK43" s="342" t="s">
        <v>10</v>
      </c>
      <c r="AL43" s="224" t="s">
        <v>3</v>
      </c>
      <c r="AM43" s="224" t="s">
        <v>3</v>
      </c>
      <c r="AN43" s="33">
        <f>SUM('MasterA1(current$)'!AN43)/0.78859</f>
        <v>2.536172155365906</v>
      </c>
      <c r="AO43" s="33">
        <f>SUM('MasterA1(current$)'!AO43)/0.80065</f>
        <v>6.244925997626928</v>
      </c>
      <c r="AP43" s="339">
        <f>SUM('MasterA1(current$)'!AP43)/0.81887</f>
        <v>9.7695604918973711</v>
      </c>
      <c r="AQ43" s="339">
        <f>SUM('MasterA1(current$)'!AQ43)/0.83754</f>
        <v>8.3578097762494927</v>
      </c>
      <c r="AR43" s="339">
        <f>SUM('MasterA1(current$)'!AR43)/0.85039</f>
        <v>8.2315173038253047</v>
      </c>
      <c r="AS43" s="339">
        <f>SUM('MasterA1(current$)'!AS43)/0.86735</f>
        <v>10.37643396552718</v>
      </c>
      <c r="AT43" s="339">
        <f>SUM('MasterA1(current$)'!AT43)/0.8912</f>
        <v>8.9766606822262123</v>
      </c>
      <c r="AU43" s="339">
        <f>SUM('MasterA1(current$)'!AU43)/0.91988</f>
        <v>9.783884854546244</v>
      </c>
      <c r="AV43" s="341">
        <f>SUM('MasterA1(current$)'!AV43)/0.94814</f>
        <v>9.492269074187357</v>
      </c>
      <c r="AW43" s="341">
        <f>SUM('MasterA1(current$)'!AW43)/0.97337</f>
        <v>9.2462270256942372</v>
      </c>
      <c r="AX43" s="341">
        <f>SUM('MasterA1(current$)'!AX43*100)/99.246</f>
        <v>9.0683755516595124</v>
      </c>
      <c r="AY43" s="417">
        <f>SUM('MasterA1(current$)'!AY43)</f>
        <v>9</v>
      </c>
      <c r="AZ43" s="420">
        <f>SUM('MasterA1(current$)'!AZ43*100)/101.221</f>
        <v>9.8793728574110116</v>
      </c>
      <c r="BA43" s="420">
        <f>SUM('MasterA1(current$)'!BA43*100)/103.311</f>
        <v>10.647462516092187</v>
      </c>
      <c r="BB43" s="420">
        <f>SUM('MasterA1(current$)'!BB43*100)/105.214</f>
        <v>10.454882430094855</v>
      </c>
      <c r="BC43" s="420">
        <f>SUM('MasterA1(current$)'!BC43*100)/106.913</f>
        <v>9.3533994930457478</v>
      </c>
      <c r="BD43" s="420">
        <f>SUM('MasterA1(current$)'!BD43*100)/108.828</f>
        <v>9.1888117028705842</v>
      </c>
      <c r="BE43" s="420">
        <f>SUM('MasterA1(current$)'!BE43*100)/109.998</f>
        <v>10.909289259804723</v>
      </c>
      <c r="BF43" s="634">
        <f>SUM('MasterA1(current$)'!BF43*100)/111.298</f>
        <v>8.9848874193606356</v>
      </c>
      <c r="BG43" s="634">
        <f>SUM('MasterA1(current$)'!BG43*100)/113.198</f>
        <v>9.7174861746673979</v>
      </c>
      <c r="BH43" s="634">
        <f>SUM('MasterA1(current$)'!BH43*100)/115.198</f>
        <v>7.8126356360353482</v>
      </c>
      <c r="BI43" s="385">
        <f>(BG43-BF43)/BF43</f>
        <v>8.1536776268132036E-2</v>
      </c>
      <c r="BJ43" s="385">
        <f>(BH43-BG43)/BG43</f>
        <v>-0.19602297388370069</v>
      </c>
      <c r="BK43" s="569">
        <f>BG43-BF43</f>
        <v>0.73259875530676233</v>
      </c>
      <c r="BL43" s="569">
        <f>BH43-BG43</f>
        <v>-1.9048505386320498</v>
      </c>
    </row>
    <row r="44" spans="1:64" ht="6" customHeight="1">
      <c r="A44" s="125"/>
      <c r="B44" s="35"/>
      <c r="C44" s="36"/>
      <c r="D44" s="36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161"/>
      <c r="AN44" s="161"/>
      <c r="AO44" s="161"/>
      <c r="AP44" s="339"/>
      <c r="AQ44" s="339"/>
      <c r="AR44" s="339"/>
      <c r="AS44" s="339"/>
      <c r="AT44" s="339"/>
      <c r="AU44" s="339"/>
      <c r="AV44" s="341"/>
      <c r="AW44" s="341"/>
      <c r="AX44" s="341"/>
      <c r="AY44" s="420"/>
      <c r="AZ44" s="420"/>
      <c r="BA44" s="420"/>
      <c r="BB44" s="420"/>
      <c r="BC44" s="420"/>
      <c r="BD44" s="420"/>
      <c r="BE44" s="420"/>
      <c r="BF44" s="634"/>
      <c r="BG44" s="634"/>
      <c r="BH44" s="634"/>
      <c r="BI44" s="329"/>
      <c r="BJ44" s="329"/>
      <c r="BK44" s="569"/>
      <c r="BL44" s="569"/>
    </row>
    <row r="45" spans="1:64" ht="11.1" customHeight="1">
      <c r="A45" s="125" t="s">
        <v>27</v>
      </c>
      <c r="B45" s="51" t="s">
        <v>3</v>
      </c>
      <c r="C45" s="51" t="s">
        <v>3</v>
      </c>
      <c r="D45" s="51" t="s">
        <v>3</v>
      </c>
      <c r="E45" s="224" t="s">
        <v>3</v>
      </c>
      <c r="F45" s="224" t="s">
        <v>3</v>
      </c>
      <c r="G45" s="224" t="s">
        <v>3</v>
      </c>
      <c r="H45" s="224" t="s">
        <v>3</v>
      </c>
      <c r="I45" s="224" t="s">
        <v>3</v>
      </c>
      <c r="J45" s="224" t="s">
        <v>3</v>
      </c>
      <c r="K45" s="224" t="s">
        <v>3</v>
      </c>
      <c r="L45" s="224" t="s">
        <v>3</v>
      </c>
      <c r="M45" s="224" t="s">
        <v>3</v>
      </c>
      <c r="N45" s="224" t="s">
        <v>3</v>
      </c>
      <c r="O45" s="224" t="s">
        <v>3</v>
      </c>
      <c r="P45" s="224" t="s">
        <v>3</v>
      </c>
      <c r="Q45" s="224" t="s">
        <v>3</v>
      </c>
      <c r="R45" s="224" t="s">
        <v>3</v>
      </c>
      <c r="S45" s="224" t="s">
        <v>3</v>
      </c>
      <c r="T45" s="33">
        <f>SUM('MasterA1(current$)'!T45)/0.37602</f>
        <v>2.6594330088825062</v>
      </c>
      <c r="U45" s="33">
        <f>SUM('MasterA1(current$)'!U45)/0.40706</f>
        <v>7.3699208961823812</v>
      </c>
      <c r="V45" s="33">
        <f>SUM('MasterA1(current$)'!V45)/0.44377</f>
        <v>9.0136782567546252</v>
      </c>
      <c r="W45" s="33">
        <f>SUM('MasterA1(current$)'!W45)/0.4852</f>
        <v>8.2440230832646328</v>
      </c>
      <c r="X45" s="33">
        <f>SUM('MasterA1(current$)'!X45)/0.5153</f>
        <v>5.8218513487288961</v>
      </c>
      <c r="Y45" s="33">
        <f>SUM('MasterA1(current$)'!Y45)/0.53565</f>
        <v>5.6006720806496784</v>
      </c>
      <c r="Z45" s="33">
        <f>SUM('MasterA1(current$)'!Z45)/0.55466</f>
        <v>7.2116251397252364</v>
      </c>
      <c r="AA45" s="33">
        <f>SUM('MasterA1(current$)'!AA45)/0.5724</f>
        <v>5.2410901467505235</v>
      </c>
      <c r="AB45" s="33">
        <f>SUM('MasterA1(current$)'!AB45)/0.58395</f>
        <v>5.1374261494991016</v>
      </c>
      <c r="AC45" s="33">
        <f>SUM('MasterA1(current$)'!AC45)/0.59885</f>
        <v>6.6794689822159139</v>
      </c>
      <c r="AD45" s="33">
        <f>SUM('MasterA1(current$)'!AD45)/0.61982</f>
        <v>6.4534864960795062</v>
      </c>
      <c r="AE45" s="33">
        <f>SUM('MasterA1(current$)'!AE45)/0.64392</f>
        <v>6.2119517952540679</v>
      </c>
      <c r="AF45" s="33">
        <f>SUM('MasterA1(current$)'!AF45)/0.66773</f>
        <v>5.990445239842451</v>
      </c>
      <c r="AG45" s="33">
        <f>SUM('MasterA1(current$)'!AG45)/0.68996</f>
        <v>5.7974375326105863</v>
      </c>
      <c r="AH45" s="33">
        <f>SUM('MasterA1(current$)'!AH45)/0.70569</f>
        <v>7.0852640677918064</v>
      </c>
      <c r="AI45" s="33">
        <f>SUM('MasterA1(current$)'!AI45)/0.72248</f>
        <v>8.3047281585649433</v>
      </c>
      <c r="AJ45" s="33">
        <f>SUM('MasterA1(current$)'!AJ45)/0.73785</f>
        <v>8.1317340922951811</v>
      </c>
      <c r="AK45" s="33">
        <f>SUM('MasterA1(current$)'!AK45)/0.75324</f>
        <v>7.965588657001752</v>
      </c>
      <c r="AL45" s="33">
        <f>SUM('MasterA1(current$)'!AL45)/0.76699</f>
        <v>7.8227877808054869</v>
      </c>
      <c r="AM45" s="33">
        <f>SUM('MasterA1(current$)'!AM45)/0.78012</f>
        <v>7.6911244423934777</v>
      </c>
      <c r="AN45" s="33">
        <f>SUM('MasterA1(current$)'!AN45)/0.78859</f>
        <v>7.6085164660977185</v>
      </c>
      <c r="AO45" s="33">
        <f>SUM('MasterA1(current$)'!AO45)/0.80065</f>
        <v>6.244925997626928</v>
      </c>
      <c r="AP45" s="339">
        <f>SUM('MasterA1(current$)'!AP45)/0.81887</f>
        <v>8.5483654304102004</v>
      </c>
      <c r="AQ45" s="339">
        <f>SUM('MasterA1(current$)'!AQ45)/0.83754</f>
        <v>7.1638369510709943</v>
      </c>
      <c r="AR45" s="339">
        <f>SUM('MasterA1(current$)'!AR45)/0.85039</f>
        <v>8.2315173038253047</v>
      </c>
      <c r="AS45" s="339">
        <f>SUM('MasterA1(current$)'!AS45)/0.86735</f>
        <v>6.917622643684787</v>
      </c>
      <c r="AT45" s="339">
        <f>SUM('MasterA1(current$)'!AT45)/0.8912</f>
        <v>8.9766606822262123</v>
      </c>
      <c r="AU45" s="339">
        <f>SUM('MasterA1(current$)'!AU45)/0.91988</f>
        <v>7.609688220202635</v>
      </c>
      <c r="AV45" s="236">
        <f>SUM('MasterA1(current$)'!AV45)/0.94814</f>
        <v>7.3828759465901665</v>
      </c>
      <c r="AW45" s="236">
        <f>SUM('MasterA1(current$)'!AW45)/0.97337</f>
        <v>7.1915099088732966</v>
      </c>
      <c r="AX45" s="236">
        <f>SUM('MasterA1(current$)'!AX45*100)/99.246</f>
        <v>8.0607782681417888</v>
      </c>
      <c r="AY45" s="417">
        <f>SUM('MasterA1(current$)'!AY45)</f>
        <v>9</v>
      </c>
      <c r="AZ45" s="420">
        <f>SUM('MasterA1(current$)'!AZ45*100)/101.221</f>
        <v>9.8793728574110116</v>
      </c>
      <c r="BA45" s="420">
        <f>SUM('MasterA1(current$)'!BA45*100)/103.311</f>
        <v>12.583364791745312</v>
      </c>
      <c r="BB45" s="420">
        <f>SUM('MasterA1(current$)'!BB45*100)/105.214</f>
        <v>13.306214001938905</v>
      </c>
      <c r="BC45" s="420">
        <f>SUM('MasterA1(current$)'!BC45*100)/106.913</f>
        <v>15.900779138177771</v>
      </c>
      <c r="BD45" s="420">
        <f>SUM('MasterA1(current$)'!BD45*100)/108.828</f>
        <v>14.702098724592934</v>
      </c>
      <c r="BE45" s="420">
        <f>SUM('MasterA1(current$)'!BE45*100)/109.998</f>
        <v>15.454826451390025</v>
      </c>
      <c r="BF45" s="634">
        <f>SUM('MasterA1(current$)'!BF45*100)/111.298</f>
        <v>14.375819870977017</v>
      </c>
      <c r="BG45" s="634">
        <f>SUM('MasterA1(current$)'!BG45*100)/113.198</f>
        <v>15.017933179031433</v>
      </c>
      <c r="BH45" s="634">
        <f>SUM('MasterA1(current$)'!BH45*100)/115.198</f>
        <v>14.757200645844547</v>
      </c>
      <c r="BI45" s="385">
        <f>(BG45-BF45)/BF45</f>
        <v>4.4666204349900242E-2</v>
      </c>
      <c r="BJ45" s="385">
        <f>(BH45-BG45)/BG45</f>
        <v>-1.7361412524522994E-2</v>
      </c>
      <c r="BK45" s="569">
        <f>BG45-BF45</f>
        <v>0.64211330805441591</v>
      </c>
      <c r="BL45" s="569">
        <f>BH45-BG45</f>
        <v>-0.26073253318688572</v>
      </c>
    </row>
    <row r="46" spans="1:64" ht="16.5" customHeight="1" thickBot="1">
      <c r="A46" s="404" t="s">
        <v>38</v>
      </c>
      <c r="B46" s="145">
        <f>SUM('MasterA1(current$)'!B46)/0.1756</f>
        <v>580.86560364464685</v>
      </c>
      <c r="C46" s="146">
        <f>SUM('MasterA1(current$)'!C46)/0.178</f>
        <v>651.68539325842698</v>
      </c>
      <c r="D46" s="146">
        <f>SUM('MasterA1(current$)'!D46)/0.1798</f>
        <v>700.77864293659627</v>
      </c>
      <c r="E46" s="485">
        <f>SUM('MasterA1(current$)'!E46)/0.182</f>
        <v>763.73626373626371</v>
      </c>
      <c r="F46" s="485">
        <f>SUM('MasterA1(current$)'!F46)/0.1842</f>
        <v>857.76330076004342</v>
      </c>
      <c r="G46" s="485">
        <f>SUM('MasterA1(current$)'!G46)/0.18702</f>
        <v>775.31814779168008</v>
      </c>
      <c r="H46" s="485">
        <f>SUM('MasterA1(current$)'!H46)/0.19227</f>
        <v>858.16820096738968</v>
      </c>
      <c r="I46" s="485">
        <f>SUM('MasterA1(current$)'!I46)/0.19786</f>
        <v>945.11270595370456</v>
      </c>
      <c r="J46" s="485">
        <f>SUM('MasterA1(current$)'!J46)/0.20627</f>
        <v>955.05890337906624</v>
      </c>
      <c r="K46" s="485">
        <f>SUM('MasterA1(current$)'!K46)/0.21642</f>
        <v>937.99094353571763</v>
      </c>
      <c r="L46" s="485">
        <f>SUM('MasterA1(current$)'!L46)/0.22784</f>
        <v>974.36797752808991</v>
      </c>
      <c r="M46" s="485">
        <f>SUM('MasterA1(current$)'!M46)/0.23941</f>
        <v>1069.2953510713837</v>
      </c>
      <c r="N46" s="485">
        <f>SUM('MasterA1(current$)'!N46)/0.24978</f>
        <v>1189.0463607975018</v>
      </c>
      <c r="O46" s="485">
        <f>SUM('MasterA1(current$)'!O46)/0.26337</f>
        <v>2137.6770323119567</v>
      </c>
      <c r="P46" s="485">
        <f>SUM('MasterA1(current$)'!P46)/0.28703</f>
        <v>2156.568999756123</v>
      </c>
      <c r="Q46" s="485">
        <f>SUM('MasterA1(current$)'!Q46)/0.31361</f>
        <v>2299.033831829342</v>
      </c>
      <c r="R46" s="485">
        <f>SUM('MasterA1(current$)'!R46)/0.33083</f>
        <v>2360.7290753559228</v>
      </c>
      <c r="S46" s="485">
        <f>SUM('MasterA1(current$)'!S46)/0.35135</f>
        <v>2578.6253024050093</v>
      </c>
      <c r="T46" s="493">
        <f>SUM('MasterA1(current$)'!T46)/0.37602</f>
        <v>2768.4697622466888</v>
      </c>
      <c r="U46" s="485">
        <f>SUM('MasterA1(current$)'!U46)/0.40706</f>
        <v>2748.9804942760284</v>
      </c>
      <c r="V46" s="493">
        <f>SUM('MasterA1(current$)'!V46)/0.44377</f>
        <v>2821.2812943641975</v>
      </c>
      <c r="W46" s="493">
        <f>SUM('MasterA1(current$)'!W46)/0.4852</f>
        <v>2718.4666117065126</v>
      </c>
      <c r="X46" s="493">
        <f>SUM('MasterA1(current$)'!X46)/0.5153</f>
        <v>2470.4055889772949</v>
      </c>
      <c r="Y46" s="493">
        <f>SUM('MasterA1(current$)'!Y46)/0.53565</f>
        <v>2285.0742089050686</v>
      </c>
      <c r="Z46" s="493">
        <f>SUM('MasterA1(current$)'!Z46)/0.55466</f>
        <v>2518.6600800490387</v>
      </c>
      <c r="AA46" s="493">
        <f>SUM('MasterA1(current$)'!AA46)/0.5724</f>
        <v>2512.2292103424179</v>
      </c>
      <c r="AB46" s="493">
        <f>SUM('MasterA1(current$)'!AB46)/0.58395</f>
        <v>2378.628307218084</v>
      </c>
      <c r="AC46" s="493">
        <f>SUM('MasterA1(current$)'!AC46)/0.59885</f>
        <v>2458.0445854554564</v>
      </c>
      <c r="AD46" s="493">
        <f>SUM('MasterA1(current$)'!AD46)/0.61982</f>
        <v>2574.9411119357233</v>
      </c>
      <c r="AE46" s="493">
        <f>SUM('MasterA1(current$)'!AE46)/0.64392</f>
        <v>2660.2683563175547</v>
      </c>
      <c r="AF46" s="493">
        <f>SUM('MasterA1(current$)'!AF46)/0.66773</f>
        <v>2754.1071990175669</v>
      </c>
      <c r="AG46" s="493">
        <f>SUM('MasterA1(current$)'!AG46)/0.68996</f>
        <v>2971.1867354629253</v>
      </c>
      <c r="AH46" s="493">
        <f>SUM('MasterA1(current$)'!AH46)/0.70569</f>
        <v>3228.0463092859468</v>
      </c>
      <c r="AI46" s="493">
        <f>SUM('MasterA1(current$)'!AI46)/0.72248</f>
        <v>3355.1101760602369</v>
      </c>
      <c r="AJ46" s="493">
        <f>SUM('MasterA1(current$)'!AJ46)/0.73785</f>
        <v>3480.3821915023377</v>
      </c>
      <c r="AK46" s="493">
        <f>SUM('MasterA1(current$)'!AK46)/0.75324</f>
        <v>3557.9629334607826</v>
      </c>
      <c r="AL46" s="493">
        <f>SUM('MasterA1(current$)'!AL46)/0.76699</f>
        <v>3586.7481974993157</v>
      </c>
      <c r="AM46" s="493">
        <f>SUM('MasterA1(current$)'!AM46)/0.78012</f>
        <v>3795.5699123211812</v>
      </c>
      <c r="AN46" s="493">
        <f>SUM('MasterA1(current$)'!AN46)/0.78859</f>
        <v>4071.8243954399622</v>
      </c>
      <c r="AO46" s="493">
        <f>SUM('MasterA1(current$)'!AO46)/0.80065</f>
        <v>4165.3656404171616</v>
      </c>
      <c r="AP46" s="147">
        <f>SUM('MasterA1(current$)'!AP46)/0.81887</f>
        <v>4457.3619744281759</v>
      </c>
      <c r="AQ46" s="147">
        <f>SUM('MasterA1(current$)'!AQ46)/0.83754</f>
        <v>5036.1773766029091</v>
      </c>
      <c r="AR46" s="147">
        <f>SUM('MasterA1(current$)'!AR46)/0.85039</f>
        <v>5190.5596255835562</v>
      </c>
      <c r="AS46" s="147">
        <f>SUM('MasterA1(current$)'!AS46)/0.86735</f>
        <v>5892.6615553121583</v>
      </c>
      <c r="AT46" s="147">
        <f>SUM('MasterA1(current$)'!AT46)/0.8912</f>
        <v>5855.0269299820466</v>
      </c>
      <c r="AU46" s="147">
        <f>SUM('MasterA1(current$)'!AU46)/0.91988</f>
        <v>5881.2018958994649</v>
      </c>
      <c r="AV46" s="147">
        <f>SUM('MasterA1(current$)'!AV46)/0.94814</f>
        <v>6495.8761364355478</v>
      </c>
      <c r="AW46" s="147">
        <f>SUM('MasterA1(current$)'!AW46)/0.97337</f>
        <v>6011.0749252596652</v>
      </c>
      <c r="AX46" s="670">
        <f>SUM('MasterA1(current$)'!AX46*100)/99.246</f>
        <v>6262.2171170626525</v>
      </c>
      <c r="AY46" s="436">
        <f>SUM('MasterA1(current$)'!AY46)</f>
        <v>6833</v>
      </c>
      <c r="AZ46" s="436">
        <f>SUM('MasterA1(current$)'!AZ46*100)/101.221</f>
        <v>7531.0459292044143</v>
      </c>
      <c r="BA46" s="436">
        <f>SUM('MasterA1(current$)'!BA46*100)/103.311</f>
        <v>7663.269158172895</v>
      </c>
      <c r="BB46" s="436">
        <f>SUM('MasterA1(current$)'!BB46*100)/105.214</f>
        <v>7503.7542532362613</v>
      </c>
      <c r="BC46" s="436">
        <f>SUM('MasterA1(current$)'!BC46*100)/106.913</f>
        <v>7464.0127954505069</v>
      </c>
      <c r="BD46" s="436">
        <f>SUM('MasterA1(current$)'!BD46*100)/108.828</f>
        <v>7705.7374940272721</v>
      </c>
      <c r="BE46" s="436">
        <f>SUM('MasterA1(current$)'!BE46*100)/109.998</f>
        <v>8781.9778541428022</v>
      </c>
      <c r="BF46" s="651">
        <f>SUM('MasterA1(current$)'!BF46*100)/111.298</f>
        <v>8862.6929504573309</v>
      </c>
      <c r="BG46" s="651">
        <f>SUM('MasterA1(current$)'!BG46*100)/113.198</f>
        <v>8714.8182830085334</v>
      </c>
      <c r="BH46" s="651">
        <f>SUM('MasterA1(current$)'!BH46*100)/115.198</f>
        <v>8952.412368270283</v>
      </c>
      <c r="BI46" s="422">
        <f>(BG46-BF46)/BF46</f>
        <v>-1.6685071713013241E-2</v>
      </c>
      <c r="BJ46" s="422">
        <f>(BH46-BG46)/BG46</f>
        <v>2.7263228852974688E-2</v>
      </c>
      <c r="BK46" s="574">
        <f>BG46-BF46</f>
        <v>-147.87466744879748</v>
      </c>
      <c r="BL46" s="574">
        <f>BH46-BG46</f>
        <v>237.59408526174957</v>
      </c>
    </row>
    <row r="47" spans="1:64" ht="16.5" customHeight="1">
      <c r="A47" s="128"/>
      <c r="B47" s="58"/>
      <c r="C47" s="59"/>
      <c r="D47" s="59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344"/>
      <c r="U47" s="344"/>
      <c r="V47" s="344"/>
      <c r="W47" s="344"/>
      <c r="X47" s="344"/>
      <c r="Y47" s="344"/>
      <c r="Z47" s="344"/>
      <c r="AA47" s="344"/>
      <c r="AB47" s="344"/>
      <c r="AC47" s="344"/>
      <c r="AD47" s="344"/>
      <c r="AE47" s="344"/>
      <c r="AF47" s="344"/>
      <c r="AG47" s="344"/>
      <c r="AH47" s="344"/>
      <c r="AI47" s="344"/>
      <c r="AJ47" s="344"/>
      <c r="AK47" s="344"/>
      <c r="AL47" s="344"/>
      <c r="AM47" s="344"/>
      <c r="AN47" s="344"/>
      <c r="AO47" s="344"/>
      <c r="AP47" s="172"/>
      <c r="AQ47" s="172"/>
      <c r="AR47" s="172"/>
      <c r="AS47" s="498"/>
      <c r="AT47" s="498"/>
      <c r="AU47" s="498"/>
      <c r="AV47" s="498"/>
      <c r="AW47" s="498"/>
      <c r="AX47" s="498"/>
      <c r="AY47" s="503"/>
      <c r="AZ47" s="416"/>
      <c r="BA47" s="416"/>
      <c r="BB47" s="416"/>
      <c r="BC47" s="416"/>
      <c r="BD47" s="416"/>
      <c r="BE47" s="417"/>
      <c r="BF47" s="539"/>
      <c r="BG47" s="539"/>
      <c r="BH47" s="539"/>
      <c r="BI47" s="329"/>
      <c r="BJ47" s="329"/>
      <c r="BK47" s="570"/>
      <c r="BL47" s="570"/>
    </row>
    <row r="48" spans="1:64" ht="16.5" customHeight="1">
      <c r="A48" s="167" t="s">
        <v>72</v>
      </c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61"/>
      <c r="S48" s="561"/>
      <c r="T48" s="561"/>
      <c r="U48" s="561"/>
      <c r="V48" s="561"/>
      <c r="W48" s="561"/>
      <c r="X48" s="561"/>
      <c r="Y48" s="561"/>
      <c r="Z48" s="561"/>
      <c r="AA48" s="561"/>
      <c r="AB48" s="561"/>
      <c r="AC48" s="561"/>
      <c r="AD48" s="561"/>
      <c r="AE48" s="561"/>
      <c r="AF48" s="561"/>
      <c r="AG48" s="561"/>
      <c r="AH48" s="561"/>
      <c r="AI48" s="561"/>
      <c r="AJ48" s="561"/>
      <c r="AK48" s="561"/>
      <c r="AL48" s="561"/>
      <c r="AM48" s="561"/>
      <c r="AN48" s="561"/>
      <c r="AO48" s="561"/>
      <c r="AP48" s="561"/>
      <c r="AQ48" s="561"/>
      <c r="AR48" s="561"/>
      <c r="AS48" s="561"/>
      <c r="AT48" s="561"/>
      <c r="AU48" s="561"/>
      <c r="AV48" s="561"/>
      <c r="AW48" s="561"/>
      <c r="AX48" s="561"/>
      <c r="AY48" s="561"/>
      <c r="AZ48" s="561"/>
      <c r="BA48" s="561"/>
      <c r="BB48" s="561"/>
      <c r="BC48" s="561"/>
      <c r="BD48" s="561"/>
      <c r="BE48" s="561"/>
      <c r="BF48" s="652"/>
      <c r="BG48" s="652"/>
      <c r="BH48" s="652"/>
      <c r="BI48" s="329"/>
      <c r="BJ48" s="329"/>
      <c r="BK48" s="570"/>
      <c r="BL48" s="570"/>
    </row>
    <row r="49" spans="1:88" ht="11.25" customHeight="1">
      <c r="A49" s="128"/>
      <c r="B49" s="58"/>
      <c r="C49" s="59"/>
      <c r="D49" s="59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344"/>
      <c r="U49" s="344"/>
      <c r="V49" s="344"/>
      <c r="W49" s="344"/>
      <c r="X49" s="344"/>
      <c r="Y49" s="344"/>
      <c r="Z49" s="344"/>
      <c r="AA49" s="344"/>
      <c r="AB49" s="344"/>
      <c r="AC49" s="344"/>
      <c r="AD49" s="344"/>
      <c r="AE49" s="344"/>
      <c r="AF49" s="344"/>
      <c r="AG49" s="344"/>
      <c r="AH49" s="344"/>
      <c r="AI49" s="344"/>
      <c r="AJ49" s="344"/>
      <c r="AK49" s="344"/>
      <c r="AL49" s="344"/>
      <c r="AM49" s="344"/>
      <c r="AN49" s="344"/>
      <c r="AO49" s="344"/>
      <c r="AP49" s="172"/>
      <c r="AQ49" s="172"/>
      <c r="AR49" s="172"/>
      <c r="AS49" s="172"/>
      <c r="AT49" s="172"/>
      <c r="AU49" s="172"/>
      <c r="AV49" s="172"/>
      <c r="AW49" s="172"/>
      <c r="AX49" s="98"/>
      <c r="AY49" s="416"/>
      <c r="AZ49" s="416"/>
      <c r="BA49" s="416"/>
      <c r="BB49" s="416"/>
      <c r="BC49" s="416"/>
      <c r="BD49" s="416"/>
      <c r="BE49" s="416"/>
      <c r="BF49" s="631"/>
      <c r="BG49" s="631"/>
      <c r="BH49" s="631"/>
      <c r="BI49" s="329"/>
      <c r="BJ49" s="329"/>
      <c r="BK49" s="570"/>
      <c r="BL49" s="570"/>
    </row>
    <row r="50" spans="1:88" ht="14.25" customHeight="1">
      <c r="A50" s="132" t="s">
        <v>92</v>
      </c>
      <c r="B50" s="54"/>
      <c r="C50" s="55"/>
      <c r="D50" s="55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9"/>
      <c r="AQ50" s="339"/>
      <c r="AR50" s="339"/>
      <c r="AS50" s="339"/>
      <c r="AT50" s="339"/>
      <c r="AU50" s="339"/>
      <c r="AV50" s="339"/>
      <c r="AW50" s="339"/>
      <c r="AX50" s="98"/>
      <c r="AY50" s="416"/>
      <c r="AZ50" s="416"/>
      <c r="BA50" s="416"/>
      <c r="BB50" s="416"/>
      <c r="BC50" s="416"/>
      <c r="BD50" s="416"/>
      <c r="BE50" s="416"/>
      <c r="BF50" s="631"/>
      <c r="BG50" s="631"/>
      <c r="BH50" s="631"/>
      <c r="BI50" s="329"/>
      <c r="BJ50" s="329"/>
      <c r="BK50" s="570"/>
      <c r="BL50" s="570"/>
    </row>
    <row r="51" spans="1:88" ht="10.5" customHeight="1">
      <c r="A51" s="121" t="s">
        <v>93</v>
      </c>
      <c r="B51" s="102" t="s">
        <v>3</v>
      </c>
      <c r="C51" s="102" t="s">
        <v>3</v>
      </c>
      <c r="D51" s="102" t="s">
        <v>3</v>
      </c>
      <c r="E51" s="102" t="s">
        <v>3</v>
      </c>
      <c r="F51" s="102" t="s">
        <v>3</v>
      </c>
      <c r="G51" s="102" t="s">
        <v>3</v>
      </c>
      <c r="H51" s="102" t="s">
        <v>3</v>
      </c>
      <c r="I51" s="102" t="s">
        <v>3</v>
      </c>
      <c r="J51" s="102" t="s">
        <v>3</v>
      </c>
      <c r="K51" s="102" t="s">
        <v>3</v>
      </c>
      <c r="L51" s="102" t="s">
        <v>3</v>
      </c>
      <c r="M51" s="102" t="s">
        <v>3</v>
      </c>
      <c r="N51" s="102" t="s">
        <v>3</v>
      </c>
      <c r="O51" s="102" t="s">
        <v>3</v>
      </c>
      <c r="P51" s="102" t="s">
        <v>3</v>
      </c>
      <c r="Q51" s="102" t="s">
        <v>3</v>
      </c>
      <c r="R51" s="102" t="s">
        <v>3</v>
      </c>
      <c r="S51" s="102" t="s">
        <v>3</v>
      </c>
      <c r="T51" s="102" t="s">
        <v>3</v>
      </c>
      <c r="U51" s="102" t="s">
        <v>3</v>
      </c>
      <c r="V51" s="102" t="s">
        <v>3</v>
      </c>
      <c r="W51" s="102" t="s">
        <v>3</v>
      </c>
      <c r="X51" s="102" t="s">
        <v>3</v>
      </c>
      <c r="Y51" s="102" t="s">
        <v>3</v>
      </c>
      <c r="Z51" s="102" t="s">
        <v>3</v>
      </c>
      <c r="AA51" s="102" t="s">
        <v>3</v>
      </c>
      <c r="AB51" s="102" t="s">
        <v>3</v>
      </c>
      <c r="AC51" s="102" t="s">
        <v>3</v>
      </c>
      <c r="AD51" s="102" t="s">
        <v>3</v>
      </c>
      <c r="AE51" s="102" t="s">
        <v>3</v>
      </c>
      <c r="AF51" s="102" t="s">
        <v>3</v>
      </c>
      <c r="AG51" s="102" t="s">
        <v>3</v>
      </c>
      <c r="AH51" s="102" t="s">
        <v>3</v>
      </c>
      <c r="AI51" s="102" t="s">
        <v>3</v>
      </c>
      <c r="AJ51" s="102" t="s">
        <v>3</v>
      </c>
      <c r="AK51" s="102" t="s">
        <v>3</v>
      </c>
      <c r="AL51" s="102" t="s">
        <v>3</v>
      </c>
      <c r="AM51" s="102" t="s">
        <v>3</v>
      </c>
      <c r="AN51" s="102" t="s">
        <v>3</v>
      </c>
      <c r="AO51" s="102" t="s">
        <v>3</v>
      </c>
      <c r="AP51" s="102" t="s">
        <v>3</v>
      </c>
      <c r="AQ51" s="102" t="s">
        <v>3</v>
      </c>
      <c r="AR51" s="102" t="s">
        <v>3</v>
      </c>
      <c r="AS51" s="102" t="s">
        <v>3</v>
      </c>
      <c r="AT51" s="102" t="s">
        <v>3</v>
      </c>
      <c r="AU51" s="332">
        <f>SUM('MasterA1(current$)'!AU51)/0.91988</f>
        <v>56.529112492933862</v>
      </c>
      <c r="AV51" s="170" t="s">
        <v>3</v>
      </c>
      <c r="AW51" s="170" t="s">
        <v>3</v>
      </c>
      <c r="AX51" s="342" t="s">
        <v>3</v>
      </c>
      <c r="AY51" s="293" t="s">
        <v>3</v>
      </c>
      <c r="AZ51" s="293" t="s">
        <v>3</v>
      </c>
      <c r="BA51" s="293" t="s">
        <v>3</v>
      </c>
      <c r="BB51" s="293" t="s">
        <v>3</v>
      </c>
      <c r="BC51" s="293" t="s">
        <v>3</v>
      </c>
      <c r="BD51" s="293" t="s">
        <v>3</v>
      </c>
      <c r="BE51" s="293" t="s">
        <v>3</v>
      </c>
      <c r="BF51" s="314" t="s">
        <v>3</v>
      </c>
      <c r="BG51" s="314" t="s">
        <v>3</v>
      </c>
      <c r="BH51" s="314" t="s">
        <v>3</v>
      </c>
      <c r="BI51" s="419" t="s">
        <v>9</v>
      </c>
      <c r="BJ51" s="419" t="s">
        <v>9</v>
      </c>
      <c r="BK51" s="573" t="s">
        <v>9</v>
      </c>
      <c r="BL51" s="573" t="s">
        <v>9</v>
      </c>
    </row>
    <row r="52" spans="1:88" ht="11.25" customHeight="1">
      <c r="A52" s="121" t="s">
        <v>94</v>
      </c>
      <c r="B52" s="54">
        <f>SUM('MasterA1(current$)'!B52)/0.1756</f>
        <v>353.0751708428246</v>
      </c>
      <c r="C52" s="55">
        <f>SUM('MasterA1(current$)'!C52)/0.178</f>
        <v>382.02247191011236</v>
      </c>
      <c r="D52" s="55">
        <f>SUM('MasterA1(current$)'!D52)/0.1798</f>
        <v>411.56840934371525</v>
      </c>
      <c r="E52" s="33">
        <f>SUM('MasterA1(current$)'!E52)/0.182</f>
        <v>439.56043956043959</v>
      </c>
      <c r="F52" s="33">
        <f>SUM('MasterA1(current$)'!F52)/0.1842</f>
        <v>407.16612377850163</v>
      </c>
      <c r="G52" s="33">
        <f>SUM('MasterA1(current$)'!G52)/0.18702</f>
        <v>427.7617367126511</v>
      </c>
      <c r="H52" s="33">
        <f>SUM('MasterA1(current$)'!H52)/0.19227</f>
        <v>441.25448587923233</v>
      </c>
      <c r="I52" s="33">
        <f>SUM('MasterA1(current$)'!I52)/0.19786</f>
        <v>439.70484180733848</v>
      </c>
      <c r="J52" s="33">
        <f>SUM('MasterA1(current$)'!J52)/0.20627</f>
        <v>559.94570223493474</v>
      </c>
      <c r="K52" s="33">
        <f>SUM('MasterA1(current$)'!K52)/0.21642</f>
        <v>665.37288605489323</v>
      </c>
      <c r="L52" s="33">
        <f>SUM('MasterA1(current$)'!L52)/0.22784</f>
        <v>769.82970505617982</v>
      </c>
      <c r="M52" s="33">
        <f>SUM('MasterA1(current$)'!M52)/0.23941</f>
        <v>910.71383818553932</v>
      </c>
      <c r="N52" s="33">
        <f>SUM('MasterA1(current$)'!N52)/0.24978</f>
        <v>1054.1716710705421</v>
      </c>
      <c r="O52" s="33">
        <f>SUM('MasterA1(current$)'!O52)/0.26337</f>
        <v>1306.9256179519307</v>
      </c>
      <c r="P52" s="33">
        <f>SUM('MasterA1(current$)'!P52)/0.28703</f>
        <v>1314.2737692924084</v>
      </c>
      <c r="Q52" s="33">
        <f>SUM('MasterA1(current$)'!Q52)/0.31361</f>
        <v>1670.6833328018877</v>
      </c>
      <c r="R52" s="33">
        <f>SUM('MasterA1(current$)'!R52)/0.33083</f>
        <v>2164.8701750143578</v>
      </c>
      <c r="S52" s="33">
        <f>SUM('MasterA1(current$)'!S52)/0.35135</f>
        <v>1846.907641952469</v>
      </c>
      <c r="T52" s="33">
        <f>SUM('MasterA1(current$)'!T52)/0.37602</f>
        <v>1829.6181054199242</v>
      </c>
      <c r="U52" s="33">
        <f>SUM('MasterA1(current$)'!U52)/0.40706</f>
        <v>1737.7929543556234</v>
      </c>
      <c r="V52" s="33">
        <f>SUM('MasterA1(current$)'!V52)/0.44377</f>
        <v>1885.1206706176622</v>
      </c>
      <c r="W52" s="33">
        <f>SUM('MasterA1(current$)'!W52)/0.4852</f>
        <v>1389.853668590272</v>
      </c>
      <c r="X52" s="33">
        <f>SUM('MasterA1(current$)'!X52)/0.5153</f>
        <v>1286.9124781680573</v>
      </c>
      <c r="Y52" s="33">
        <f>SUM('MasterA1(current$)'!Y52)/0.53565</f>
        <v>1339.7311677401287</v>
      </c>
      <c r="Z52" s="33">
        <f>SUM('MasterA1(current$)'!Z52)/0.55466</f>
        <v>1376.5261601701943</v>
      </c>
      <c r="AA52" s="33">
        <f>SUM('MasterA1(current$)'!AA52)/0.5724</f>
        <v>1416.993361285814</v>
      </c>
      <c r="AB52" s="33">
        <f>SUM('MasterA1(current$)'!AB52)/0.58395</f>
        <v>1530.4940491480436</v>
      </c>
      <c r="AC52" s="33">
        <f>SUM('MasterA1(current$)'!AC52)/0.59885</f>
        <v>1896.6285380312265</v>
      </c>
      <c r="AD52" s="33">
        <f>SUM('MasterA1(current$)'!AD52)/0.61982</f>
        <v>2355.0159723790775</v>
      </c>
      <c r="AE52" s="33">
        <f>SUM('MasterA1(current$)'!AE52)/0.64392</f>
        <v>2384.7015157162377</v>
      </c>
      <c r="AF52" s="33">
        <f>SUM('MasterA1(current$)'!AF52)/0.66773</f>
        <v>2492.2768184745328</v>
      </c>
      <c r="AG52" s="33">
        <f>SUM('MasterA1(current$)'!AG52)/0.68996</f>
        <v>2845.8142501014549</v>
      </c>
      <c r="AH52" s="33">
        <f>SUM('MasterA1(current$)'!AH52)/0.70569</f>
        <v>3174.9762643653726</v>
      </c>
      <c r="AI52" s="33">
        <f>SUM('MasterA1(current$)'!AI52)/0.72248</f>
        <v>2753.3827926032554</v>
      </c>
      <c r="AJ52" s="33">
        <f>SUM('MasterA1(current$)'!AJ52)/0.73785</f>
        <v>2955.4055702378532</v>
      </c>
      <c r="AK52" s="33">
        <f>SUM('MasterA1(current$)'!AK52)/0.75324</f>
        <v>2839.7323562211245</v>
      </c>
      <c r="AL52" s="33">
        <f>SUM('MasterA1(current$)'!AL52)/0.76699</f>
        <v>2937.4568116924602</v>
      </c>
      <c r="AM52" s="33">
        <f>SUM('MasterA1(current$)'!AM52)/0.78012</f>
        <v>2790.5963185150999</v>
      </c>
      <c r="AN52" s="33">
        <f>SUM('MasterA1(current$)'!AN52)/0.78859</f>
        <v>3011.7044344970136</v>
      </c>
      <c r="AO52" s="33">
        <f>SUM('MasterA1(current$)'!AO52)/0.80065</f>
        <v>3248.6105039655281</v>
      </c>
      <c r="AP52" s="339">
        <f>SUM('MasterA1(current$)'!AP52)/0.81887</f>
        <v>3421.788562287054</v>
      </c>
      <c r="AQ52" s="339">
        <f>SUM('MasterA1(current$)'!AQ52)/0.83754</f>
        <v>3612.9617689901379</v>
      </c>
      <c r="AR52" s="332">
        <f>SUM('MasterA1(current$)'!AR52)/0.85039</f>
        <v>6347.6757722927132</v>
      </c>
      <c r="AS52" s="332">
        <f>SUM('MasterA1(current$)'!AS52)/0.86735</f>
        <v>6103.649045944544</v>
      </c>
      <c r="AT52" s="332">
        <f>SUM('MasterA1(current$)'!AT52)/0.8912</f>
        <v>7260.9964093357275</v>
      </c>
      <c r="AU52" s="332">
        <f>SUM('MasterA1(current$)'!AU52)/0.91988</f>
        <v>7552.0720093925293</v>
      </c>
      <c r="AV52" s="170">
        <f>SUM('MasterA1(current$)'!AV52)/0.94814</f>
        <v>7821.6297171303813</v>
      </c>
      <c r="AW52" s="170">
        <f>SUM('MasterA1(current$)'!AW52)/0.97337</f>
        <v>8490.091126704132</v>
      </c>
      <c r="AX52" s="342">
        <f>SUM('MasterA1(current$)'!AX52*100)/99.246</f>
        <v>9541.9462749128434</v>
      </c>
      <c r="AY52" s="417">
        <f>SUM('MasterA1(current$)'!AY52)</f>
        <v>10659</v>
      </c>
      <c r="AZ52" s="293">
        <f>SUM('MasterA1(current$)'!AZ52*100)/101.221</f>
        <v>10813.961529722093</v>
      </c>
      <c r="BA52" s="293">
        <f>SUM('MasterA1(current$)'!BA52*100)/103.311</f>
        <v>10844.924548208806</v>
      </c>
      <c r="BB52" s="293">
        <f>SUM('MasterA1(current$)'!BB52*100)/105.214</f>
        <v>11175.318873914119</v>
      </c>
      <c r="BC52" s="293">
        <f>SUM('MasterA1(current$)'!BC52*100)/106.913</f>
        <v>10675.034841413111</v>
      </c>
      <c r="BD52" s="293">
        <f>SUM('MasterA1(current$)'!BD52*100)/108.828</f>
        <v>10134.340427095967</v>
      </c>
      <c r="BE52" s="293">
        <f>SUM('MasterA1(current$)'!BE52*100)/109.998</f>
        <v>10688.376152293678</v>
      </c>
      <c r="BF52" s="314">
        <f>SUM('MasterA1(current$)'!BF52*100)/111.298</f>
        <v>11242.789627845963</v>
      </c>
      <c r="BG52" s="314">
        <f>SUM('MasterA1(current$)'!BG52*100)/113.198</f>
        <v>12538.207388823124</v>
      </c>
      <c r="BH52" s="314">
        <f>SUM('MasterA1(current$)'!BH52*100)/115.198</f>
        <v>13784.093473845032</v>
      </c>
      <c r="BI52" s="385">
        <f t="shared" ref="BI52:BJ57" si="3">(BG52-BF52)/BF52</f>
        <v>0.11522209379144578</v>
      </c>
      <c r="BJ52" s="385">
        <f t="shared" si="3"/>
        <v>9.9367162018114519E-2</v>
      </c>
      <c r="BK52" s="569">
        <f t="shared" ref="BK52:BL57" si="4">BG52-BF52</f>
        <v>1295.4177609771614</v>
      </c>
      <c r="BL52" s="569">
        <f t="shared" si="4"/>
        <v>1245.886085021908</v>
      </c>
    </row>
    <row r="53" spans="1:88" ht="10.5" customHeight="1">
      <c r="A53" s="121" t="s">
        <v>95</v>
      </c>
      <c r="B53" s="54">
        <f>SUM('MasterA1(current$)'!B53)/0.1756</f>
        <v>216.40091116173119</v>
      </c>
      <c r="C53" s="55">
        <f>SUM('MasterA1(current$)'!C53)/0.178</f>
        <v>224.71910112359552</v>
      </c>
      <c r="D53" s="55">
        <f>SUM('MasterA1(current$)'!D53)/0.1798</f>
        <v>233.59288097886542</v>
      </c>
      <c r="E53" s="33">
        <f>SUM('MasterA1(current$)'!E53)/0.182</f>
        <v>241.75824175824175</v>
      </c>
      <c r="F53" s="33">
        <f>SUM('MasterA1(current$)'!F53)/0.1842</f>
        <v>238.87079261672096</v>
      </c>
      <c r="G53" s="33">
        <f>SUM('MasterA1(current$)'!G53)/0.18702</f>
        <v>256.65704202759065</v>
      </c>
      <c r="H53" s="33">
        <f>SUM('MasterA1(current$)'!H53)/0.19227</f>
        <v>270.45300878972279</v>
      </c>
      <c r="I53" s="33">
        <f>SUM('MasterA1(current$)'!I53)/0.19786</f>
        <v>252.70393207318304</v>
      </c>
      <c r="J53" s="33">
        <f>SUM('MasterA1(current$)'!J53)/0.20627</f>
        <v>256.94478111213459</v>
      </c>
      <c r="K53" s="33">
        <f>SUM('MasterA1(current$)'!K53)/0.21642</f>
        <v>258.75612235468071</v>
      </c>
      <c r="L53" s="33">
        <f>SUM('MasterA1(current$)'!L53)/0.22784</f>
        <v>289.67696629213486</v>
      </c>
      <c r="M53" s="33">
        <f>SUM('MasterA1(current$)'!M53)/0.23941</f>
        <v>342.50866714005264</v>
      </c>
      <c r="N53" s="33">
        <f>SUM('MasterA1(current$)'!N53)/0.24978</f>
        <v>404.35583313315715</v>
      </c>
      <c r="O53" s="33">
        <f>SUM('MasterA1(current$)'!O53)/0.26337</f>
        <v>394.88172532938455</v>
      </c>
      <c r="P53" s="33">
        <f>SUM('MasterA1(current$)'!P53)/0.28703</f>
        <v>351.87959446747726</v>
      </c>
      <c r="Q53" s="33">
        <f>SUM('MasterA1(current$)'!Q53)/0.31361</f>
        <v>369.88616434424921</v>
      </c>
      <c r="R53" s="33">
        <f>SUM('MasterA1(current$)'!R53)/0.33083</f>
        <v>525.94988362603146</v>
      </c>
      <c r="S53" s="33">
        <f>SUM('MasterA1(current$)'!S53)/0.35135</f>
        <v>603.38693610360042</v>
      </c>
      <c r="T53" s="33">
        <f>SUM('MasterA1(current$)'!T53)/0.37602</f>
        <v>595.71299398968142</v>
      </c>
      <c r="U53" s="33">
        <f>SUM('MasterA1(current$)'!U53)/0.40706</f>
        <v>596.96359259077292</v>
      </c>
      <c r="V53" s="33">
        <f>SUM('MasterA1(current$)'!V53)/0.44377</f>
        <v>572.36856930391866</v>
      </c>
      <c r="W53" s="33">
        <f>SUM('MasterA1(current$)'!W53)/0.4852</f>
        <v>667.76586974443524</v>
      </c>
      <c r="X53" s="33">
        <f>SUM('MasterA1(current$)'!X53)/0.5153</f>
        <v>601.59130603531923</v>
      </c>
      <c r="Y53" s="33">
        <f>SUM('MasterA1(current$)'!Y53)/0.53565</f>
        <v>659.01241482311218</v>
      </c>
      <c r="Z53" s="33">
        <f>SUM('MasterA1(current$)'!Z53)/0.55466</f>
        <v>612.98813687664506</v>
      </c>
      <c r="AA53" s="33">
        <f>SUM('MasterA1(current$)'!AA53)/0.5724</f>
        <v>649.89517819706498</v>
      </c>
      <c r="AB53" s="33">
        <f>SUM('MasterA1(current$)'!AB53)/0.58395</f>
        <v>671.29035020121592</v>
      </c>
      <c r="AC53" s="33">
        <f>SUM('MasterA1(current$)'!AC53)/0.59885</f>
        <v>846.62269349586711</v>
      </c>
      <c r="AD53" s="33">
        <f>SUM('MasterA1(current$)'!AD53)/0.61982</f>
        <v>997.06366364428379</v>
      </c>
      <c r="AE53" s="33">
        <f>SUM('MasterA1(current$)'!AE53)/0.64392</f>
        <v>1334.0166480308112</v>
      </c>
      <c r="AF53" s="33">
        <f>SUM('MasterA1(current$)'!AF53)/0.66773</f>
        <v>1177.1224896290416</v>
      </c>
      <c r="AG53" s="33">
        <f>SUM('MasterA1(current$)'!AG53)/0.68996</f>
        <v>1388.4862890602353</v>
      </c>
      <c r="AH53" s="33">
        <f>SUM('MasterA1(current$)'!AH53)/0.70569</f>
        <v>1538.9193555243803</v>
      </c>
      <c r="AI53" s="33">
        <f>SUM('MasterA1(current$)'!AI53)/0.72248</f>
        <v>1788.2847968109843</v>
      </c>
      <c r="AJ53" s="33">
        <f>SUM('MasterA1(current$)'!AJ53)/0.73785</f>
        <v>1667.0054889205123</v>
      </c>
      <c r="AK53" s="33">
        <f>SUM('MasterA1(current$)'!AK53)/0.75324</f>
        <v>1859.9649514099092</v>
      </c>
      <c r="AL53" s="33">
        <f>SUM('MasterA1(current$)'!AL53)/0.76699</f>
        <v>2126.4944784156251</v>
      </c>
      <c r="AM53" s="33">
        <f>SUM('MasterA1(current$)'!AM53)/0.78012</f>
        <v>2641.9012459621595</v>
      </c>
      <c r="AN53" s="33">
        <f>SUM('MasterA1(current$)'!AN53)/0.78859</f>
        <v>3969.1094231476432</v>
      </c>
      <c r="AO53" s="33">
        <f>SUM('MasterA1(current$)'!AO53)/0.80065</f>
        <v>3738.2127021794795</v>
      </c>
      <c r="AP53" s="339">
        <f>SUM('MasterA1(current$)'!AP53)/0.81887</f>
        <v>4097.1094312894602</v>
      </c>
      <c r="AQ53" s="339">
        <f>SUM('MasterA1(current$)'!AQ53)/0.83754</f>
        <v>3814.7431764453045</v>
      </c>
      <c r="AR53" s="339">
        <f>SUM('MasterA1(current$)'!AR53)/0.85039</f>
        <v>3279.6716800526819</v>
      </c>
      <c r="AS53" s="339">
        <f>SUM('MasterA1(current$)'!AS53)/0.86735</f>
        <v>2557.2145039488096</v>
      </c>
      <c r="AT53" s="339">
        <f>SUM('MasterA1(current$)'!AT53)/0.8912</f>
        <v>3755.6104129263913</v>
      </c>
      <c r="AU53" s="339">
        <f>SUM('MasterA1(current$)'!AU53)/0.91988</f>
        <v>3541.7663173457408</v>
      </c>
      <c r="AV53" s="170">
        <f>SUM('MasterA1(current$)'!AV53)/0.94814</f>
        <v>3597.5699791170082</v>
      </c>
      <c r="AW53" s="170">
        <f>SUM('MasterA1(current$)'!AW53)/0.97337</f>
        <v>4169.0210300296912</v>
      </c>
      <c r="AX53" s="342">
        <f>SUM('MasterA1(current$)'!AX53*100)/99.246</f>
        <v>4789.1098885597403</v>
      </c>
      <c r="AY53" s="417">
        <f>SUM('MasterA1(current$)'!AY53)</f>
        <v>5372</v>
      </c>
      <c r="AZ53" s="293">
        <f>SUM('MasterA1(current$)'!AZ53*100)/101.221</f>
        <v>5581.8456644372209</v>
      </c>
      <c r="BA53" s="293">
        <f>SUM('MasterA1(current$)'!BA53*100)/103.311</f>
        <v>5658.6423517340845</v>
      </c>
      <c r="BB53" s="293">
        <f>SUM('MasterA1(current$)'!BB53*100)/105.214</f>
        <v>5858.5359362822437</v>
      </c>
      <c r="BC53" s="293">
        <f>SUM('MasterA1(current$)'!BC53*100)/106.913</f>
        <v>5475.4800632289807</v>
      </c>
      <c r="BD53" s="293">
        <f>SUM('MasterA1(current$)'!BD53*100)/108.828</f>
        <v>5306.5387584077625</v>
      </c>
      <c r="BE53" s="293">
        <f>SUM('MasterA1(current$)'!BE53*100)/109.998</f>
        <v>5420.0985472463135</v>
      </c>
      <c r="BF53" s="314">
        <f>SUM('MasterA1(current$)'!BF53*100)/111.298</f>
        <v>5868.029973584431</v>
      </c>
      <c r="BG53" s="314">
        <f>SUM('MasterA1(current$)'!BG53*100)/113.198</f>
        <v>5357.8685135779788</v>
      </c>
      <c r="BH53" s="314">
        <f>SUM('MasterA1(current$)'!BH53*100)/115.198</f>
        <v>6295.2481813920385</v>
      </c>
      <c r="BI53" s="385">
        <f t="shared" si="3"/>
        <v>-8.6939136695449573E-2</v>
      </c>
      <c r="BJ53" s="385">
        <f t="shared" si="3"/>
        <v>0.17495383946779214</v>
      </c>
      <c r="BK53" s="569">
        <f t="shared" si="4"/>
        <v>-510.16146000645222</v>
      </c>
      <c r="BL53" s="569">
        <f t="shared" si="4"/>
        <v>937.37966781405976</v>
      </c>
    </row>
    <row r="54" spans="1:88" ht="11.1" customHeight="1">
      <c r="A54" s="426" t="s">
        <v>96</v>
      </c>
      <c r="B54" s="54">
        <f>SUM('MasterA1(current$)'!B54)/0.1756</f>
        <v>256.26423690205013</v>
      </c>
      <c r="C54" s="55">
        <f>SUM('MasterA1(current$)'!C54)/0.178</f>
        <v>275.28089887640454</v>
      </c>
      <c r="D54" s="55">
        <f>SUM('MasterA1(current$)'!D54)/0.1798</f>
        <v>283.64849833147946</v>
      </c>
      <c r="E54" s="33">
        <f>SUM('MasterA1(current$)'!E54)/0.182</f>
        <v>307.69230769230768</v>
      </c>
      <c r="F54" s="33">
        <f>SUM('MasterA1(current$)'!F54)/0.1842</f>
        <v>320.3040173724213</v>
      </c>
      <c r="G54" s="33">
        <f>SUM('MasterA1(current$)'!G54)/0.18702</f>
        <v>336.86236766121272</v>
      </c>
      <c r="H54" s="33">
        <f>SUM('MasterA1(current$)'!H54)/0.19227</f>
        <v>364.07135798616531</v>
      </c>
      <c r="I54" s="33">
        <f>SUM('MasterA1(current$)'!I54)/0.19786</f>
        <v>353.7855049024563</v>
      </c>
      <c r="J54" s="33">
        <f>SUM('MasterA1(current$)'!J54)/0.20627</f>
        <v>349.05706113346582</v>
      </c>
      <c r="K54" s="33">
        <f>SUM('MasterA1(current$)'!K54)/0.21642</f>
        <v>388.13418353202104</v>
      </c>
      <c r="L54" s="33">
        <f>SUM('MasterA1(current$)'!L54)/0.22784</f>
        <v>412.57022471910113</v>
      </c>
      <c r="M54" s="33">
        <f>SUM('MasterA1(current$)'!M54)/0.23941</f>
        <v>739.31748882669888</v>
      </c>
      <c r="N54" s="33">
        <f>SUM('MasterA1(current$)'!N54)/0.24978</f>
        <v>888.78212827288007</v>
      </c>
      <c r="O54" s="33">
        <f>SUM('MasterA1(current$)'!O54)/0.26337</f>
        <v>1055.5492273227778</v>
      </c>
      <c r="P54" s="33">
        <f>SUM('MasterA1(current$)'!P54)/0.28703</f>
        <v>968.53987388077894</v>
      </c>
      <c r="Q54" s="33">
        <f>SUM('MasterA1(current$)'!Q54)/0.31361</f>
        <v>905.58336787729979</v>
      </c>
      <c r="R54" s="33">
        <f>SUM('MasterA1(current$)'!R54)/0.33083</f>
        <v>882.62854033793792</v>
      </c>
      <c r="S54" s="33">
        <f>SUM('MasterA1(current$)'!S54)/0.35135</f>
        <v>947.77287604952323</v>
      </c>
      <c r="T54" s="33">
        <f>SUM('MasterA1(current$)'!T54)/0.37602</f>
        <v>912.18552204669959</v>
      </c>
      <c r="U54" s="33">
        <f>SUM('MasterA1(current$)'!U54)/0.40706</f>
        <v>990.02604038716652</v>
      </c>
      <c r="V54" s="33">
        <f>SUM('MasterA1(current$)'!V54)/0.44377</f>
        <v>1122.2029429659508</v>
      </c>
      <c r="W54" s="33">
        <f>SUM('MasterA1(current$)'!W54)/0.4852</f>
        <v>1055.234954657873</v>
      </c>
      <c r="X54" s="33">
        <f>SUM('MasterA1(current$)'!X54)/0.5153</f>
        <v>1084.8049679798175</v>
      </c>
      <c r="Y54" s="33">
        <f>SUM('MasterA1(current$)'!Y54)/0.53565</f>
        <v>939.04601885559612</v>
      </c>
      <c r="Z54" s="33">
        <f>SUM('MasterA1(current$)'!Z54)/0.55466</f>
        <v>962.75195615331904</v>
      </c>
      <c r="AA54" s="33">
        <f>SUM('MasterA1(current$)'!AA54)/0.5724</f>
        <v>974.84276729559747</v>
      </c>
      <c r="AB54" s="33">
        <f>SUM('MasterA1(current$)'!AB54)/0.58395</f>
        <v>991.52324685332655</v>
      </c>
      <c r="AC54" s="33">
        <f>SUM('MasterA1(current$)'!AC54)/0.59885</f>
        <v>938.46539200133589</v>
      </c>
      <c r="AD54" s="33">
        <f>SUM('MasterA1(current$)'!AD54)/0.61982</f>
        <v>805.07244038591841</v>
      </c>
      <c r="AE54" s="33">
        <f>SUM('MasterA1(current$)'!AE54)/0.64392</f>
        <v>919.36886569760213</v>
      </c>
      <c r="AF54" s="33">
        <f>SUM('MasterA1(current$)'!AF54)/0.66773</f>
        <v>1361.328680754197</v>
      </c>
      <c r="AG54" s="33">
        <f>SUM('MasterA1(current$)'!AG54)/0.68996</f>
        <v>1466.7516957504783</v>
      </c>
      <c r="AH54" s="33">
        <f>SUM('MasterA1(current$)'!AH54)/0.70569</f>
        <v>1648.0324221683741</v>
      </c>
      <c r="AI54" s="33">
        <f>SUM('MasterA1(current$)'!AI54)/0.72248</f>
        <v>1714.9263647436608</v>
      </c>
      <c r="AJ54" s="33">
        <f>SUM('MasterA1(current$)'!AJ54)/0.73785</f>
        <v>1692.7559802127803</v>
      </c>
      <c r="AK54" s="33">
        <f>SUM('MasterA1(current$)'!AK54)/0.75324</f>
        <v>1810.8438213583984</v>
      </c>
      <c r="AL54" s="33">
        <f>SUM('MasterA1(current$)'!AL54)/0.76699</f>
        <v>1869.6462796125113</v>
      </c>
      <c r="AM54" s="33">
        <f>SUM('MasterA1(current$)'!AM54)/0.78012</f>
        <v>1912.5262780085113</v>
      </c>
      <c r="AN54" s="33">
        <f>SUM('MasterA1(current$)'!AN54)/0.78859</f>
        <v>1952.8525596317477</v>
      </c>
      <c r="AO54" s="33">
        <f>SUM('MasterA1(current$)'!AO54)/0.80065</f>
        <v>2053.331668019734</v>
      </c>
      <c r="AP54" s="339">
        <f>SUM('MasterA1(current$)'!AP54)/0.81887</f>
        <v>2096.3152931857981</v>
      </c>
      <c r="AQ54" s="339">
        <f>SUM('MasterA1(current$)'!AQ54)/0.83754</f>
        <v>2295.4952801382228</v>
      </c>
      <c r="AR54" s="339">
        <f>SUM('MasterA1(current$)'!AR54)/0.85039</f>
        <v>2500.9406853641708</v>
      </c>
      <c r="AS54" s="339">
        <f>SUM('MasterA1(current$)'!AS54)/0.86735</f>
        <v>1936.9343402317404</v>
      </c>
      <c r="AT54" s="339">
        <f>SUM('MasterA1(current$)'!AT54)/0.8912</f>
        <v>2115.1256732495513</v>
      </c>
      <c r="AU54" s="339">
        <f>SUM('MasterA1(current$)'!AU54)/0.91988</f>
        <v>2117.6675218506762</v>
      </c>
      <c r="AV54" s="170">
        <f>SUM('MasterA1(current$)'!AV54)/0.94814</f>
        <v>2301.3479022085348</v>
      </c>
      <c r="AW54" s="170">
        <f>SUM('MasterA1(current$)'!AW54)/0.97337</f>
        <v>2200.6020321152287</v>
      </c>
      <c r="AX54" s="342">
        <f>SUM('MasterA1(current$)'!AX54*100)/99.246</f>
        <v>2292.2838200028214</v>
      </c>
      <c r="AY54" s="417">
        <f>SUM('MasterA1(current$)'!AY54)</f>
        <v>2378</v>
      </c>
      <c r="AZ54" s="293">
        <f>SUM('MasterA1(current$)'!AZ54*100)/101.221</f>
        <v>2446.1327194949663</v>
      </c>
      <c r="BA54" s="293">
        <f>SUM('MasterA1(current$)'!BA54*100)/103.311</f>
        <v>2316.3070728189641</v>
      </c>
      <c r="BB54" s="293">
        <f>SUM('MasterA1(current$)'!BB54*100)/105.214</f>
        <v>2381.8123063470639</v>
      </c>
      <c r="BC54" s="293">
        <f>SUM('MasterA1(current$)'!BC54*100)/106.913</f>
        <v>2709.679833135353</v>
      </c>
      <c r="BD54" s="293">
        <f>SUM('MasterA1(current$)'!BD54*100)/108.828</f>
        <v>3220.67850185614</v>
      </c>
      <c r="BE54" s="293">
        <f>SUM('MasterA1(current$)'!BE54*100)/109.998</f>
        <v>2506.4092074401351</v>
      </c>
      <c r="BF54" s="314">
        <f>SUM('MasterA1(current$)'!BF54*100)/111.298</f>
        <v>2681.0904059372137</v>
      </c>
      <c r="BG54" s="314">
        <f>SUM('MasterA1(current$)'!BG54*100)/113.198</f>
        <v>2368.4164031166629</v>
      </c>
      <c r="BH54" s="314">
        <f>SUM('MasterA1(current$)'!BH54*100)/115.198</f>
        <v>2618.1010086980677</v>
      </c>
      <c r="BI54" s="423">
        <f t="shared" si="3"/>
        <v>-0.11662195430938897</v>
      </c>
      <c r="BJ54" s="423">
        <f t="shared" si="3"/>
        <v>0.10542259598136466</v>
      </c>
      <c r="BK54" s="569">
        <f t="shared" si="4"/>
        <v>-312.67400282055087</v>
      </c>
      <c r="BL54" s="569">
        <f t="shared" si="4"/>
        <v>249.68460558140487</v>
      </c>
    </row>
    <row r="55" spans="1:88" ht="11.1" customHeight="1">
      <c r="A55" s="125" t="s">
        <v>97</v>
      </c>
      <c r="B55" s="51" t="s">
        <v>3</v>
      </c>
      <c r="C55" s="51" t="s">
        <v>3</v>
      </c>
      <c r="D55" s="51" t="s">
        <v>3</v>
      </c>
      <c r="E55" s="224" t="s">
        <v>3</v>
      </c>
      <c r="F55" s="224" t="s">
        <v>3</v>
      </c>
      <c r="G55" s="224" t="s">
        <v>3</v>
      </c>
      <c r="H55" s="224" t="s">
        <v>3</v>
      </c>
      <c r="I55" s="224" t="s">
        <v>3</v>
      </c>
      <c r="J55" s="224" t="s">
        <v>3</v>
      </c>
      <c r="K55" s="224" t="s">
        <v>3</v>
      </c>
      <c r="L55" s="224" t="s">
        <v>3</v>
      </c>
      <c r="M55" s="224" t="s">
        <v>3</v>
      </c>
      <c r="N55" s="224" t="s">
        <v>3</v>
      </c>
      <c r="O55" s="224" t="s">
        <v>3</v>
      </c>
      <c r="P55" s="224" t="s">
        <v>3</v>
      </c>
      <c r="Q55" s="224" t="s">
        <v>3</v>
      </c>
      <c r="R55" s="224" t="s">
        <v>3</v>
      </c>
      <c r="S55" s="224" t="s">
        <v>3</v>
      </c>
      <c r="T55" s="224" t="s">
        <v>3</v>
      </c>
      <c r="U55" s="224" t="s">
        <v>3</v>
      </c>
      <c r="V55" s="224" t="s">
        <v>3</v>
      </c>
      <c r="W55" s="224" t="s">
        <v>3</v>
      </c>
      <c r="X55" s="224" t="s">
        <v>3</v>
      </c>
      <c r="Y55" s="224" t="s">
        <v>3</v>
      </c>
      <c r="Z55" s="224" t="s">
        <v>3</v>
      </c>
      <c r="AA55" s="224" t="s">
        <v>3</v>
      </c>
      <c r="AB55" s="224" t="s">
        <v>3</v>
      </c>
      <c r="AC55" s="224" t="s">
        <v>3</v>
      </c>
      <c r="AD55" s="224" t="s">
        <v>3</v>
      </c>
      <c r="AE55" s="224" t="s">
        <v>3</v>
      </c>
      <c r="AF55" s="224" t="s">
        <v>3</v>
      </c>
      <c r="AG55" s="224" t="s">
        <v>3</v>
      </c>
      <c r="AH55" s="224" t="s">
        <v>3</v>
      </c>
      <c r="AI55" s="224" t="s">
        <v>3</v>
      </c>
      <c r="AJ55" s="224" t="s">
        <v>3</v>
      </c>
      <c r="AK55" s="224" t="s">
        <v>3</v>
      </c>
      <c r="AL55" s="224" t="s">
        <v>3</v>
      </c>
      <c r="AM55" s="224" t="s">
        <v>3</v>
      </c>
      <c r="AN55" s="224" t="s">
        <v>3</v>
      </c>
      <c r="AO55" s="224" t="s">
        <v>3</v>
      </c>
      <c r="AP55" s="224" t="s">
        <v>3</v>
      </c>
      <c r="AQ55" s="224" t="s">
        <v>3</v>
      </c>
      <c r="AR55" s="224" t="s">
        <v>3</v>
      </c>
      <c r="AS55" s="339">
        <f>SUM('MasterA1(current$)'!AS55)/0.86735</f>
        <v>8.070559750965586</v>
      </c>
      <c r="AT55" s="339">
        <f>SUM('MasterA1(current$)'!AT55)/0.8912</f>
        <v>40.394973070017954</v>
      </c>
      <c r="AU55" s="339">
        <f>SUM('MasterA1(current$)'!AU55)/0.91988</f>
        <v>73.922685567682734</v>
      </c>
      <c r="AV55" s="170">
        <f>SUM('MasterA1(current$)'!AV55)/0.94814</f>
        <v>87.539814795283405</v>
      </c>
      <c r="AW55" s="170">
        <f>SUM('MasterA1(current$)'!AW55)/0.97337</f>
        <v>94.516987373763328</v>
      </c>
      <c r="AX55" s="342">
        <f>SUM('MasterA1(current$)'!AX55*100)/99.246</f>
        <v>79.600185397900177</v>
      </c>
      <c r="AY55" s="417">
        <f>SUM('MasterA1(current$)'!AY55)</f>
        <v>86</v>
      </c>
      <c r="AZ55" s="293">
        <f>SUM('MasterA1(current$)'!AZ55*100)/101.221</f>
        <v>82.986732002252495</v>
      </c>
      <c r="BA55" s="293">
        <f>SUM('MasterA1(current$)'!BA55*100)/103.311</f>
        <v>89.051504680043749</v>
      </c>
      <c r="BB55" s="293">
        <f>SUM('MasterA1(current$)'!BB55*100)/105.214</f>
        <v>75.085064725226687</v>
      </c>
      <c r="BC55" s="293">
        <f>SUM('MasterA1(current$)'!BC55*100)/106.913</f>
        <v>56.120396958274483</v>
      </c>
      <c r="BD55" s="293">
        <f>SUM('MasterA1(current$)'!BD55*100)/108.828</f>
        <v>65.240563090381144</v>
      </c>
      <c r="BE55" s="293">
        <f>SUM('MasterA1(current$)'!BE55*100)/109.998</f>
        <v>66.364842997145402</v>
      </c>
      <c r="BF55" s="314">
        <f>SUM('MasterA1(current$)'!BF55*100)/111.298</f>
        <v>69.183633129076895</v>
      </c>
      <c r="BG55" s="314">
        <f>SUM('MasterA1(current$)'!BG55*100)/113.198</f>
        <v>63.605364052368422</v>
      </c>
      <c r="BH55" s="314">
        <f>SUM('MasterA1(current$)'!BH55*100)/115.198</f>
        <v>46.875813816212087</v>
      </c>
      <c r="BI55" s="385">
        <f t="shared" si="3"/>
        <v>-8.0629895025909046E-2</v>
      </c>
      <c r="BJ55" s="385">
        <f t="shared" si="3"/>
        <v>-0.26302105939339232</v>
      </c>
      <c r="BK55" s="569">
        <f t="shared" si="4"/>
        <v>-5.5782690767084731</v>
      </c>
      <c r="BL55" s="569">
        <f t="shared" si="4"/>
        <v>-16.729550236156335</v>
      </c>
    </row>
    <row r="56" spans="1:88" ht="10.5" customHeight="1">
      <c r="A56" s="121" t="s">
        <v>98</v>
      </c>
      <c r="B56" s="56" t="s">
        <v>3</v>
      </c>
      <c r="C56" s="56" t="s">
        <v>3</v>
      </c>
      <c r="D56" s="56" t="s">
        <v>3</v>
      </c>
      <c r="E56" s="342" t="s">
        <v>3</v>
      </c>
      <c r="F56" s="342" t="s">
        <v>3</v>
      </c>
      <c r="G56" s="342" t="s">
        <v>3</v>
      </c>
      <c r="H56" s="342" t="s">
        <v>3</v>
      </c>
      <c r="I56" s="342" t="s">
        <v>3</v>
      </c>
      <c r="J56" s="342" t="s">
        <v>3</v>
      </c>
      <c r="K56" s="342" t="s">
        <v>3</v>
      </c>
      <c r="L56" s="342" t="s">
        <v>3</v>
      </c>
      <c r="M56" s="342" t="s">
        <v>3</v>
      </c>
      <c r="N56" s="342" t="s">
        <v>3</v>
      </c>
      <c r="O56" s="342" t="s">
        <v>3</v>
      </c>
      <c r="P56" s="342" t="s">
        <v>3</v>
      </c>
      <c r="Q56" s="342" t="s">
        <v>3</v>
      </c>
      <c r="R56" s="342" t="s">
        <v>3</v>
      </c>
      <c r="S56" s="342" t="s">
        <v>3</v>
      </c>
      <c r="T56" s="342" t="s">
        <v>3</v>
      </c>
      <c r="U56" s="342" t="s">
        <v>3</v>
      </c>
      <c r="V56" s="342" t="s">
        <v>3</v>
      </c>
      <c r="W56" s="342" t="s">
        <v>3</v>
      </c>
      <c r="X56" s="342" t="s">
        <v>3</v>
      </c>
      <c r="Y56" s="342" t="s">
        <v>3</v>
      </c>
      <c r="Z56" s="342" t="s">
        <v>3</v>
      </c>
      <c r="AA56" s="342" t="s">
        <v>3</v>
      </c>
      <c r="AB56" s="342" t="s">
        <v>3</v>
      </c>
      <c r="AC56" s="342" t="s">
        <v>3</v>
      </c>
      <c r="AD56" s="342" t="s">
        <v>3</v>
      </c>
      <c r="AE56" s="342" t="s">
        <v>3</v>
      </c>
      <c r="AF56" s="342" t="s">
        <v>3</v>
      </c>
      <c r="AG56" s="342" t="s">
        <v>3</v>
      </c>
      <c r="AH56" s="342" t="s">
        <v>3</v>
      </c>
      <c r="AI56" s="342" t="s">
        <v>3</v>
      </c>
      <c r="AJ56" s="342" t="s">
        <v>3</v>
      </c>
      <c r="AK56" s="342" t="s">
        <v>3</v>
      </c>
      <c r="AL56" s="342" t="s">
        <v>3</v>
      </c>
      <c r="AM56" s="342" t="s">
        <v>3</v>
      </c>
      <c r="AN56" s="342" t="s">
        <v>3</v>
      </c>
      <c r="AO56" s="342" t="s">
        <v>3</v>
      </c>
      <c r="AP56" s="342" t="s">
        <v>3</v>
      </c>
      <c r="AQ56" s="342" t="s">
        <v>3</v>
      </c>
      <c r="AR56" s="339">
        <f>SUM('MasterA1(current$)'!AR56)/0.85039</f>
        <v>1394.6542174766871</v>
      </c>
      <c r="AS56" s="339">
        <f>SUM('MasterA1(current$)'!AS56)/0.86735</f>
        <v>11144.290078976192</v>
      </c>
      <c r="AT56" s="339">
        <f>SUM('MasterA1(current$)'!AT56)/0.8912</f>
        <v>4996.6337522441654</v>
      </c>
      <c r="AU56" s="339">
        <f>SUM('MasterA1(current$)'!AU56)/0.91988</f>
        <v>5159.3686132973862</v>
      </c>
      <c r="AV56" s="170">
        <f>SUM('MasterA1(current$)'!AV56)/0.94814</f>
        <v>4615.3521631826525</v>
      </c>
      <c r="AW56" s="170">
        <f>SUM('MasterA1(current$)'!AW56)/0.97337</f>
        <v>4751.5333326484279</v>
      </c>
      <c r="AX56" s="170">
        <f>SUM('MasterA1(current$)'!AX56*100)/99.246</f>
        <v>5024.8876529028876</v>
      </c>
      <c r="AY56" s="417">
        <f>SUM('MasterA1(current$)'!AY56)</f>
        <v>5245</v>
      </c>
      <c r="AZ56" s="293">
        <f>SUM('MasterA1(current$)'!AZ56*100)/101.221</f>
        <v>4977.2280455636674</v>
      </c>
      <c r="BA56" s="293">
        <f>SUM('MasterA1(current$)'!BA56*100)/103.311</f>
        <v>5002.3714802876748</v>
      </c>
      <c r="BB56" s="293">
        <f>SUM('MasterA1(current$)'!BB56*100)/105.214</f>
        <v>5017.3931225882488</v>
      </c>
      <c r="BC56" s="293">
        <f>SUM('MasterA1(current$)'!BC56*100)/106.913</f>
        <v>5007.8100885766935</v>
      </c>
      <c r="BD56" s="293">
        <f>SUM('MasterA1(current$)'!BD56*100)/108.828</f>
        <v>4786.4520160252878</v>
      </c>
      <c r="BE56" s="293">
        <f>SUM('MasterA1(current$)'!BE56*100)/109.998</f>
        <v>5533.7369770359455</v>
      </c>
      <c r="BF56" s="314">
        <f>SUM('MasterA1(current$)'!BF56*100)/111.298</f>
        <v>5299.2865999389023</v>
      </c>
      <c r="BG56" s="314">
        <f>SUM('MasterA1(current$)'!BG56*100)/113.198</f>
        <v>5868.4782416650478</v>
      </c>
      <c r="BH56" s="314">
        <f>SUM('MasterA1(current$)'!BH56*100)/115.198</f>
        <v>6525.2868973419681</v>
      </c>
      <c r="BI56" s="385">
        <f t="shared" si="3"/>
        <v>0.10740910705465674</v>
      </c>
      <c r="BJ56" s="385">
        <f t="shared" si="3"/>
        <v>0.1119214604927232</v>
      </c>
      <c r="BK56" s="569">
        <f t="shared" si="4"/>
        <v>569.19164172614546</v>
      </c>
      <c r="BL56" s="569">
        <f t="shared" si="4"/>
        <v>656.80865567692035</v>
      </c>
    </row>
    <row r="57" spans="1:88" ht="10.199999999999999" customHeight="1" thickBot="1">
      <c r="A57" s="404" t="s">
        <v>73</v>
      </c>
      <c r="B57" s="145">
        <f>SUM('MasterA1(current$)'!B57)/0.1756</f>
        <v>825.74031890660592</v>
      </c>
      <c r="C57" s="145">
        <f>SUM('MasterA1(current$)'!C57)/0.178</f>
        <v>882.02247191011236</v>
      </c>
      <c r="D57" s="146">
        <f>SUM('MasterA1(current$)'!D57)/0.1798</f>
        <v>928.80978865406018</v>
      </c>
      <c r="E57" s="485">
        <f>SUM('MasterA1(current$)'!E57)/0.182</f>
        <v>989.01098901098908</v>
      </c>
      <c r="F57" s="485">
        <f>SUM('MasterA1(current$)'!F57)/0.1842</f>
        <v>966.34093376764383</v>
      </c>
      <c r="G57" s="485">
        <f>SUM('MasterA1(current$)'!G57)/0.18702</f>
        <v>1021.2811464014544</v>
      </c>
      <c r="H57" s="485">
        <f>SUM('MasterA1(current$)'!H57)/0.19227</f>
        <v>1075.7788526551205</v>
      </c>
      <c r="I57" s="485">
        <f>SUM('MasterA1(current$)'!I57)/0.19786</f>
        <v>1046.1942787829778</v>
      </c>
      <c r="J57" s="485">
        <f>SUM('MasterA1(current$)'!J57)/0.20627</f>
        <v>1165.9475444805353</v>
      </c>
      <c r="K57" s="485">
        <f>SUM('MasterA1(current$)'!K57)/0.21642</f>
        <v>1312.2631919415951</v>
      </c>
      <c r="L57" s="485">
        <f>SUM('MasterA1(current$)'!L57)/0.22784</f>
        <v>1472.0768960674159</v>
      </c>
      <c r="M57" s="485">
        <f>SUM('MasterA1(current$)'!M57)/0.23941</f>
        <v>1992.539994152291</v>
      </c>
      <c r="N57" s="485">
        <f>SUM('MasterA1(current$)'!N57)/0.24978</f>
        <v>2347.3096324765793</v>
      </c>
      <c r="O57" s="485">
        <f>SUM('MasterA1(current$)'!O57)/0.26337</f>
        <v>2757.3565706040931</v>
      </c>
      <c r="P57" s="485">
        <f>SUM('MasterA1(current$)'!P57)/0.28703</f>
        <v>2634.6932376406648</v>
      </c>
      <c r="Q57" s="485">
        <f>SUM('MasterA1(current$)'!Q57)/0.31361</f>
        <v>2946.1528650234368</v>
      </c>
      <c r="R57" s="485">
        <f>SUM('MasterA1(current$)'!R57)/0.33083</f>
        <v>3573.448598978327</v>
      </c>
      <c r="S57" s="485">
        <f>SUM('MasterA1(current$)'!S57)/0.35135</f>
        <v>3398.0674541055928</v>
      </c>
      <c r="T57" s="493">
        <f>SUM('MasterA1(current$)'!T57)/0.37602</f>
        <v>3337.5166214563051</v>
      </c>
      <c r="U57" s="485">
        <f>SUM('MasterA1(current$)'!U57)/0.40706</f>
        <v>3324.7825873335628</v>
      </c>
      <c r="V57" s="485">
        <f>SUM('MasterA1(current$)'!V57)/0.44377</f>
        <v>3579.6921828875315</v>
      </c>
      <c r="W57" s="485">
        <f>SUM('MasterA1(current$)'!W57)/0.4852</f>
        <v>3112.8544929925802</v>
      </c>
      <c r="X57" s="485">
        <f>SUM('MasterA1(current$)'!X57)/0.5153</f>
        <v>2973.3087521831944</v>
      </c>
      <c r="Y57" s="485">
        <f>SUM('MasterA1(current$)'!Y57)/0.53565</f>
        <v>2937.7896014188373</v>
      </c>
      <c r="Z57" s="485">
        <f>SUM('MasterA1(current$)'!Z57)/0.55466</f>
        <v>2952.2662532001582</v>
      </c>
      <c r="AA57" s="485">
        <f>SUM('MasterA1(current$)'!AA57)/0.5724</f>
        <v>3041.7313067784767</v>
      </c>
      <c r="AB57" s="485">
        <f>SUM('MasterA1(current$)'!AB57)/0.58395</f>
        <v>3193.3076462025861</v>
      </c>
      <c r="AC57" s="485">
        <f>SUM('MasterA1(current$)'!AC57)/0.59885</f>
        <v>3681.7166235284299</v>
      </c>
      <c r="AD57" s="485">
        <f>SUM('MasterA1(current$)'!AD57)/0.61982</f>
        <v>4157.1520764092793</v>
      </c>
      <c r="AE57" s="485">
        <f>SUM('MasterA1(current$)'!AE57)/0.64392</f>
        <v>4638.0870294446504</v>
      </c>
      <c r="AF57" s="485">
        <f>SUM('MasterA1(current$)'!AF57)/0.66773</f>
        <v>5030.7279888577714</v>
      </c>
      <c r="AG57" s="485">
        <f>SUM('MasterA1(current$)'!AG57)/0.68996</f>
        <v>5701.0522349121684</v>
      </c>
      <c r="AH57" s="485">
        <f>SUM('MasterA1(current$)'!AH57)/0.70569</f>
        <v>6361.9280420581272</v>
      </c>
      <c r="AI57" s="485">
        <f>SUM('MasterA1(current$)'!AI57)/0.72248</f>
        <v>6256.593954157901</v>
      </c>
      <c r="AJ57" s="485">
        <f>SUM('MasterA1(current$)'!AJ57)/0.73785</f>
        <v>6315.1670393711465</v>
      </c>
      <c r="AK57" s="485">
        <f>SUM('MasterA1(current$)'!AK57)/0.75324</f>
        <v>6510.5411289894319</v>
      </c>
      <c r="AL57" s="485">
        <f>SUM('MasterA1(current$)'!AL57)/0.76699</f>
        <v>6933.5975697205968</v>
      </c>
      <c r="AM57" s="485">
        <f>SUM('MasterA1(current$)'!AM57)/0.78012</f>
        <v>7345.0238424857707</v>
      </c>
      <c r="AN57" s="485">
        <f>SUM('MasterA1(current$)'!AN57)/0.78859</f>
        <v>8933.6664172764049</v>
      </c>
      <c r="AO57" s="485">
        <f>SUM('MasterA1(current$)'!AO57)/0.80065</f>
        <v>9040.1548741647421</v>
      </c>
      <c r="AP57" s="147">
        <f>SUM('MasterA1(current$)'!AP57)/0.81887</f>
        <v>9615.2132867623113</v>
      </c>
      <c r="AQ57" s="147">
        <f>SUM('MasterA1(current$)'!AQ57)/0.83754</f>
        <v>9723.2002255736643</v>
      </c>
      <c r="AR57" s="147">
        <f>SUM('MasterA1(current$)'!AR57)/0.85039</f>
        <v>13522.942355186253</v>
      </c>
      <c r="AS57" s="147">
        <f>SUM('MasterA1(current$)'!AS57)/0.86735</f>
        <v>21750.158528852251</v>
      </c>
      <c r="AT57" s="147">
        <f>SUM('MasterA1(current$)'!AT57)/0.8912</f>
        <v>18168.761220825854</v>
      </c>
      <c r="AU57" s="147">
        <f>SUM('MasterA1(current$)'!AU57)/0.91988</f>
        <v>18501.326259946949</v>
      </c>
      <c r="AV57" s="147">
        <f>SUM('MasterA1(current$)'!AV57)/0.94814</f>
        <v>18423.439576433859</v>
      </c>
      <c r="AW57" s="147">
        <f>SUM('MasterA1(current$)'!AW57)/0.97337</f>
        <v>19705.764508871242</v>
      </c>
      <c r="AX57" s="671">
        <f>SUM('MasterA1(current$)'!AX57*100)/99.246</f>
        <v>21727.827821776194</v>
      </c>
      <c r="AY57" s="504">
        <f>SUM('MasterA1(current$)'!AY57)</f>
        <v>23740</v>
      </c>
      <c r="AZ57" s="438">
        <f>SUM('MasterA1(current$)'!AZ57*100)/101.221</f>
        <v>23902.154691220199</v>
      </c>
      <c r="BA57" s="438">
        <f>SUM('MasterA1(current$)'!BA57*100)/103.311</f>
        <v>23911.296957729573</v>
      </c>
      <c r="BB57" s="438">
        <f>SUM('MasterA1(current$)'!BB57*100)/105.214</f>
        <v>24508.145303856902</v>
      </c>
      <c r="BC57" s="438">
        <f>SUM('MasterA1(current$)'!BC57*100)/106.913</f>
        <v>23924.125223312414</v>
      </c>
      <c r="BD57" s="438">
        <f>SUM('MasterA1(current$)'!BD57*100)/108.828</f>
        <v>23513.250266475538</v>
      </c>
      <c r="BE57" s="438">
        <f>SUM('MasterA1(current$)'!BE57*100)/109.998</f>
        <v>24214.985727013216</v>
      </c>
      <c r="BF57" s="653">
        <f>SUM('MasterA1(current$)'!BF57*100)/111.298</f>
        <v>25160.380240435588</v>
      </c>
      <c r="BG57" s="653">
        <f>SUM('MasterA1(current$)'!BG57*100)/113.198</f>
        <v>26196.575911235181</v>
      </c>
      <c r="BH57" s="653">
        <f>SUM('MasterA1(current$)'!BH57*100)/115.198</f>
        <v>29269.605375093321</v>
      </c>
      <c r="BI57" s="422">
        <f t="shared" si="3"/>
        <v>4.1183625243242872E-2</v>
      </c>
      <c r="BJ57" s="422">
        <f t="shared" si="3"/>
        <v>0.11730653174944822</v>
      </c>
      <c r="BK57" s="574">
        <f t="shared" si="4"/>
        <v>1036.1956707995923</v>
      </c>
      <c r="BL57" s="574">
        <f t="shared" si="4"/>
        <v>3073.0294638581399</v>
      </c>
    </row>
    <row r="58" spans="1:88" ht="10.95" customHeight="1">
      <c r="A58" s="125"/>
      <c r="B58" s="35"/>
      <c r="C58" s="35"/>
      <c r="D58" s="35"/>
      <c r="E58" s="486"/>
      <c r="F58" s="486"/>
      <c r="G58" s="486"/>
      <c r="H58" s="486"/>
      <c r="I58" s="486"/>
      <c r="J58" s="486"/>
      <c r="K58" s="486"/>
      <c r="L58" s="486"/>
      <c r="M58" s="486"/>
      <c r="N58" s="486"/>
      <c r="O58" s="486"/>
      <c r="P58" s="486"/>
      <c r="Q58" s="486"/>
      <c r="R58" s="486"/>
      <c r="S58" s="486"/>
      <c r="T58" s="486"/>
      <c r="U58" s="486"/>
      <c r="V58" s="486"/>
      <c r="W58" s="486"/>
      <c r="X58" s="486"/>
      <c r="Y58" s="486"/>
      <c r="Z58" s="486"/>
      <c r="AA58" s="486"/>
      <c r="AB58" s="486"/>
      <c r="AC58" s="486"/>
      <c r="AD58" s="486"/>
      <c r="AE58" s="486"/>
      <c r="AF58" s="486"/>
      <c r="AG58" s="486"/>
      <c r="AH58" s="486"/>
      <c r="AI58" s="486"/>
      <c r="AJ58" s="486"/>
      <c r="AK58" s="486"/>
      <c r="AL58" s="486"/>
      <c r="AM58" s="486"/>
      <c r="AN58" s="486"/>
      <c r="AO58" s="486"/>
      <c r="AP58" s="486"/>
      <c r="AQ58" s="486"/>
      <c r="AR58" s="486"/>
      <c r="AS58" s="486"/>
      <c r="AT58" s="486"/>
      <c r="AU58" s="486"/>
      <c r="AV58" s="486"/>
      <c r="AW58" s="486"/>
      <c r="AX58" s="486"/>
      <c r="AY58" s="437"/>
      <c r="AZ58" s="437"/>
      <c r="BA58" s="437"/>
      <c r="BB58" s="437"/>
      <c r="BC58" s="437"/>
      <c r="BD58" s="437"/>
      <c r="BE58" s="437"/>
      <c r="BF58" s="654"/>
      <c r="BG58" s="654"/>
      <c r="BH58" s="654"/>
      <c r="BI58" s="329"/>
      <c r="BJ58" s="329"/>
      <c r="BK58" s="570"/>
      <c r="BL58" s="570"/>
    </row>
    <row r="59" spans="1:88" ht="15.75" customHeight="1">
      <c r="A59" s="130" t="s">
        <v>99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289"/>
      <c r="BG59" s="289"/>
      <c r="BH59" s="289"/>
      <c r="BI59" s="329"/>
      <c r="BJ59" s="329"/>
      <c r="BK59" s="570"/>
      <c r="BL59" s="570"/>
    </row>
    <row r="60" spans="1:88" ht="6" customHeight="1">
      <c r="A60" s="125"/>
      <c r="B60" s="35"/>
      <c r="C60" s="36"/>
      <c r="D60" s="36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70"/>
      <c r="AY60" s="293"/>
      <c r="AZ60" s="293"/>
      <c r="BA60" s="293"/>
      <c r="BB60" s="293"/>
      <c r="BC60" s="293"/>
      <c r="BD60" s="293"/>
      <c r="BE60" s="293"/>
      <c r="BF60" s="314"/>
      <c r="BG60" s="314"/>
      <c r="BH60" s="314"/>
      <c r="BI60" s="329"/>
      <c r="BJ60" s="329"/>
      <c r="BK60" s="570"/>
      <c r="BL60" s="570"/>
    </row>
    <row r="61" spans="1:88" ht="11.1" customHeight="1">
      <c r="A61" s="126" t="s">
        <v>36</v>
      </c>
      <c r="B61" s="35"/>
      <c r="C61" s="36"/>
      <c r="D61" s="36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70"/>
      <c r="AY61" s="293"/>
      <c r="AZ61" s="293"/>
      <c r="BA61" s="293"/>
      <c r="BB61" s="293"/>
      <c r="BC61" s="293"/>
      <c r="BD61" s="293"/>
      <c r="BE61" s="293"/>
      <c r="BF61" s="314"/>
      <c r="BG61" s="314"/>
      <c r="BH61" s="314"/>
      <c r="BI61" s="329"/>
      <c r="BJ61" s="329"/>
      <c r="BK61" s="570"/>
      <c r="BL61" s="570"/>
    </row>
    <row r="62" spans="1:88" ht="11.1" customHeight="1">
      <c r="A62" s="125" t="s">
        <v>100</v>
      </c>
      <c r="B62" s="54">
        <f>SUM('MasterA1(current$)'!B62)/0.1756</f>
        <v>239.17995444191342</v>
      </c>
      <c r="C62" s="55">
        <f>SUM('MasterA1(current$)'!C62)/0.178</f>
        <v>353.93258426966293</v>
      </c>
      <c r="D62" s="55">
        <f>SUM('MasterA1(current$)'!D62)/0.1798</f>
        <v>433.81535038932151</v>
      </c>
      <c r="E62" s="33">
        <f>SUM('MasterA1(current$)'!E62)/0.182</f>
        <v>489.01098901098902</v>
      </c>
      <c r="F62" s="33">
        <f>SUM('MasterA1(current$)'!F62)/0.1842</f>
        <v>526.60152008686214</v>
      </c>
      <c r="G62" s="33">
        <f>SUM('MasterA1(current$)'!G62)/0.18702</f>
        <v>561.43727943535453</v>
      </c>
      <c r="H62" s="33">
        <f>SUM('MasterA1(current$)'!H62)/0.19227</f>
        <v>504.49888178082904</v>
      </c>
      <c r="I62" s="33">
        <f>SUM('MasterA1(current$)'!I62)/0.19786</f>
        <v>475.08339229758411</v>
      </c>
      <c r="J62" s="33">
        <f>SUM('MasterA1(current$)'!J62)/0.20627</f>
        <v>484.80147379648031</v>
      </c>
      <c r="K62" s="33">
        <f>SUM('MasterA1(current$)'!K62)/0.21642</f>
        <v>489.78837445707421</v>
      </c>
      <c r="L62" s="33">
        <f>SUM('MasterA1(current$)'!L62)/0.22784</f>
        <v>544.24157303370794</v>
      </c>
      <c r="M62" s="33">
        <f>SUM('MasterA1(current$)'!M62)/0.23941</f>
        <v>668.30959441961488</v>
      </c>
      <c r="N62" s="33">
        <f>SUM('MasterA1(current$)'!N62)/0.24978</f>
        <v>676.59540395548083</v>
      </c>
      <c r="O62" s="33">
        <f>SUM('MasterA1(current$)'!O62)/0.26337</f>
        <v>698.63689865968036</v>
      </c>
      <c r="P62" s="33">
        <f>SUM('MasterA1(current$)'!P62)/0.28703</f>
        <v>634.08006131763227</v>
      </c>
      <c r="Q62" s="33">
        <f>SUM('MasterA1(current$)'!Q62)/0.31361</f>
        <v>602.65935397468195</v>
      </c>
      <c r="R62" s="33">
        <f>SUM('MasterA1(current$)'!R62)/0.33083</f>
        <v>640.81250188918773</v>
      </c>
      <c r="S62" s="33">
        <f>SUM('MasterA1(current$)'!S62)/0.35135</f>
        <v>626.15625444713248</v>
      </c>
      <c r="T62" s="33">
        <f>SUM('MasterA1(current$)'!T62)/0.37602</f>
        <v>616.98845806074144</v>
      </c>
      <c r="U62" s="33">
        <f>SUM('MasterA1(current$)'!U62)/0.40706</f>
        <v>614.16007468186513</v>
      </c>
      <c r="V62" s="33">
        <f>SUM('MasterA1(current$)'!V62)/0.44377</f>
        <v>637.71773666538968</v>
      </c>
      <c r="W62" s="33">
        <f>SUM('MasterA1(current$)'!W62)/0.4852</f>
        <v>612.11871393239903</v>
      </c>
      <c r="X62" s="33">
        <f>SUM('MasterA1(current$)'!X62)/0.5153</f>
        <v>514.26353580438581</v>
      </c>
      <c r="Y62" s="33">
        <f>SUM('MasterA1(current$)'!Y62)/0.53565</f>
        <v>627.27527303276395</v>
      </c>
      <c r="Z62" s="33">
        <f>SUM('MasterA1(current$)'!Z62)/0.55466</f>
        <v>533.6602603396675</v>
      </c>
      <c r="AA62" s="33">
        <f>SUM('MasterA1(current$)'!AA62)/0.5724</f>
        <v>396.57582110412295</v>
      </c>
      <c r="AB62" s="33">
        <f>SUM('MasterA1(current$)'!AB62)/0.58395</f>
        <v>520.59251648257555</v>
      </c>
      <c r="AC62" s="33">
        <f>SUM('MasterA1(current$)'!AC62)/0.59885</f>
        <v>557.73566001502877</v>
      </c>
      <c r="AD62" s="33">
        <f>SUM('MasterA1(current$)'!AD62)/0.61982</f>
        <v>609.85447387951342</v>
      </c>
      <c r="AE62" s="33">
        <f>SUM('MasterA1(current$)'!AE62)/0.64392</f>
        <v>646.04298670642311</v>
      </c>
      <c r="AF62" s="33">
        <f>SUM('MasterA1(current$)'!AF62)/0.66773</f>
        <v>714.36059485121223</v>
      </c>
      <c r="AG62" s="33">
        <f>SUM('MasterA1(current$)'!AG62)/0.68996</f>
        <v>758.01495738883409</v>
      </c>
      <c r="AH62" s="33">
        <f>SUM('MasterA1(current$)'!AH62)/0.70569</f>
        <v>827.55884311808302</v>
      </c>
      <c r="AI62" s="33">
        <f>SUM('MasterA1(current$)'!AI62)/0.72248</f>
        <v>822.16808769792931</v>
      </c>
      <c r="AJ62" s="33">
        <f>SUM('MasterA1(current$)'!AJ62)/0.73785</f>
        <v>764.38300467574709</v>
      </c>
      <c r="AK62" s="33">
        <f>SUM('MasterA1(current$)'!AK62)/0.75324</f>
        <v>744.78253942966387</v>
      </c>
      <c r="AL62" s="33">
        <f>SUM('MasterA1(current$)'!AL62)/0.76699</f>
        <v>906.13958460996889</v>
      </c>
      <c r="AM62" s="33">
        <f>SUM('MasterA1(current$)'!AM62)/0.78012</f>
        <v>869.09706199046298</v>
      </c>
      <c r="AN62" s="33">
        <f>SUM('MasterA1(current$)'!AN62)/0.78859</f>
        <v>1029.6858950785579</v>
      </c>
      <c r="AO62" s="33">
        <f>SUM('MasterA1(current$)'!AO62)/0.80065</f>
        <v>1082.8701679885094</v>
      </c>
      <c r="AP62" s="339">
        <f>SUM('MasterA1(current$)'!AP62)/0.81887</f>
        <v>1075.8728491701979</v>
      </c>
      <c r="AQ62" s="339">
        <f>SUM('MasterA1(current$)'!AQ62)/0.83754</f>
        <v>1112.782673066361</v>
      </c>
      <c r="AR62" s="339">
        <f>SUM('MasterA1(current$)'!AR62)/0.85039</f>
        <v>1611.0255294629524</v>
      </c>
      <c r="AS62" s="339">
        <f>SUM('MasterA1(current$)'!AS62)/0.86735</f>
        <v>1318.9600507292328</v>
      </c>
      <c r="AT62" s="339">
        <f>SUM('MasterA1(current$)'!AT62)/0.8912</f>
        <v>1271.3195691202873</v>
      </c>
      <c r="AU62" s="339">
        <f>SUM('MasterA1(current$)'!AU62)/0.91988</f>
        <v>1177.3274774970648</v>
      </c>
      <c r="AV62" s="339">
        <f>SUM('MasterA1(current$)'!AV62)/0.94814</f>
        <v>1366.8867466829793</v>
      </c>
      <c r="AW62" s="339">
        <f>SUM('MasterA1(current$)'!AW62)/0.97337</f>
        <v>1354.0585799850007</v>
      </c>
      <c r="AX62" s="170">
        <f>SUM('MasterA1(current$)'!AX62*100)/99.246</f>
        <v>1357.2335408983738</v>
      </c>
      <c r="AY62" s="293">
        <f>SUM('MasterA1(current$)'!AY62)</f>
        <v>1501</v>
      </c>
      <c r="AZ62" s="293">
        <f>SUM('MasterA1(current$)'!AZ62*100)/101.221</f>
        <v>1602.434277472066</v>
      </c>
      <c r="BA62" s="293">
        <f>SUM('MasterA1(current$)'!BA62*100)/103.311</f>
        <v>1600.0232308273078</v>
      </c>
      <c r="BB62" s="293">
        <f>SUM('MasterA1(current$)'!BB62*100)/105.214</f>
        <v>1528.3137225084115</v>
      </c>
      <c r="BC62" s="293">
        <f>SUM('MasterA1(current$)'!BC62*100)/106.913</f>
        <v>1432.9408023346086</v>
      </c>
      <c r="BD62" s="293">
        <f>SUM('MasterA1(current$)'!BD62*100)/108.828</f>
        <v>1338.8098651082441</v>
      </c>
      <c r="BE62" s="293">
        <f>SUM('MasterA1(current$)'!BE62*100)/109.998</f>
        <v>1346.3881161475663</v>
      </c>
      <c r="BF62" s="314">
        <f>SUM('MasterA1(current$)'!BF62*100)/111.298</f>
        <v>1333.3572930331184</v>
      </c>
      <c r="BG62" s="314">
        <f>SUM('MasterA1(current$)'!BG62*100)/113.198</f>
        <v>1370.1655506281031</v>
      </c>
      <c r="BH62" s="314">
        <f>SUM('MasterA1(current$)'!BH62*100)/115.198</f>
        <v>1342.9052587718538</v>
      </c>
      <c r="BI62" s="385">
        <f>(BG62-BF62)/BF62</f>
        <v>2.7605697128076905E-2</v>
      </c>
      <c r="BJ62" s="385">
        <f>(BH62-BG62)/BG62</f>
        <v>-1.9895619068624807E-2</v>
      </c>
      <c r="BK62" s="569">
        <f>BG62-BF62</f>
        <v>36.808257594984752</v>
      </c>
      <c r="BL62" s="569">
        <f>BH62-BG62</f>
        <v>-27.260291856249296</v>
      </c>
    </row>
    <row r="63" spans="1:88" ht="11.1" customHeight="1">
      <c r="A63" s="125" t="s">
        <v>101</v>
      </c>
      <c r="B63" s="56" t="s">
        <v>3</v>
      </c>
      <c r="C63" s="56" t="s">
        <v>3</v>
      </c>
      <c r="D63" s="56" t="s">
        <v>3</v>
      </c>
      <c r="E63" s="342" t="s">
        <v>3</v>
      </c>
      <c r="F63" s="342" t="s">
        <v>3</v>
      </c>
      <c r="G63" s="342" t="s">
        <v>3</v>
      </c>
      <c r="H63" s="33">
        <f>SUM('MasterA1(current$)'!H63)/0.19227</f>
        <v>5.2010193998023615</v>
      </c>
      <c r="I63" s="33">
        <f>SUM('MasterA1(current$)'!I63)/0.19786</f>
        <v>20.216314565854645</v>
      </c>
      <c r="J63" s="33">
        <f>SUM('MasterA1(current$)'!J63)/0.20627</f>
        <v>24.240073689824015</v>
      </c>
      <c r="K63" s="33">
        <f>SUM('MasterA1(current$)'!K63)/0.21642</f>
        <v>18.482580168191479</v>
      </c>
      <c r="L63" s="33">
        <f>SUM('MasterA1(current$)'!L63)/0.22784</f>
        <v>26.334269662921351</v>
      </c>
      <c r="M63" s="33">
        <f>SUM('MasterA1(current$)'!M63)/0.23941</f>
        <v>25.061609790735556</v>
      </c>
      <c r="N63" s="33">
        <f>SUM('MasterA1(current$)'!N63)/0.24978</f>
        <v>16.014092401313157</v>
      </c>
      <c r="O63" s="33">
        <f>SUM('MasterA1(current$)'!O63)/0.26337</f>
        <v>91.126551999088733</v>
      </c>
      <c r="P63" s="33">
        <f>SUM('MasterA1(current$)'!P63)/0.28703</f>
        <v>17.419781904330556</v>
      </c>
      <c r="Q63" s="33">
        <f>SUM('MasterA1(current$)'!Q63)/0.31361</f>
        <v>47.830107458308092</v>
      </c>
      <c r="R63" s="33">
        <f>SUM('MasterA1(current$)'!R63)/0.33083</f>
        <v>30.227004806093763</v>
      </c>
      <c r="S63" s="33">
        <f>SUM('MasterA1(current$)'!S63)/0.35135</f>
        <v>54.077131065888715</v>
      </c>
      <c r="T63" s="33">
        <f>SUM('MasterA1(current$)'!T63)/0.37602</f>
        <v>47.86979415988511</v>
      </c>
      <c r="U63" s="33">
        <f>SUM('MasterA1(current$)'!U63)/0.40706</f>
        <v>51.589446273276671</v>
      </c>
      <c r="V63" s="33">
        <f>SUM('MasterA1(current$)'!V63)/0.44377</f>
        <v>45.068391283773124</v>
      </c>
      <c r="W63" s="33">
        <f>SUM('MasterA1(current$)'!W63)/0.4852</f>
        <v>43.28112118713932</v>
      </c>
      <c r="X63" s="33">
        <f>SUM('MasterA1(current$)'!X63)/0.5153</f>
        <v>40.75295944110227</v>
      </c>
      <c r="Y63" s="33">
        <f>SUM('MasterA1(current$)'!Y63)/0.53565</f>
        <v>42.938485951647536</v>
      </c>
      <c r="Z63" s="33">
        <f>SUM('MasterA1(current$)'!Z63)/0.55466</f>
        <v>48.678469693145345</v>
      </c>
      <c r="AA63" s="33">
        <f>SUM('MasterA1(current$)'!AA63)/0.5724</f>
        <v>57.651991614255763</v>
      </c>
      <c r="AB63" s="33">
        <f>SUM('MasterA1(current$)'!AB63)/0.58395</f>
        <v>63.361589177155579</v>
      </c>
      <c r="AC63" s="33">
        <f>SUM('MasterA1(current$)'!AC63)/0.59885</f>
        <v>125.24004341654839</v>
      </c>
      <c r="AD63" s="33">
        <f>SUM('MasterA1(current$)'!AD63)/0.61982</f>
        <v>130.68310154561001</v>
      </c>
      <c r="AE63" s="33">
        <f>SUM('MasterA1(current$)'!AE63)/0.64392</f>
        <v>144.4278792396571</v>
      </c>
      <c r="AF63" s="33">
        <f>SUM('MasterA1(current$)'!AF63)/0.66773</f>
        <v>146.76590837614003</v>
      </c>
      <c r="AG63" s="33">
        <f>SUM('MasterA1(current$)'!AG63)/0.68996</f>
        <v>157.98017276363848</v>
      </c>
      <c r="AH63" s="33">
        <f>SUM('MasterA1(current$)'!AH63)/0.70569</f>
        <v>170.04633762700334</v>
      </c>
      <c r="AI63" s="33">
        <f>SUM('MasterA1(current$)'!AI63)/0.72248</f>
        <v>184.08814084818957</v>
      </c>
      <c r="AJ63" s="33">
        <f>SUM('MasterA1(current$)'!AJ63)/0.73785</f>
        <v>176.18757199972893</v>
      </c>
      <c r="AK63" s="33">
        <f>SUM('MasterA1(current$)'!AK63)/0.75324</f>
        <v>126.12182040252775</v>
      </c>
      <c r="AL63" s="33">
        <f>SUM('MasterA1(current$)'!AL63)/0.76699</f>
        <v>149.93676579877183</v>
      </c>
      <c r="AM63" s="33">
        <f>SUM('MasterA1(current$)'!AM63)/0.78012</f>
        <v>144.84951033174383</v>
      </c>
      <c r="AN63" s="33">
        <f>SUM('MasterA1(current$)'!AN63)/0.78859</f>
        <v>154.70650147732027</v>
      </c>
      <c r="AO63" s="33">
        <f>SUM('MasterA1(current$)'!AO63)/0.80065</f>
        <v>172.35995753450322</v>
      </c>
      <c r="AP63" s="339">
        <f>SUM('MasterA1(current$)'!AP63)/0.81887</f>
        <v>10.990755553384542</v>
      </c>
      <c r="AQ63" s="339">
        <f>SUM('MasterA1(current$)'!AQ63)/0.83754</f>
        <v>14.327673902141989</v>
      </c>
      <c r="AR63" s="339">
        <f>SUM('MasterA1(current$)'!AR63)/0.85039</f>
        <v>18.814896694457836</v>
      </c>
      <c r="AS63" s="339">
        <f>SUM('MasterA1(current$)'!AS63)/0.86735</f>
        <v>19.599930823773565</v>
      </c>
      <c r="AT63" s="339">
        <f>SUM('MasterA1(current$)'!AT63)/0.8912</f>
        <v>19.075403949730699</v>
      </c>
      <c r="AU63" s="339">
        <f>SUM('MasterA1(current$)'!AU63)/0.91988</f>
        <v>0</v>
      </c>
      <c r="AV63" s="342" t="s">
        <v>3</v>
      </c>
      <c r="AW63" s="342" t="s">
        <v>3</v>
      </c>
      <c r="AX63" s="342" t="s">
        <v>3</v>
      </c>
      <c r="AY63" s="293" t="s">
        <v>3</v>
      </c>
      <c r="AZ63" s="293" t="s">
        <v>3</v>
      </c>
      <c r="BA63" s="293" t="s">
        <v>3</v>
      </c>
      <c r="BB63" s="293" t="s">
        <v>3</v>
      </c>
      <c r="BC63" s="293" t="s">
        <v>3</v>
      </c>
      <c r="BD63" s="293" t="s">
        <v>3</v>
      </c>
      <c r="BE63" s="293" t="s">
        <v>3</v>
      </c>
      <c r="BF63" s="314" t="s">
        <v>3</v>
      </c>
      <c r="BG63" s="314" t="s">
        <v>3</v>
      </c>
      <c r="BH63" s="314" t="s">
        <v>3</v>
      </c>
      <c r="BI63" s="419" t="s">
        <v>9</v>
      </c>
      <c r="BJ63" s="419" t="s">
        <v>9</v>
      </c>
      <c r="BK63" s="573" t="s">
        <v>9</v>
      </c>
      <c r="BL63" s="573" t="s">
        <v>9</v>
      </c>
    </row>
    <row r="64" spans="1:88" s="300" customFormat="1" ht="11.1" customHeight="1">
      <c r="A64" s="426" t="s">
        <v>102</v>
      </c>
      <c r="B64" s="60" t="s">
        <v>3</v>
      </c>
      <c r="C64" s="60" t="s">
        <v>3</v>
      </c>
      <c r="D64" s="60" t="s">
        <v>3</v>
      </c>
      <c r="E64" s="342" t="s">
        <v>3</v>
      </c>
      <c r="F64" s="342" t="s">
        <v>3</v>
      </c>
      <c r="G64" s="342" t="s">
        <v>3</v>
      </c>
      <c r="H64" s="342" t="s">
        <v>3</v>
      </c>
      <c r="I64" s="342" t="s">
        <v>3</v>
      </c>
      <c r="J64" s="342" t="s">
        <v>3</v>
      </c>
      <c r="K64" s="342" t="s">
        <v>3</v>
      </c>
      <c r="L64" s="342" t="s">
        <v>3</v>
      </c>
      <c r="M64" s="342" t="s">
        <v>3</v>
      </c>
      <c r="N64" s="342" t="s">
        <v>3</v>
      </c>
      <c r="O64" s="342" t="s">
        <v>3</v>
      </c>
      <c r="P64" s="342" t="s">
        <v>3</v>
      </c>
      <c r="Q64" s="342" t="s">
        <v>3</v>
      </c>
      <c r="R64" s="342" t="s">
        <v>3</v>
      </c>
      <c r="S64" s="342" t="s">
        <v>3</v>
      </c>
      <c r="T64" s="342" t="s">
        <v>3</v>
      </c>
      <c r="U64" s="342" t="s">
        <v>3</v>
      </c>
      <c r="V64" s="342" t="s">
        <v>3</v>
      </c>
      <c r="W64" s="342" t="s">
        <v>3</v>
      </c>
      <c r="X64" s="342" t="s">
        <v>3</v>
      </c>
      <c r="Y64" s="342" t="s">
        <v>3</v>
      </c>
      <c r="Z64" s="342" t="s">
        <v>3</v>
      </c>
      <c r="AA64" s="342" t="s">
        <v>3</v>
      </c>
      <c r="AB64" s="342" t="s">
        <v>3</v>
      </c>
      <c r="AC64" s="342" t="s">
        <v>3</v>
      </c>
      <c r="AD64" s="342" t="s">
        <v>3</v>
      </c>
      <c r="AE64" s="342" t="s">
        <v>3</v>
      </c>
      <c r="AF64" s="342" t="s">
        <v>3</v>
      </c>
      <c r="AG64" s="342" t="s">
        <v>3</v>
      </c>
      <c r="AH64" s="342" t="s">
        <v>3</v>
      </c>
      <c r="AI64" s="342" t="s">
        <v>3</v>
      </c>
      <c r="AJ64" s="342" t="s">
        <v>3</v>
      </c>
      <c r="AK64" s="342" t="s">
        <v>3</v>
      </c>
      <c r="AL64" s="342" t="s">
        <v>3</v>
      </c>
      <c r="AM64" s="342" t="s">
        <v>3</v>
      </c>
      <c r="AN64" s="342" t="s">
        <v>3</v>
      </c>
      <c r="AO64" s="342" t="s">
        <v>3</v>
      </c>
      <c r="AP64" s="339">
        <f>SUM('MasterA1(current$)'!AP64)/0.81887</f>
        <v>199.05479502240894</v>
      </c>
      <c r="AQ64" s="339">
        <f>SUM('MasterA1(current$)'!AQ64)/0.83754</f>
        <v>251.92826611266329</v>
      </c>
      <c r="AR64" s="339">
        <f>SUM('MasterA1(current$)'!AR64)/0.85039</f>
        <v>337.49220945683749</v>
      </c>
      <c r="AS64" s="339">
        <f>SUM('MasterA1(current$)'!AS64)/0.86735</f>
        <v>315.90476739493863</v>
      </c>
      <c r="AT64" s="339">
        <f>SUM('MasterA1(current$)'!AT64)/0.8912</f>
        <v>398.33931777378814</v>
      </c>
      <c r="AU64" s="339">
        <f>SUM('MasterA1(current$)'!AU64)/0.91988</f>
        <v>412.01026220811411</v>
      </c>
      <c r="AV64" s="339">
        <f>SUM('MasterA1(current$)'!AV64)/0.94814</f>
        <v>474.61345370936783</v>
      </c>
      <c r="AW64" s="339">
        <f>SUM('MasterA1(current$)'!AW64)/0.97337</f>
        <v>484.91323956974225</v>
      </c>
      <c r="AX64" s="342">
        <f>SUM('MasterA1(current$)'!AX64*100)/99.246</f>
        <v>532.01136569735809</v>
      </c>
      <c r="AY64" s="293">
        <f>SUM('MasterA1(current$)'!AY64)</f>
        <v>522</v>
      </c>
      <c r="AZ64" s="293">
        <f>SUM('MasterA1(current$)'!AZ64*100)/101.221</f>
        <v>505.82389029944375</v>
      </c>
      <c r="BA64" s="293">
        <f>SUM('MasterA1(current$)'!BA64*100)/103.311</f>
        <v>422.0266960923812</v>
      </c>
      <c r="BB64" s="293">
        <f>SUM('MasterA1(current$)'!BB64*100)/105.214</f>
        <v>507.53701978824114</v>
      </c>
      <c r="BC64" s="293">
        <f>SUM('MasterA1(current$)'!BC64*100)/106.913</f>
        <v>508.82493242168869</v>
      </c>
      <c r="BD64" s="293">
        <f>SUM('MasterA1(current$)'!BD64*100)/108.828</f>
        <v>490.68254493328919</v>
      </c>
      <c r="BE64" s="293">
        <f>SUM('MasterA1(current$)'!BE64*100)/109.998</f>
        <v>500.9181985127002</v>
      </c>
      <c r="BF64" s="314">
        <f>SUM('MasterA1(current$)'!BF64*100)/111.298</f>
        <v>513.93556038742838</v>
      </c>
      <c r="BG64" s="314">
        <f>SUM('MasterA1(current$)'!BG64*100)/113.198</f>
        <v>525.62766126610018</v>
      </c>
      <c r="BH64" s="314">
        <f>SUM('MasterA1(current$)'!BH64*100)/115.198</f>
        <v>545.14835327002208</v>
      </c>
      <c r="BI64" s="385">
        <f t="shared" ref="BI64:BJ68" si="5">(BG64-BF64)/BF64</f>
        <v>2.2750130132769462E-2</v>
      </c>
      <c r="BJ64" s="385">
        <f t="shared" si="5"/>
        <v>3.713787047831852E-2</v>
      </c>
      <c r="BK64" s="569">
        <f t="shared" ref="BK64:BL68" si="6">BG64-BF64</f>
        <v>11.692100878671795</v>
      </c>
      <c r="BL64" s="569">
        <f t="shared" si="6"/>
        <v>19.520692003921909</v>
      </c>
      <c r="BM64" s="331"/>
      <c r="BN64" s="331"/>
      <c r="BO64" s="331"/>
      <c r="BP64" s="331"/>
      <c r="BQ64" s="331"/>
      <c r="BR64" s="331"/>
      <c r="BS64" s="331"/>
      <c r="BT64" s="331"/>
      <c r="BU64" s="331"/>
      <c r="BV64" s="331"/>
      <c r="BW64" s="331"/>
      <c r="BX64" s="331"/>
      <c r="BY64" s="331"/>
      <c r="BZ64" s="331"/>
      <c r="CA64" s="331"/>
      <c r="CB64" s="331"/>
      <c r="CC64" s="331"/>
      <c r="CD64" s="331"/>
      <c r="CE64" s="331"/>
      <c r="CF64" s="331"/>
      <c r="CG64" s="331"/>
      <c r="CH64" s="331"/>
      <c r="CI64" s="331"/>
      <c r="CJ64" s="331"/>
    </row>
    <row r="65" spans="1:64" ht="11.1" customHeight="1">
      <c r="A65" s="125" t="s">
        <v>13</v>
      </c>
      <c r="B65" s="56" t="s">
        <v>3</v>
      </c>
      <c r="C65" s="56" t="s">
        <v>3</v>
      </c>
      <c r="D65" s="56" t="s">
        <v>3</v>
      </c>
      <c r="E65" s="342" t="s">
        <v>3</v>
      </c>
      <c r="F65" s="60" t="s">
        <v>3</v>
      </c>
      <c r="G65" s="60" t="s">
        <v>3</v>
      </c>
      <c r="H65" s="33">
        <f>SUM('MasterA1(current$)'!H65)/0.19227</f>
        <v>10.402038799604723</v>
      </c>
      <c r="I65" s="33">
        <f>SUM('MasterA1(current$)'!I65)/0.19786</f>
        <v>35.37855049024563</v>
      </c>
      <c r="J65" s="33">
        <f>SUM('MasterA1(current$)'!J65)/0.20627</f>
        <v>72.720221069472046</v>
      </c>
      <c r="K65" s="33">
        <f>SUM('MasterA1(current$)'!K65)/0.21642</f>
        <v>73.930320672765916</v>
      </c>
      <c r="L65" s="33">
        <f>SUM('MasterA1(current$)'!L65)/0.22784</f>
        <v>70.224719101123597</v>
      </c>
      <c r="M65" s="33">
        <f>SUM('MasterA1(current$)'!M65)/0.23941</f>
        <v>125.30804895367778</v>
      </c>
      <c r="N65" s="33">
        <f>SUM('MasterA1(current$)'!N65)/0.24978</f>
        <v>136.11978541116181</v>
      </c>
      <c r="O65" s="33">
        <f>SUM('MasterA1(current$)'!O65)/0.26337</f>
        <v>193.64392299806357</v>
      </c>
      <c r="P65" s="33">
        <f>SUM('MasterA1(current$)'!P65)/0.28703</f>
        <v>156.77803713897501</v>
      </c>
      <c r="Q65" s="33">
        <f>SUM('MasterA1(current$)'!Q65)/0.31361</f>
        <v>194.50910366378622</v>
      </c>
      <c r="R65" s="33">
        <f>SUM('MasterA1(current$)'!R65)/0.33083</f>
        <v>193.45283075900008</v>
      </c>
      <c r="S65" s="33">
        <f>SUM('MasterA1(current$)'!S65)/0.35135</f>
        <v>224.8470186423794</v>
      </c>
      <c r="T65" s="33">
        <f>SUM('MasterA1(current$)'!T65)/0.37602</f>
        <v>231.37067177277802</v>
      </c>
      <c r="U65" s="33">
        <f>SUM('MasterA1(current$)'!U65)/0.40706</f>
        <v>203.90114479437921</v>
      </c>
      <c r="V65" s="33">
        <f>SUM('MasterA1(current$)'!V65)/0.44377</f>
        <v>207.31459990535637</v>
      </c>
      <c r="W65" s="33">
        <f>SUM('MasterA1(current$)'!W65)/0.4852</f>
        <v>173.12448474855728</v>
      </c>
      <c r="X65" s="33">
        <f>SUM('MasterA1(current$)'!X65)/0.5153</f>
        <v>120.31826120706386</v>
      </c>
      <c r="Y65" s="33">
        <f>SUM('MasterA1(current$)'!Y65)/0.53565</f>
        <v>82.14319051619529</v>
      </c>
      <c r="Z65" s="33">
        <f>SUM('MasterA1(current$)'!Z65)/0.55466</f>
        <v>77.524970252046288</v>
      </c>
      <c r="AA65" s="33">
        <f>SUM('MasterA1(current$)'!AA65)/0.5724</f>
        <v>76.869322152341013</v>
      </c>
      <c r="AB65" s="33">
        <f>SUM('MasterA1(current$)'!AB65)/0.58395</f>
        <v>75.348916859320155</v>
      </c>
      <c r="AC65" s="33">
        <f>SUM('MasterA1(current$)'!AC65)/0.59885</f>
        <v>66.794689822159143</v>
      </c>
      <c r="AD65" s="33">
        <f>SUM('MasterA1(current$)'!AD65)/0.61982</f>
        <v>74.215094704914321</v>
      </c>
      <c r="AE65" s="33">
        <f>SUM('MasterA1(current$)'!AE65)/0.64392</f>
        <v>66.778481798981232</v>
      </c>
      <c r="AF65" s="33">
        <f>SUM('MasterA1(current$)'!AF65)/0.66773</f>
        <v>77.875788117951856</v>
      </c>
      <c r="AG65" s="33">
        <f>SUM('MasterA1(current$)'!AG65)/0.68996</f>
        <v>75.366687923937619</v>
      </c>
      <c r="AH65" s="33">
        <f>SUM('MasterA1(current$)'!AH65)/0.70569</f>
        <v>85.02316881350167</v>
      </c>
      <c r="AI65" s="33">
        <f>SUM('MasterA1(current$)'!AI65)/0.72248</f>
        <v>85.815524305171081</v>
      </c>
      <c r="AJ65" s="33">
        <f>SUM('MasterA1(current$)'!AJ65)/0.73785</f>
        <v>85.383207969099416</v>
      </c>
      <c r="AK65" s="33">
        <f>SUM('MasterA1(current$)'!AK65)/0.75324</f>
        <v>88.949073336519561</v>
      </c>
      <c r="AL65" s="33">
        <f>SUM('MasterA1(current$)'!AL65)/0.76699</f>
        <v>91.265857442730677</v>
      </c>
      <c r="AM65" s="33">
        <f>SUM('MasterA1(current$)'!AM65)/0.78012</f>
        <v>97.420909603650713</v>
      </c>
      <c r="AN65" s="33">
        <f>SUM('MasterA1(current$)'!AN65)/0.78859</f>
        <v>120.46817737988054</v>
      </c>
      <c r="AO65" s="33">
        <f>SUM('MasterA1(current$)'!AO65)/0.80065</f>
        <v>128.64547555111471</v>
      </c>
      <c r="AP65" s="339">
        <f>SUM('MasterA1(current$)'!AP65)/0.81887</f>
        <v>145.32221231697341</v>
      </c>
      <c r="AQ65" s="339">
        <f>SUM('MasterA1(current$)'!AQ65)/0.83754</f>
        <v>145.66468467177688</v>
      </c>
      <c r="AR65" s="339">
        <f>SUM('MasterA1(current$)'!AR65)/0.85039</f>
        <v>176.38965651054224</v>
      </c>
      <c r="AS65" s="339">
        <f>SUM('MasterA1(current$)'!AS65)/0.86735</f>
        <v>177.55231452124286</v>
      </c>
      <c r="AT65" s="339">
        <f>SUM('MasterA1(current$)'!AT65)/0.8912</f>
        <v>177.28904847396768</v>
      </c>
      <c r="AU65" s="339">
        <f>SUM('MasterA1(current$)'!AU65)/0.91988</f>
        <v>175.02282906466061</v>
      </c>
      <c r="AV65" s="339">
        <f>SUM('MasterA1(current$)'!AV65)/0.94814</f>
        <v>221.48627839770498</v>
      </c>
      <c r="AW65" s="339">
        <f>SUM('MasterA1(current$)'!AW65)/0.97337</f>
        <v>213.69058014937795</v>
      </c>
      <c r="AX65" s="342">
        <f>SUM('MasterA1(current$)'!AX65*100)/99.246</f>
        <v>201.51945670354473</v>
      </c>
      <c r="AY65" s="293">
        <f>SUM('MasterA1(current$)'!AY65)</f>
        <v>210</v>
      </c>
      <c r="AZ65" s="293">
        <f>SUM('MasterA1(current$)'!AZ65*100)/101.221</f>
        <v>225.24970114897104</v>
      </c>
      <c r="BA65" s="293">
        <f>SUM('MasterA1(current$)'!BA65*100)/103.311</f>
        <v>207.14154349488436</v>
      </c>
      <c r="BB65" s="293">
        <f>SUM('MasterA1(current$)'!BB65*100)/105.214</f>
        <v>287.03404489896781</v>
      </c>
      <c r="BC65" s="293">
        <f>SUM('MasterA1(current$)'!BC65*100)/106.913</f>
        <v>256.28314610945347</v>
      </c>
      <c r="BD65" s="293">
        <f>SUM('MasterA1(current$)'!BD65*100)/108.828</f>
        <v>220.53148086889402</v>
      </c>
      <c r="BE65" s="293">
        <f>SUM('MasterA1(current$)'!BE65*100)/109.998</f>
        <v>233.64061164748449</v>
      </c>
      <c r="BF65" s="314">
        <f>SUM('MasterA1(current$)'!BF65*100)/111.298</f>
        <v>215.63729806465525</v>
      </c>
      <c r="BG65" s="314">
        <f>SUM('MasterA1(current$)'!BG65*100)/113.198</f>
        <v>215.55151151080409</v>
      </c>
      <c r="BH65" s="314">
        <f>SUM('MasterA1(current$)'!BH65*100)/115.198</f>
        <v>231.77485720238201</v>
      </c>
      <c r="BI65" s="385">
        <f t="shared" si="5"/>
        <v>-3.9782799460528833E-4</v>
      </c>
      <c r="BJ65" s="385">
        <f t="shared" si="5"/>
        <v>7.5264355967017915E-2</v>
      </c>
      <c r="BK65" s="569">
        <f t="shared" si="6"/>
        <v>-8.5786553851164626E-2</v>
      </c>
      <c r="BL65" s="569">
        <f t="shared" si="6"/>
        <v>16.223345691577919</v>
      </c>
    </row>
    <row r="66" spans="1:64" ht="11.1" customHeight="1">
      <c r="A66" s="125" t="s">
        <v>62</v>
      </c>
      <c r="B66" s="60" t="s">
        <v>3</v>
      </c>
      <c r="C66" s="60" t="s">
        <v>3</v>
      </c>
      <c r="D66" s="60" t="s">
        <v>3</v>
      </c>
      <c r="E66" s="170" t="s">
        <v>3</v>
      </c>
      <c r="F66" s="170" t="s">
        <v>3</v>
      </c>
      <c r="G66" s="170" t="s">
        <v>3</v>
      </c>
      <c r="H66" s="170" t="s">
        <v>3</v>
      </c>
      <c r="I66" s="33">
        <f>SUM('MasterA1(current$)'!I66)/0.19786</f>
        <v>10.108157282927323</v>
      </c>
      <c r="J66" s="344">
        <f>SUM('MasterA1(current$)'!J66)/0.20627</f>
        <v>72.720221069472046</v>
      </c>
      <c r="K66" s="344">
        <f>SUM('MasterA1(current$)'!K66)/0.21642</f>
        <v>101.65419092505314</v>
      </c>
      <c r="L66" s="344">
        <f>SUM('MasterA1(current$)'!L66)/0.22784</f>
        <v>114.11516853932585</v>
      </c>
      <c r="M66" s="344">
        <f>SUM('MasterA1(current$)'!M66)/0.23941</f>
        <v>167.07739860490372</v>
      </c>
      <c r="N66" s="344">
        <f>SUM('MasterA1(current$)'!N66)/0.24978</f>
        <v>312.27480182560652</v>
      </c>
      <c r="O66" s="344">
        <f>SUM('MasterA1(current$)'!O66)/0.26337</f>
        <v>368.30314766298363</v>
      </c>
      <c r="P66" s="344">
        <f>SUM('MasterA1(current$)'!P66)/0.28703</f>
        <v>404.13894018046892</v>
      </c>
      <c r="Q66" s="344">
        <f>SUM('MasterA1(current$)'!Q66)/0.31361</f>
        <v>309.30136156372566</v>
      </c>
      <c r="R66" s="344">
        <f>SUM('MasterA1(current$)'!R66)/0.33083</f>
        <v>265.99764229362512</v>
      </c>
      <c r="S66" s="344">
        <f>SUM('MasterA1(current$)'!S66)/0.35135</f>
        <v>267.53949053650206</v>
      </c>
      <c r="T66" s="344">
        <f>SUM('MasterA1(current$)'!T66)/0.37602</f>
        <v>249.98670283495557</v>
      </c>
      <c r="U66" s="33">
        <f>SUM('MasterA1(current$)'!U66)/0.40706</f>
        <v>339.01636122438953</v>
      </c>
      <c r="V66" s="344">
        <f>SUM('MasterA1(current$)'!V66)/0.44377</f>
        <v>308.71848029384591</v>
      </c>
      <c r="W66" s="344">
        <f>SUM('MasterA1(current$)'!W66)/0.4852</f>
        <v>305.0288540807914</v>
      </c>
      <c r="X66" s="344">
        <f>SUM('MasterA1(current$)'!X66)/0.5153</f>
        <v>211.52726567048322</v>
      </c>
      <c r="Y66" s="344">
        <f>SUM('MasterA1(current$)'!Y66)/0.53565</f>
        <v>207.2248669840381</v>
      </c>
      <c r="Z66" s="344">
        <f>SUM('MasterA1(current$)'!Z66)/0.55466</f>
        <v>194.71387877258138</v>
      </c>
      <c r="AA66" s="344">
        <f>SUM('MasterA1(current$)'!AA66)/0.5724</f>
        <v>197.41439552760306</v>
      </c>
      <c r="AB66" s="344">
        <f>SUM('MasterA1(current$)'!AB66)/0.58395</f>
        <v>191.7972429146331</v>
      </c>
      <c r="AC66" s="344">
        <f>SUM('MasterA1(current$)'!AC66)/0.59885</f>
        <v>223.76221090423311</v>
      </c>
      <c r="AD66" s="344">
        <f>SUM('MasterA1(current$)'!AD66)/0.61982</f>
        <v>200.05808137846469</v>
      </c>
      <c r="AE66" s="344">
        <f>SUM('MasterA1(current$)'!AE66)/0.64392</f>
        <v>130.45098770033545</v>
      </c>
      <c r="AF66" s="344">
        <f>SUM('MasterA1(current$)'!AF66)/0.66773</f>
        <v>221.64647387417068</v>
      </c>
      <c r="AG66" s="344">
        <f>SUM('MasterA1(current$)'!AG66)/0.68996</f>
        <v>221.75198562235491</v>
      </c>
      <c r="AH66" s="344">
        <f>SUM('MasterA1(current$)'!AH66)/0.70569</f>
        <v>226.7284501693378</v>
      </c>
      <c r="AI66" s="344">
        <f>SUM('MasterA1(current$)'!AI66)/0.72248</f>
        <v>220.07529620197099</v>
      </c>
      <c r="AJ66" s="344">
        <f>SUM('MasterA1(current$)'!AJ66)/0.73785</f>
        <v>249.37317883038557</v>
      </c>
      <c r="AK66" s="344">
        <f>SUM('MasterA1(current$)'!AK66)/0.75324</f>
        <v>246.93324836705432</v>
      </c>
      <c r="AL66" s="344">
        <f>SUM('MasterA1(current$)'!AL66)/0.76699</f>
        <v>250.32920898577558</v>
      </c>
      <c r="AM66" s="344">
        <f>SUM('MasterA1(current$)'!AM66)/0.78012</f>
        <v>287.13531251602319</v>
      </c>
      <c r="AN66" s="344">
        <f>SUM('MasterA1(current$)'!AN66)/0.78859</f>
        <v>342.38324097439732</v>
      </c>
      <c r="AO66" s="344">
        <f>SUM('MasterA1(current$)'!AO66)/0.80065</f>
        <v>238.55617310934866</v>
      </c>
      <c r="AP66" s="339">
        <f>SUM('MasterA1(current$)'!AP66)/0.81887</f>
        <v>232.02706168256256</v>
      </c>
      <c r="AQ66" s="339">
        <f>SUM('MasterA1(current$)'!AQ66)/0.83754</f>
        <v>292.52334216873226</v>
      </c>
      <c r="AR66" s="339">
        <f>SUM('MasterA1(current$)'!AR66)/0.85039</f>
        <v>318.67731276237964</v>
      </c>
      <c r="AS66" s="339">
        <f>SUM('MasterA1(current$)'!AS66)/0.86735</f>
        <v>297.45777367844585</v>
      </c>
      <c r="AT66" s="339">
        <f>SUM('MasterA1(current$)'!AT66)/0.8912</f>
        <v>188.50987432675046</v>
      </c>
      <c r="AU66" s="339">
        <f>SUM('MasterA1(current$)'!AU66)/0.91988</f>
        <v>208.72287689698655</v>
      </c>
      <c r="AV66" s="339">
        <f>SUM('MasterA1(current$)'!AV66)/0.94814</f>
        <v>409.22226675385491</v>
      </c>
      <c r="AW66" s="339">
        <f>SUM('MasterA1(current$)'!AW66)/0.97337</f>
        <v>503.40569362113075</v>
      </c>
      <c r="AX66" s="342">
        <f>SUM('MasterA1(current$)'!AX66*100)/99.246</f>
        <v>491.70747435664919</v>
      </c>
      <c r="AY66" s="293">
        <f>SUM('MasterA1(current$)'!AY66)</f>
        <v>587</v>
      </c>
      <c r="AZ66" s="293">
        <f>SUM('MasterA1(current$)'!AZ66*100)/101.221</f>
        <v>480.13752087017514</v>
      </c>
      <c r="BA66" s="293">
        <f>SUM('MasterA1(current$)'!BA66*100)/103.311</f>
        <v>455.90498591631092</v>
      </c>
      <c r="BB66" s="293">
        <f>SUM('MasterA1(current$)'!BB66*100)/105.214</f>
        <v>424.84840420476365</v>
      </c>
      <c r="BC66" s="293">
        <f>SUM('MasterA1(current$)'!BC66*100)/106.913</f>
        <v>494.79483318212004</v>
      </c>
      <c r="BD66" s="293">
        <f>SUM('MasterA1(current$)'!BD66*100)/108.828</f>
        <v>417.17205131032455</v>
      </c>
      <c r="BE66" s="293">
        <f>SUM('MasterA1(current$)'!BE66*100)/109.998</f>
        <v>428.1896034473354</v>
      </c>
      <c r="BF66" s="314">
        <f>SUM('MasterA1(current$)'!BF66*100)/111.298</f>
        <v>448.34588222609568</v>
      </c>
      <c r="BG66" s="314">
        <f>SUM('MasterA1(current$)'!BG66*100)/113.198</f>
        <v>502.65905758052264</v>
      </c>
      <c r="BH66" s="314">
        <f>SUM('MasterA1(current$)'!BH66*100)/115.198</f>
        <v>531.25922325040369</v>
      </c>
      <c r="BI66" s="385">
        <f t="shared" si="5"/>
        <v>0.12114123828851728</v>
      </c>
      <c r="BJ66" s="385">
        <f t="shared" si="5"/>
        <v>5.6897742592252991E-2</v>
      </c>
      <c r="BK66" s="569">
        <f t="shared" si="6"/>
        <v>54.31317535442696</v>
      </c>
      <c r="BL66" s="569">
        <f t="shared" si="6"/>
        <v>28.600165669881051</v>
      </c>
    </row>
    <row r="67" spans="1:64" ht="11.1" customHeight="1">
      <c r="A67" s="129" t="s">
        <v>119</v>
      </c>
      <c r="B67" s="60" t="s">
        <v>3</v>
      </c>
      <c r="C67" s="60" t="s">
        <v>3</v>
      </c>
      <c r="D67" s="60" t="s">
        <v>3</v>
      </c>
      <c r="E67" s="60" t="s">
        <v>3</v>
      </c>
      <c r="F67" s="60" t="s">
        <v>3</v>
      </c>
      <c r="G67" s="60" t="s">
        <v>3</v>
      </c>
      <c r="H67" s="60" t="s">
        <v>3</v>
      </c>
      <c r="I67" s="60" t="s">
        <v>3</v>
      </c>
      <c r="J67" s="60" t="s">
        <v>3</v>
      </c>
      <c r="K67" s="60" t="s">
        <v>3</v>
      </c>
      <c r="L67" s="60" t="s">
        <v>3</v>
      </c>
      <c r="M67" s="60" t="s">
        <v>3</v>
      </c>
      <c r="N67" s="60" t="s">
        <v>3</v>
      </c>
      <c r="O67" s="60" t="s">
        <v>3</v>
      </c>
      <c r="P67" s="60" t="s">
        <v>3</v>
      </c>
      <c r="Q67" s="60" t="s">
        <v>3</v>
      </c>
      <c r="R67" s="60" t="s">
        <v>3</v>
      </c>
      <c r="S67" s="60" t="s">
        <v>3</v>
      </c>
      <c r="T67" s="60" t="s">
        <v>3</v>
      </c>
      <c r="U67" s="60" t="s">
        <v>3</v>
      </c>
      <c r="V67" s="60" t="s">
        <v>3</v>
      </c>
      <c r="W67" s="60" t="s">
        <v>3</v>
      </c>
      <c r="X67" s="60" t="s">
        <v>3</v>
      </c>
      <c r="Y67" s="60" t="s">
        <v>3</v>
      </c>
      <c r="Z67" s="60" t="s">
        <v>3</v>
      </c>
      <c r="AA67" s="60" t="s">
        <v>3</v>
      </c>
      <c r="AB67" s="60" t="s">
        <v>3</v>
      </c>
      <c r="AC67" s="60" t="s">
        <v>3</v>
      </c>
      <c r="AD67" s="33">
        <f>SUM('MasterA1(current$)'!AD67)/0.61982</f>
        <v>8.0668581200993827</v>
      </c>
      <c r="AE67" s="33">
        <f>SUM('MasterA1(current$)'!AE67)/0.64392</f>
        <v>15.529879488135171</v>
      </c>
      <c r="AF67" s="33">
        <f>SUM('MasterA1(current$)'!AF67)/0.66773</f>
        <v>13.478501789645515</v>
      </c>
      <c r="AG67" s="33">
        <f>SUM('MasterA1(current$)'!AG67)/0.68996</f>
        <v>13.044234448373819</v>
      </c>
      <c r="AH67" s="33">
        <f>SUM('MasterA1(current$)'!AH67)/0.70569</f>
        <v>17.004633762700333</v>
      </c>
      <c r="AI67" s="33">
        <f>SUM('MasterA1(current$)'!AI67)/0.72248</f>
        <v>19.377699036651535</v>
      </c>
      <c r="AJ67" s="33">
        <f>SUM('MasterA1(current$)'!AJ67)/0.73785</f>
        <v>21.684624246120485</v>
      </c>
      <c r="AK67" s="33">
        <f>SUM('MasterA1(current$)'!AK67)/0.75324</f>
        <v>29.207158409006425</v>
      </c>
      <c r="AL67" s="33">
        <f>SUM('MasterA1(current$)'!AL67)/0.76699</f>
        <v>44.329130757897758</v>
      </c>
      <c r="AM67" s="33">
        <f>SUM('MasterA1(current$)'!AM67)/0.78012</f>
        <v>39.737476285699636</v>
      </c>
      <c r="AN67" s="33">
        <f>SUM('MasterA1(current$)'!AN67)/0.78859</f>
        <v>43.114926641220407</v>
      </c>
      <c r="AO67" s="33">
        <f>SUM('MasterA1(current$)'!AO67)/0.80065</f>
        <v>42.465496783863109</v>
      </c>
      <c r="AP67" s="339">
        <f>SUM('MasterA1(current$)'!AP67)/0.81887</f>
        <v>45.18421727502534</v>
      </c>
      <c r="AQ67" s="339">
        <f>SUM('MasterA1(current$)'!AQ67)/0.83754</f>
        <v>35.819184755354968</v>
      </c>
      <c r="AR67" s="339">
        <f>SUM('MasterA1(current$)'!AR67)/0.85039</f>
        <v>50.56503486635544</v>
      </c>
      <c r="AS67" s="339">
        <f>SUM('MasterA1(current$)'!AS67)/0.86735</f>
        <v>70.329163544128676</v>
      </c>
      <c r="AT67" s="339">
        <f>SUM('MasterA1(current$)'!AT67)/0.8912</f>
        <v>68.447037701974864</v>
      </c>
      <c r="AU67" s="339">
        <f>SUM('MasterA1(current$)'!AU67)/0.91988</f>
        <v>72.83558725051094</v>
      </c>
      <c r="AV67" s="339">
        <f>SUM('MasterA1(current$)'!AV67)/0.94814</f>
        <v>78.047545721096043</v>
      </c>
      <c r="AW67" s="339">
        <f>SUM('MasterA1(current$)'!AW67)/0.97337</f>
        <v>78.079250439195789</v>
      </c>
      <c r="AX67" s="342">
        <f>SUM('MasterA1(current$)'!AX67*100)/99.246</f>
        <v>74.56219898031155</v>
      </c>
      <c r="AY67" s="293">
        <f>SUM('MasterA1(current$)'!AY67)</f>
        <v>82</v>
      </c>
      <c r="AZ67" s="293">
        <f>SUM('MasterA1(current$)'!AZ67*100)/101.221</f>
        <v>93.854042145404605</v>
      </c>
      <c r="BA67" s="293">
        <f>SUM('MasterA1(current$)'!BA67*100)/103.311</f>
        <v>97.763064920482805</v>
      </c>
      <c r="BB67" s="293">
        <f>SUM('MasterA1(current$)'!BB67*100)/105.214</f>
        <v>86.490391012602885</v>
      </c>
      <c r="BC67" s="293">
        <f>SUM('MasterA1(current$)'!BC67*100)/106.913</f>
        <v>95.404674829066622</v>
      </c>
      <c r="BD67" s="293">
        <f>SUM('MasterA1(current$)'!BD67*100)/108.828</f>
        <v>101.07692873157643</v>
      </c>
      <c r="BE67" s="293">
        <f>SUM('MasterA1(current$)'!BE67*100)/109.998</f>
        <v>106.36557028309605</v>
      </c>
      <c r="BF67" s="314">
        <f>SUM('MasterA1(current$)'!BF67*100)/111.298</f>
        <v>138.36726625815379</v>
      </c>
      <c r="BG67" s="314">
        <f>SUM('MasterA1(current$)'!BG67*100)/113.198</f>
        <v>148.41251612219298</v>
      </c>
      <c r="BH67" s="314">
        <f>SUM('MasterA1(current$)'!BH67*100)/115.198</f>
        <v>140.62744144863626</v>
      </c>
      <c r="BI67" s="385">
        <f t="shared" si="5"/>
        <v>7.2598455803106102E-2</v>
      </c>
      <c r="BJ67" s="385">
        <f t="shared" si="5"/>
        <v>-5.2455647791504384E-2</v>
      </c>
      <c r="BK67" s="569">
        <f t="shared" si="6"/>
        <v>10.045249864039192</v>
      </c>
      <c r="BL67" s="569">
        <f t="shared" si="6"/>
        <v>-7.7850746735567213</v>
      </c>
    </row>
    <row r="68" spans="1:64" ht="11.1" customHeight="1">
      <c r="A68" s="404" t="s">
        <v>37</v>
      </c>
      <c r="B68" s="291">
        <f>SUM('MasterA1(current$)'!B68)/0.1756</f>
        <v>239.17995444191342</v>
      </c>
      <c r="C68" s="119">
        <f>SUM('MasterA1(current$)'!C68)/0.178</f>
        <v>353.93258426966293</v>
      </c>
      <c r="D68" s="118">
        <f>SUM('MasterA1(current$)'!D68)/0.1798</f>
        <v>433.81535038932151</v>
      </c>
      <c r="E68" s="464">
        <f>SUM('MasterA1(current$)'!E68)/0.182</f>
        <v>489.01098901098902</v>
      </c>
      <c r="F68" s="464">
        <f>SUM('MasterA1(current$)'!F68)/0.1842</f>
        <v>526.60152008686214</v>
      </c>
      <c r="G68" s="464">
        <f>SUM('MasterA1(current$)'!G68)/0.18702</f>
        <v>561.43727943535453</v>
      </c>
      <c r="H68" s="464">
        <f>SUM('MasterA1(current$)'!H68)/0.19227</f>
        <v>520.10193998023612</v>
      </c>
      <c r="I68" s="464">
        <f>SUM('MasterA1(current$)'!I68)/0.19786</f>
        <v>540.78641463661177</v>
      </c>
      <c r="J68" s="464">
        <f>SUM('MasterA1(current$)'!J68)/0.20627</f>
        <v>654.48198962524839</v>
      </c>
      <c r="K68" s="464">
        <f>SUM('MasterA1(current$)'!K68)/0.21642</f>
        <v>683.8554662230847</v>
      </c>
      <c r="L68" s="464">
        <f>SUM('MasterA1(current$)'!L68)/0.22784</f>
        <v>754.91573033707868</v>
      </c>
      <c r="M68" s="464">
        <f>SUM('MasterA1(current$)'!M68)/0.23941</f>
        <v>985.75665176893187</v>
      </c>
      <c r="N68" s="464">
        <f>SUM('MasterA1(current$)'!N68)/0.24978</f>
        <v>1141.0040835935624</v>
      </c>
      <c r="O68" s="464">
        <f>SUM('MasterA1(current$)'!O68)/0.26337</f>
        <v>1351.7105213198163</v>
      </c>
      <c r="P68" s="464">
        <f>SUM('MasterA1(current$)'!P68)/0.28703</f>
        <v>1212.4168205414069</v>
      </c>
      <c r="Q68" s="464">
        <f>SUM('MasterA1(current$)'!Q68)/0.31361</f>
        <v>1154.2999266605018</v>
      </c>
      <c r="R68" s="464">
        <f>SUM('MasterA1(current$)'!R68)/0.33083</f>
        <v>1130.4899797479068</v>
      </c>
      <c r="S68" s="464">
        <f>SUM('MasterA1(current$)'!S68)/0.35135</f>
        <v>1172.6198946919026</v>
      </c>
      <c r="T68" s="464">
        <f>SUM('MasterA1(current$)'!T68)/0.37602</f>
        <v>1146.2156268283602</v>
      </c>
      <c r="U68" s="464">
        <f>SUM('MasterA1(current$)'!U68)/0.40706</f>
        <v>1208.6670269739107</v>
      </c>
      <c r="V68" s="464">
        <f>SUM('MasterA1(current$)'!V68)/0.44377</f>
        <v>1198.8192081483651</v>
      </c>
      <c r="W68" s="464">
        <f>SUM('MasterA1(current$)'!W68)/0.4852</f>
        <v>1133.553173948887</v>
      </c>
      <c r="X68" s="464">
        <f>SUM('MasterA1(current$)'!X68)/0.5153</f>
        <v>886.8620221230351</v>
      </c>
      <c r="Y68" s="464">
        <f>SUM('MasterA1(current$)'!Y68)/0.53565</f>
        <v>959.58181648464495</v>
      </c>
      <c r="Z68" s="464">
        <f>SUM('MasterA1(current$)'!Z68)/0.55466</f>
        <v>854.57757905744052</v>
      </c>
      <c r="AA68" s="464">
        <f>SUM('MasterA1(current$)'!AA68)/0.5724</f>
        <v>728.51153039832286</v>
      </c>
      <c r="AB68" s="464">
        <f>SUM('MasterA1(current$)'!AB68)/0.58395</f>
        <v>851.1002654336844</v>
      </c>
      <c r="AC68" s="464">
        <f>SUM('MasterA1(current$)'!AC68)/0.59885</f>
        <v>973.53260415796944</v>
      </c>
      <c r="AD68" s="464">
        <f>SUM('MasterA1(current$)'!AD68)/0.61982</f>
        <v>1022.8776096286018</v>
      </c>
      <c r="AE68" s="464">
        <f>SUM('MasterA1(current$)'!AE68)/0.64392</f>
        <v>1003.230214933532</v>
      </c>
      <c r="AF68" s="464">
        <f>SUM('MasterA1(current$)'!AF68)/0.66773</f>
        <v>1174.1272670091203</v>
      </c>
      <c r="AG68" s="464">
        <f>SUM('MasterA1(current$)'!AG68)/0.68996</f>
        <v>1226.158038147139</v>
      </c>
      <c r="AH68" s="464">
        <f>SUM('MasterA1(current$)'!AH68)/0.70569</f>
        <v>1326.361433490626</v>
      </c>
      <c r="AI68" s="464">
        <f>SUM('MasterA1(current$)'!AI68)/0.72248</f>
        <v>1331.5247480899125</v>
      </c>
      <c r="AJ68" s="464">
        <f>SUM('MasterA1(current$)'!AJ68)/0.73785</f>
        <v>1297.0115877210815</v>
      </c>
      <c r="AK68" s="464">
        <f>SUM('MasterA1(current$)'!AK68)/0.75324</f>
        <v>1235.9938399447719</v>
      </c>
      <c r="AL68" s="464">
        <f>SUM('MasterA1(current$)'!AL68)/0.76699</f>
        <v>1442.0005475951448</v>
      </c>
      <c r="AM68" s="464">
        <f>SUM('MasterA1(current$)'!AM68)/0.78012</f>
        <v>1438.2402707275803</v>
      </c>
      <c r="AN68" s="464">
        <f>SUM('MasterA1(current$)'!AN68)/0.78859</f>
        <v>1690.3587415513764</v>
      </c>
      <c r="AO68" s="464">
        <f>SUM('MasterA1(current$)'!AO68)/0.80065</f>
        <v>1664.8972709673392</v>
      </c>
      <c r="AP68" s="138">
        <f>SUM('MasterA1(current$)'!AP68)/0.81887</f>
        <v>1708.4518910205527</v>
      </c>
      <c r="AQ68" s="138">
        <f>SUM('MasterA1(current$)'!AQ68)/0.83754</f>
        <v>1853.0458246770304</v>
      </c>
      <c r="AR68" s="138">
        <f>SUM('MasterA1(current$)'!AR68)/0.85039</f>
        <v>2512.9646397535248</v>
      </c>
      <c r="AS68" s="138">
        <f>SUM('MasterA1(current$)'!AS68)/0.86735</f>
        <v>2199.8040006917622</v>
      </c>
      <c r="AT68" s="138">
        <f>SUM('MasterA1(current$)'!AT68)/0.8912</f>
        <v>2122.9802513464992</v>
      </c>
      <c r="AU68" s="138">
        <f>SUM('MasterA1(current$)'!AU68)/0.91988</f>
        <v>2045.9190329173371</v>
      </c>
      <c r="AV68" s="138">
        <f>SUM('MasterA1(current$)'!AV68)/0.94814</f>
        <v>2550.2562912650033</v>
      </c>
      <c r="AW68" s="138">
        <f>SUM('MasterA1(current$)'!AW68)/0.97337</f>
        <v>2634.1473437644472</v>
      </c>
      <c r="AX68" s="672">
        <f>SUM('MasterA1(current$)'!AX68*100)/99.246</f>
        <v>2657.0340366362375</v>
      </c>
      <c r="AY68" s="502">
        <f>SUM('MasterA1(current$)'!AY68)</f>
        <v>2902</v>
      </c>
      <c r="AZ68" s="377">
        <f>SUM('MasterA1(current$)'!AZ68*100)/101.221</f>
        <v>2907.4994319360608</v>
      </c>
      <c r="BA68" s="377">
        <f>SUM('MasterA1(current$)'!BA68*100)/103.311</f>
        <v>2782.8595212513669</v>
      </c>
      <c r="BB68" s="377">
        <f>SUM('MasterA1(current$)'!BB68*100)/105.214</f>
        <v>2834.2235824129871</v>
      </c>
      <c r="BC68" s="377">
        <f>SUM('MasterA1(current$)'!BC68*100)/106.913</f>
        <v>2788.2483888769375</v>
      </c>
      <c r="BD68" s="377">
        <f>SUM('MasterA1(current$)'!BD68*100)/108.828</f>
        <v>2568.2728709523285</v>
      </c>
      <c r="BE68" s="377">
        <f>SUM('MasterA1(current$)'!BE68*100)/109.998</f>
        <v>2615.5021000381826</v>
      </c>
      <c r="BF68" s="376">
        <f>SUM('MasterA1(current$)'!BF68*100)/111.298</f>
        <v>2649.6432999694512</v>
      </c>
      <c r="BG68" s="376">
        <f>SUM('MasterA1(current$)'!BG68*100)/113.198</f>
        <v>2762.416297107723</v>
      </c>
      <c r="BH68" s="376">
        <f>SUM('MasterA1(current$)'!BH68*100)/115.198</f>
        <v>2791.7151339432976</v>
      </c>
      <c r="BI68" s="415">
        <f t="shared" si="5"/>
        <v>4.2561576926060982E-2</v>
      </c>
      <c r="BJ68" s="415">
        <f t="shared" si="5"/>
        <v>1.0606235152265326E-2</v>
      </c>
      <c r="BK68" s="572">
        <f t="shared" si="6"/>
        <v>112.77299713827188</v>
      </c>
      <c r="BL68" s="572">
        <f t="shared" si="6"/>
        <v>29.298836835574548</v>
      </c>
    </row>
    <row r="69" spans="1:64" ht="6" customHeight="1">
      <c r="A69" s="125"/>
      <c r="B69" s="35"/>
      <c r="C69" s="36"/>
      <c r="D69" s="36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495"/>
      <c r="AN69" s="495"/>
      <c r="AO69" s="495"/>
      <c r="AP69" s="339"/>
      <c r="AQ69" s="339"/>
      <c r="AR69" s="339"/>
      <c r="AS69" s="339"/>
      <c r="AT69" s="339"/>
      <c r="AU69" s="339"/>
      <c r="AV69" s="339"/>
      <c r="AW69" s="339"/>
      <c r="AX69" s="342"/>
      <c r="AY69" s="293"/>
      <c r="AZ69" s="293"/>
      <c r="BA69" s="293"/>
      <c r="BB69" s="293"/>
      <c r="BC69" s="293"/>
      <c r="BD69" s="293"/>
      <c r="BE69" s="293"/>
      <c r="BF69" s="314"/>
      <c r="BG69" s="314"/>
      <c r="BH69" s="314"/>
      <c r="BI69" s="385"/>
      <c r="BJ69" s="385"/>
      <c r="BK69" s="571"/>
      <c r="BL69" s="571"/>
    </row>
    <row r="70" spans="1:64" ht="11.1" customHeight="1">
      <c r="A70" s="129" t="s">
        <v>163</v>
      </c>
      <c r="B70" s="56" t="s">
        <v>3</v>
      </c>
      <c r="C70" s="56" t="s">
        <v>3</v>
      </c>
      <c r="D70" s="56" t="s">
        <v>3</v>
      </c>
      <c r="E70" s="342" t="s">
        <v>3</v>
      </c>
      <c r="F70" s="342" t="s">
        <v>3</v>
      </c>
      <c r="G70" s="342" t="s">
        <v>3</v>
      </c>
      <c r="H70" s="342" t="s">
        <v>3</v>
      </c>
      <c r="I70" s="342" t="s">
        <v>3</v>
      </c>
      <c r="J70" s="342" t="s">
        <v>3</v>
      </c>
      <c r="K70" s="342" t="s">
        <v>3</v>
      </c>
      <c r="L70" s="342" t="s">
        <v>3</v>
      </c>
      <c r="M70" s="342" t="s">
        <v>3</v>
      </c>
      <c r="N70" s="342" t="s">
        <v>3</v>
      </c>
      <c r="O70" s="342" t="s">
        <v>3</v>
      </c>
      <c r="P70" s="342" t="s">
        <v>3</v>
      </c>
      <c r="Q70" s="342" t="s">
        <v>3</v>
      </c>
      <c r="R70" s="342" t="s">
        <v>3</v>
      </c>
      <c r="S70" s="342" t="s">
        <v>3</v>
      </c>
      <c r="T70" s="342" t="s">
        <v>3</v>
      </c>
      <c r="U70" s="342" t="s">
        <v>3</v>
      </c>
      <c r="V70" s="342" t="s">
        <v>3</v>
      </c>
      <c r="W70" s="342" t="s">
        <v>3</v>
      </c>
      <c r="X70" s="342" t="s">
        <v>3</v>
      </c>
      <c r="Y70" s="342" t="s">
        <v>3</v>
      </c>
      <c r="Z70" s="342" t="s">
        <v>3</v>
      </c>
      <c r="AA70" s="342" t="s">
        <v>3</v>
      </c>
      <c r="AB70" s="342" t="s">
        <v>3</v>
      </c>
      <c r="AC70" s="342" t="s">
        <v>3</v>
      </c>
      <c r="AD70" s="342" t="s">
        <v>3</v>
      </c>
      <c r="AE70" s="342" t="s">
        <v>3</v>
      </c>
      <c r="AF70" s="342" t="s">
        <v>3</v>
      </c>
      <c r="AG70" s="342" t="s">
        <v>3</v>
      </c>
      <c r="AH70" s="342" t="s">
        <v>3</v>
      </c>
      <c r="AI70" s="342" t="s">
        <v>3</v>
      </c>
      <c r="AJ70" s="342" t="s">
        <v>3</v>
      </c>
      <c r="AK70" s="342" t="s">
        <v>3</v>
      </c>
      <c r="AL70" s="33">
        <f>SUM('MasterA1(current$)'!AL70)/0.76699</f>
        <v>18.253171488546137</v>
      </c>
      <c r="AM70" s="33">
        <f>SUM('MasterA1(current$)'!AM70)/0.78012</f>
        <v>23.073373327180434</v>
      </c>
      <c r="AN70" s="33">
        <f>SUM('MasterA1(current$)'!AN70)/0.78859</f>
        <v>20.289377242927248</v>
      </c>
      <c r="AO70" s="33">
        <f>SUM('MasterA1(current$)'!AO70)/0.80065</f>
        <v>18.734777992880787</v>
      </c>
      <c r="AP70" s="339">
        <f>SUM('MasterA1(current$)'!AP70)/0.81887</f>
        <v>20.760316045281915</v>
      </c>
      <c r="AQ70" s="339">
        <f>SUM('MasterA1(current$)'!AQ70)/0.83754</f>
        <v>19.103565202855982</v>
      </c>
      <c r="AR70" s="339">
        <f>SUM('MasterA1(current$)'!AR70)/0.85039</f>
        <v>18.814896694457836</v>
      </c>
      <c r="AS70" s="339">
        <f>SUM('MasterA1(current$)'!AS70)/0.86735</f>
        <v>26.517553467458352</v>
      </c>
      <c r="AT70" s="339">
        <f>SUM('MasterA1(current$)'!AT70)/0.8912</f>
        <v>22.44165170556553</v>
      </c>
      <c r="AU70" s="339">
        <f>SUM('MasterA1(current$)'!AU70)/0.91988</f>
        <v>22.829064660607905</v>
      </c>
      <c r="AV70" s="332">
        <f>SUM('MasterA1(current$)'!AV70)/0.94814</f>
        <v>20.039234712173307</v>
      </c>
      <c r="AW70" s="332">
        <f>SUM('MasterA1(current$)'!AW70)/0.97337</f>
        <v>26.711322518672244</v>
      </c>
      <c r="AX70" s="170">
        <f>SUM('MasterA1(current$)'!AX70*100)/99.246</f>
        <v>29.220321222013986</v>
      </c>
      <c r="AY70" s="293">
        <f>SUM('MasterA1(current$)'!AY70)</f>
        <v>28</v>
      </c>
      <c r="AZ70" s="293">
        <f>SUM('MasterA1(current$)'!AZ70*100)/101.221</f>
        <v>29.638118572233033</v>
      </c>
      <c r="BA70" s="293">
        <f>SUM('MasterA1(current$)'!BA70*100)/103.311</f>
        <v>28.070582996970312</v>
      </c>
      <c r="BB70" s="293">
        <f>SUM('MasterA1(current$)'!BB70*100)/105.214</f>
        <v>27.562871861159163</v>
      </c>
      <c r="BC70" s="293">
        <f>SUM('MasterA1(current$)'!BC70*100)/106.913</f>
        <v>27.124858529832668</v>
      </c>
      <c r="BD70" s="293">
        <f>SUM('MasterA1(current$)'!BD70*100)/108.828</f>
        <v>26.647553938324695</v>
      </c>
      <c r="BE70" s="293">
        <f>SUM('MasterA1(current$)'!BE70*100)/109.998</f>
        <v>28.182330587828869</v>
      </c>
      <c r="BF70" s="314">
        <f>SUM('MasterA1(current$)'!BF70*100)/111.298</f>
        <v>26.056173516145844</v>
      </c>
      <c r="BG70" s="314">
        <f>SUM('MasterA1(current$)'!BG70*100)/113.198</f>
        <v>27.385642855880846</v>
      </c>
      <c r="BH70" s="314">
        <f>SUM('MasterA1(current$)'!BH70*100)/115.198</f>
        <v>31.250542544141393</v>
      </c>
      <c r="BI70" s="385">
        <f>(BG70-BF70)/BF70</f>
        <v>5.1023199508215961E-2</v>
      </c>
      <c r="BJ70" s="385">
        <f>(BH70-BG70)/BG70</f>
        <v>0.14112868222958624</v>
      </c>
      <c r="BK70" s="569">
        <f>BG70-BF70</f>
        <v>1.3294693397350024</v>
      </c>
      <c r="BL70" s="569">
        <f>BH70-BG70</f>
        <v>3.8648996882605466</v>
      </c>
    </row>
    <row r="71" spans="1:64" ht="6" customHeight="1">
      <c r="A71" s="125"/>
      <c r="B71" s="35"/>
      <c r="C71" s="36"/>
      <c r="D71" s="36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495"/>
      <c r="AN71" s="495"/>
      <c r="AO71" s="495"/>
      <c r="AP71" s="339"/>
      <c r="AQ71" s="339"/>
      <c r="AR71" s="339"/>
      <c r="AS71" s="339"/>
      <c r="AT71" s="339"/>
      <c r="AU71" s="339"/>
      <c r="AV71" s="339"/>
      <c r="AW71" s="339"/>
      <c r="AX71" s="342"/>
      <c r="AY71" s="293"/>
      <c r="AZ71" s="293"/>
      <c r="BA71" s="293"/>
      <c r="BB71" s="293"/>
      <c r="BC71" s="293"/>
      <c r="BD71" s="293"/>
      <c r="BE71" s="293"/>
      <c r="BF71" s="314"/>
      <c r="BG71" s="314"/>
      <c r="BH71" s="314"/>
      <c r="BI71" s="385"/>
      <c r="BJ71" s="385"/>
      <c r="BK71" s="571"/>
      <c r="BL71" s="571"/>
    </row>
    <row r="72" spans="1:64" ht="11.1" customHeight="1">
      <c r="A72" s="125" t="s">
        <v>21</v>
      </c>
      <c r="B72" s="120" t="s">
        <v>3</v>
      </c>
      <c r="C72" s="120" t="s">
        <v>3</v>
      </c>
      <c r="D72" s="120" t="s">
        <v>3</v>
      </c>
      <c r="E72" s="349" t="s">
        <v>3</v>
      </c>
      <c r="F72" s="349" t="s">
        <v>3</v>
      </c>
      <c r="G72" s="349" t="s">
        <v>3</v>
      </c>
      <c r="H72" s="349" t="s">
        <v>3</v>
      </c>
      <c r="I72" s="349" t="s">
        <v>3</v>
      </c>
      <c r="J72" s="349" t="s">
        <v>3</v>
      </c>
      <c r="K72" s="349" t="s">
        <v>3</v>
      </c>
      <c r="L72" s="344">
        <f>SUM('MasterA1(current$)'!L72)/0.22784</f>
        <v>21.945224719101123</v>
      </c>
      <c r="M72" s="344">
        <f>SUM('MasterA1(current$)'!M72)/0.23941</f>
        <v>25.061609790735556</v>
      </c>
      <c r="N72" s="344">
        <f>SUM('MasterA1(current$)'!N72)/0.24978</f>
        <v>28.024661702298022</v>
      </c>
      <c r="O72" s="344">
        <f>SUM('MasterA1(current$)'!O72)/0.26337</f>
        <v>26.578577666400882</v>
      </c>
      <c r="P72" s="344">
        <f>SUM('MasterA1(current$)'!P72)/0.28703</f>
        <v>27.871651046928893</v>
      </c>
      <c r="Q72" s="344">
        <f>SUM('MasterA1(current$)'!Q72)/0.31361</f>
        <v>28.698064474984854</v>
      </c>
      <c r="R72" s="344">
        <f>SUM('MasterA1(current$)'!R72)/0.33083</f>
        <v>33.24970528670314</v>
      </c>
      <c r="S72" s="344">
        <f>SUM('MasterA1(current$)'!S72)/0.35135</f>
        <v>37.000142308239646</v>
      </c>
      <c r="T72" s="344">
        <f>SUM('MasterA1(current$)'!T72)/0.37602</f>
        <v>42.5509281421201</v>
      </c>
      <c r="U72" s="33">
        <f>SUM('MasterA1(current$)'!U72)/0.40706</f>
        <v>36.849604480911907</v>
      </c>
      <c r="V72" s="344">
        <f>SUM('MasterA1(current$)'!V72)/0.44377</f>
        <v>40.561552155395816</v>
      </c>
      <c r="W72" s="344">
        <f>SUM('MasterA1(current$)'!W72)/0.4852</f>
        <v>37.09810387469085</v>
      </c>
      <c r="X72" s="344">
        <f>SUM('MasterA1(current$)'!X72)/0.5153</f>
        <v>32.99049097613041</v>
      </c>
      <c r="Y72" s="344">
        <f>SUM('MasterA1(current$)'!Y72)/0.53565</f>
        <v>35.470923177447965</v>
      </c>
      <c r="Z72" s="344">
        <f>SUM('MasterA1(current$)'!Z72)/0.55466</f>
        <v>37.861031983557488</v>
      </c>
      <c r="AA72" s="344">
        <f>SUM('MasterA1(current$)'!AA72)/0.5724</f>
        <v>38.434661076170507</v>
      </c>
      <c r="AB72" s="344">
        <f>SUM('MasterA1(current$)'!AB72)/0.58395</f>
        <v>35.961983046493707</v>
      </c>
      <c r="AC72" s="344">
        <f>SUM('MasterA1(current$)'!AC72)/0.59885</f>
        <v>38.406946647741506</v>
      </c>
      <c r="AD72" s="344">
        <f>SUM('MasterA1(current$)'!AD72)/0.61982</f>
        <v>38.720918976477037</v>
      </c>
      <c r="AE72" s="344">
        <f>SUM('MasterA1(current$)'!AE72)/0.64392</f>
        <v>37.271710771524411</v>
      </c>
      <c r="AF72" s="344">
        <f>SUM('MasterA1(current$)'!AF72)/0.66773</f>
        <v>38.937894058975928</v>
      </c>
      <c r="AG72" s="344">
        <f>SUM('MasterA1(current$)'!AG72)/0.68996</f>
        <v>42.03142211142675</v>
      </c>
      <c r="AH72" s="344">
        <f>SUM('MasterA1(current$)'!AH72)/0.70569</f>
        <v>51.013901288101003</v>
      </c>
      <c r="AI72" s="344">
        <f>SUM('MasterA1(current$)'!AI72)/0.72248</f>
        <v>51.212490311150482</v>
      </c>
      <c r="AJ72" s="344">
        <f>SUM('MasterA1(current$)'!AJ72)/0.73785</f>
        <v>50.145693569153622</v>
      </c>
      <c r="AK72" s="344">
        <f>SUM('MasterA1(current$)'!AK72)/0.75324</f>
        <v>49.121130051510804</v>
      </c>
      <c r="AL72" s="344">
        <f>SUM('MasterA1(current$)'!AL72)/0.76699</f>
        <v>49.544322611768081</v>
      </c>
      <c r="AM72" s="344">
        <f>SUM('MasterA1(current$)'!AM72)/0.78012</f>
        <v>57.683433317951085</v>
      </c>
      <c r="AN72" s="344">
        <f>SUM('MasterA1(current$)'!AN72)/0.78859</f>
        <v>74.817078583294233</v>
      </c>
      <c r="AO72" s="344">
        <f>SUM('MasterA1(current$)'!AO72)/0.80065</f>
        <v>74.939111971523147</v>
      </c>
      <c r="AP72" s="332">
        <f>SUM('MasterA1(current$)'!AP72)/0.81887</f>
        <v>94.03201973451219</v>
      </c>
      <c r="AQ72" s="332">
        <f>SUM('MasterA1(current$)'!AQ72)/0.83754</f>
        <v>78.802206461780941</v>
      </c>
      <c r="AR72" s="332">
        <f>SUM('MasterA1(current$)'!AR72)/0.85039</f>
        <v>76.435517821234967</v>
      </c>
      <c r="AS72" s="332">
        <f>SUM('MasterA1(current$)'!AS72)/0.86735</f>
        <v>81.858534616936652</v>
      </c>
      <c r="AT72" s="332">
        <f>SUM('MasterA1(current$)'!AT72)/0.8912</f>
        <v>83.034111310592465</v>
      </c>
      <c r="AU72" s="332">
        <f>SUM('MasterA1(current$)'!AU72)/0.91988</f>
        <v>83.706570422228978</v>
      </c>
      <c r="AV72" s="192">
        <f>SUM('MasterA1(current$)'!AV72)/0.94814</f>
        <v>78.047545721096043</v>
      </c>
      <c r="AW72" s="192">
        <f>SUM('MasterA1(current$)'!AW72)/0.97337</f>
        <v>80.133967556016728</v>
      </c>
      <c r="AX72" s="170">
        <f>SUM('MasterA1(current$)'!AX72*100)/99.246</f>
        <v>83.630574531971064</v>
      </c>
      <c r="AY72" s="417">
        <f>SUM('MasterA1(current$)'!AY72)</f>
        <v>90</v>
      </c>
      <c r="AZ72" s="293">
        <f>SUM('MasterA1(current$)'!AZ72*100)/101.221</f>
        <v>87.926418430957995</v>
      </c>
      <c r="BA72" s="293">
        <f>SUM('MasterA1(current$)'!BA72*100)/103.311</f>
        <v>94.859211507003124</v>
      </c>
      <c r="BB72" s="293">
        <f>SUM('MasterA1(current$)'!BB72*100)/105.214</f>
        <v>94.093941870853683</v>
      </c>
      <c r="BC72" s="293">
        <f>SUM('MasterA1(current$)'!BC72*100)/106.913</f>
        <v>96.340014778371199</v>
      </c>
      <c r="BD72" s="293">
        <f>SUM('MasterA1(current$)'!BD72*100)/108.828</f>
        <v>90.969235858418784</v>
      </c>
      <c r="BE72" s="293">
        <f>SUM('MasterA1(current$)'!BE72*100)/109.998</f>
        <v>91.819851270023094</v>
      </c>
      <c r="BF72" s="314">
        <f>SUM('MasterA1(current$)'!BF72*100)/111.298</f>
        <v>95.239806645222728</v>
      </c>
      <c r="BG72" s="314">
        <f>SUM('MasterA1(current$)'!BG72*100)/113.198</f>
        <v>90.991006908249261</v>
      </c>
      <c r="BH72" s="314">
        <f>SUM('MasterA1(current$)'!BH72*100)/115.198</f>
        <v>92.015486379971875</v>
      </c>
      <c r="BI72" s="385">
        <f>(BG72-BF72)/BF72</f>
        <v>-4.4611595577893674E-2</v>
      </c>
      <c r="BJ72" s="385">
        <f>(BH72-BG72)/BG72</f>
        <v>1.1259128858257911E-2</v>
      </c>
      <c r="BK72" s="569">
        <f>BG72-BF72</f>
        <v>-4.2487997369734671</v>
      </c>
      <c r="BL72" s="569">
        <f>BH72-BG72</f>
        <v>1.0244794717226142</v>
      </c>
    </row>
    <row r="73" spans="1:64" ht="13.5" customHeight="1" thickBot="1">
      <c r="A73" s="404" t="s">
        <v>61</v>
      </c>
      <c r="B73" s="145">
        <f>SUM('MasterA1(current$)'!B73)/0.1756</f>
        <v>239.17995444191342</v>
      </c>
      <c r="C73" s="146">
        <f>SUM('MasterA1(current$)'!C73)/0.178</f>
        <v>353.93258426966293</v>
      </c>
      <c r="D73" s="146">
        <f>SUM('MasterA1(current$)'!D73)/0.1798</f>
        <v>433.81535038932151</v>
      </c>
      <c r="E73" s="485">
        <f>SUM('MasterA1(current$)'!E73)/0.182</f>
        <v>489.01098901098902</v>
      </c>
      <c r="F73" s="485">
        <f>SUM('MasterA1(current$)'!F73)/0.1842</f>
        <v>526.60152008686214</v>
      </c>
      <c r="G73" s="485">
        <f>SUM('MasterA1(current$)'!G73)/0.18702</f>
        <v>561.43727943535453</v>
      </c>
      <c r="H73" s="485">
        <f>SUM('MasterA1(current$)'!H73)/0.19227</f>
        <v>520.10193998023612</v>
      </c>
      <c r="I73" s="485">
        <f>SUM('MasterA1(current$)'!I73)/0.19786</f>
        <v>540.78641463661177</v>
      </c>
      <c r="J73" s="485">
        <f>SUM('MasterA1(current$)'!J73)/0.20627</f>
        <v>654.48198962524839</v>
      </c>
      <c r="K73" s="485">
        <f>SUM('MasterA1(current$)'!K73)/0.21642</f>
        <v>683.8554662230847</v>
      </c>
      <c r="L73" s="485">
        <f>SUM('MasterA1(current$)'!L73)/0.22784</f>
        <v>776.86095505617982</v>
      </c>
      <c r="M73" s="485">
        <f>SUM('MasterA1(current$)'!M73)/0.23941</f>
        <v>1010.8182615596675</v>
      </c>
      <c r="N73" s="485">
        <f>SUM('MasterA1(current$)'!N73)/0.24978</f>
        <v>1169.0287452958603</v>
      </c>
      <c r="O73" s="485">
        <f>SUM('MasterA1(current$)'!O73)/0.26337</f>
        <v>1378.2890989862171</v>
      </c>
      <c r="P73" s="485">
        <f>SUM('MasterA1(current$)'!P73)/0.28703</f>
        <v>1240.2884715883356</v>
      </c>
      <c r="Q73" s="485">
        <f>SUM('MasterA1(current$)'!Q73)/0.31361</f>
        <v>1182.9979911354867</v>
      </c>
      <c r="R73" s="485">
        <f>SUM('MasterA1(current$)'!R73)/0.33083</f>
        <v>1163.7396850346099</v>
      </c>
      <c r="S73" s="485">
        <f>SUM('MasterA1(current$)'!S73)/0.35135</f>
        <v>1209.6200370001422</v>
      </c>
      <c r="T73" s="485">
        <f>SUM('MasterA1(current$)'!T73)/0.37602</f>
        <v>1188.7665549704802</v>
      </c>
      <c r="U73" s="485">
        <f>SUM('MasterA1(current$)'!U73)/0.40706</f>
        <v>1245.5166314548223</v>
      </c>
      <c r="V73" s="485">
        <f>SUM('MasterA1(current$)'!V73)/0.44377</f>
        <v>1239.380760303761</v>
      </c>
      <c r="W73" s="485">
        <f>SUM('MasterA1(current$)'!W73)/0.4852</f>
        <v>1170.6512778235779</v>
      </c>
      <c r="X73" s="485">
        <f>SUM('MasterA1(current$)'!X73)/0.5153</f>
        <v>919.85251309916555</v>
      </c>
      <c r="Y73" s="485">
        <f>SUM('MasterA1(current$)'!Y73)/0.53565</f>
        <v>995.0527396620929</v>
      </c>
      <c r="Z73" s="485">
        <f>SUM('MasterA1(current$)'!Z73)/0.55466</f>
        <v>892.43861104099801</v>
      </c>
      <c r="AA73" s="485">
        <f>SUM('MasterA1(current$)'!AA73)/0.5724</f>
        <v>766.94619147449339</v>
      </c>
      <c r="AB73" s="485">
        <f>SUM('MasterA1(current$)'!AB73)/0.58395</f>
        <v>887.06224848017814</v>
      </c>
      <c r="AC73" s="485">
        <f>SUM('MasterA1(current$)'!AC73)/0.59885</f>
        <v>1011.939550805711</v>
      </c>
      <c r="AD73" s="485">
        <f>SUM('MasterA1(current$)'!AD73)/0.61982</f>
        <v>1061.5985286050789</v>
      </c>
      <c r="AE73" s="485">
        <f>SUM('MasterA1(current$)'!AE73)/0.64392</f>
        <v>1040.5019257050565</v>
      </c>
      <c r="AF73" s="485">
        <f>SUM('MasterA1(current$)'!AF73)/0.66773</f>
        <v>1213.0651610680964</v>
      </c>
      <c r="AG73" s="485">
        <f>SUM('MasterA1(current$)'!AG73)/0.68996</f>
        <v>1268.1894602585658</v>
      </c>
      <c r="AH73" s="485">
        <f>SUM('MasterA1(current$)'!AH73)/0.70569</f>
        <v>1377.3753347787272</v>
      </c>
      <c r="AI73" s="485">
        <f>SUM('MasterA1(current$)'!AI73)/0.72248</f>
        <v>1382.737238401063</v>
      </c>
      <c r="AJ73" s="485">
        <f>SUM('MasterA1(current$)'!AJ73)/0.73785</f>
        <v>1347.1572812902352</v>
      </c>
      <c r="AK73" s="485">
        <f>SUM('MasterA1(current$)'!AK73)/0.75324</f>
        <v>1285.1149699962828</v>
      </c>
      <c r="AL73" s="485">
        <f>SUM('MasterA1(current$)'!AL73)/0.76699</f>
        <v>1509.798041695459</v>
      </c>
      <c r="AM73" s="485">
        <f>SUM('MasterA1(current$)'!AM73)/0.78012</f>
        <v>1518.9970773727118</v>
      </c>
      <c r="AN73" s="485">
        <f>SUM('MasterA1(current$)'!AN73)/0.78859</f>
        <v>1785.4651973775979</v>
      </c>
      <c r="AO73" s="485">
        <f>SUM('MasterA1(current$)'!AO73)/0.80065</f>
        <v>1758.571160931743</v>
      </c>
      <c r="AP73" s="147">
        <f>SUM('MasterA1(current$)'!AP73)/0.81887</f>
        <v>1823.244226800347</v>
      </c>
      <c r="AQ73" s="147">
        <f>SUM('MasterA1(current$)'!AQ73)/0.83754</f>
        <v>1950.9515963416675</v>
      </c>
      <c r="AR73" s="147">
        <f>SUM('MasterA1(current$)'!AR73)/0.85039</f>
        <v>2608.2150542692175</v>
      </c>
      <c r="AS73" s="147">
        <f>SUM('MasterA1(current$)'!AS73)/0.86735</f>
        <v>2308.1800887761574</v>
      </c>
      <c r="AT73" s="147">
        <f>SUM('MasterA1(current$)'!AT73)/0.8912</f>
        <v>2228.4560143626572</v>
      </c>
      <c r="AU73" s="147">
        <f>SUM('MasterA1(current$)'!AU73)/0.91988</f>
        <v>2152.454668000174</v>
      </c>
      <c r="AV73" s="147">
        <f>SUM('MasterA1(current$)'!AV73)/0.94814</f>
        <v>2648.3430716982725</v>
      </c>
      <c r="AW73" s="147">
        <f>SUM('MasterA1(current$)'!AW73)/0.97337</f>
        <v>2740.9926338391365</v>
      </c>
      <c r="AX73" s="671">
        <f>SUM('MasterA1(current$)'!AX73*100)/99.246</f>
        <v>2769.8849323902223</v>
      </c>
      <c r="AY73" s="504">
        <f>SUM('MasterA1(current$)'!AY73)</f>
        <v>3020</v>
      </c>
      <c r="AZ73" s="438">
        <f>SUM('MasterA1(current$)'!AZ73*100)/101.221</f>
        <v>3025.0639689392515</v>
      </c>
      <c r="BA73" s="438">
        <f>SUM('MasterA1(current$)'!BA73*100)/103.311</f>
        <v>2905.7893157553403</v>
      </c>
      <c r="BB73" s="438">
        <f>SUM('MasterA1(current$)'!BB73*100)/105.214</f>
        <v>2955.8803961449998</v>
      </c>
      <c r="BC73" s="438">
        <f>SUM('MasterA1(current$)'!BC73*100)/106.913</f>
        <v>2911.7132621851415</v>
      </c>
      <c r="BD73" s="438">
        <f>SUM('MasterA1(current$)'!BD73*100)/108.828</f>
        <v>2685.8896607490719</v>
      </c>
      <c r="BE73" s="438">
        <f>SUM('MasterA1(current$)'!BE73*100)/109.998</f>
        <v>2735.5042818960342</v>
      </c>
      <c r="BF73" s="653">
        <f>SUM('MasterA1(current$)'!BF73*100)/111.298</f>
        <v>2770.93928013082</v>
      </c>
      <c r="BG73" s="653">
        <f>SUM('MasterA1(current$)'!BG73*100)/113.198</f>
        <v>2880.792946871853</v>
      </c>
      <c r="BH73" s="653">
        <f>SUM('MasterA1(current$)'!BH73*100)/115.198</f>
        <v>2914.9811628674111</v>
      </c>
      <c r="BI73" s="422">
        <f>(BG73-BF73)/BF73</f>
        <v>3.9644920236522371E-2</v>
      </c>
      <c r="BJ73" s="422">
        <f>(BH73-BG73)/BG73</f>
        <v>1.1867640828780064E-2</v>
      </c>
      <c r="BK73" s="574">
        <f>BG73-BF73</f>
        <v>109.85366674103307</v>
      </c>
      <c r="BL73" s="574">
        <f>BH73-BG73</f>
        <v>34.188215995558039</v>
      </c>
    </row>
    <row r="74" spans="1:64" ht="11.1" customHeight="1">
      <c r="A74" s="125"/>
      <c r="B74" s="35"/>
      <c r="C74" s="36"/>
      <c r="D74" s="36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161"/>
      <c r="AN74" s="161"/>
      <c r="AO74" s="161"/>
      <c r="AP74" s="339"/>
      <c r="AQ74" s="339"/>
      <c r="AR74" s="339"/>
      <c r="AS74" s="339"/>
      <c r="AT74" s="194"/>
      <c r="AU74" s="194"/>
      <c r="AV74" s="194"/>
      <c r="AW74" s="194"/>
      <c r="AX74" s="501"/>
      <c r="AY74" s="293"/>
      <c r="AZ74" s="293"/>
      <c r="BA74" s="293"/>
      <c r="BB74" s="293"/>
      <c r="BC74" s="293"/>
      <c r="BD74" s="293"/>
      <c r="BE74" s="293"/>
      <c r="BF74" s="314"/>
      <c r="BG74" s="314"/>
      <c r="BH74" s="314"/>
      <c r="BI74" s="329"/>
      <c r="BJ74" s="329"/>
      <c r="BK74" s="570"/>
      <c r="BL74" s="570"/>
    </row>
    <row r="75" spans="1:64" ht="15.75" customHeight="1">
      <c r="A75" s="167" t="s">
        <v>83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633"/>
      <c r="BG75" s="633"/>
      <c r="BH75" s="633"/>
      <c r="BI75" s="329"/>
      <c r="BJ75" s="329"/>
      <c r="BK75" s="570"/>
      <c r="BL75" s="570"/>
    </row>
    <row r="76" spans="1:64" ht="6" customHeight="1">
      <c r="A76" s="125"/>
      <c r="B76" s="35"/>
      <c r="C76" s="36"/>
      <c r="D76" s="36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339"/>
      <c r="AX76" s="342"/>
      <c r="AY76" s="293"/>
      <c r="AZ76" s="293"/>
      <c r="BA76" s="293"/>
      <c r="BB76" s="293"/>
      <c r="BC76" s="293"/>
      <c r="BD76" s="293"/>
      <c r="BE76" s="293"/>
      <c r="BF76" s="314"/>
      <c r="BG76" s="314"/>
      <c r="BH76" s="314"/>
      <c r="BI76" s="329"/>
      <c r="BJ76" s="329"/>
      <c r="BK76" s="570"/>
      <c r="BL76" s="570"/>
    </row>
    <row r="77" spans="1:64" ht="11.1" customHeight="1">
      <c r="A77" s="126" t="s">
        <v>39</v>
      </c>
      <c r="B77" s="35"/>
      <c r="C77" s="36"/>
      <c r="D77" s="36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161"/>
      <c r="AN77" s="161"/>
      <c r="AO77" s="161"/>
      <c r="AP77" s="339"/>
      <c r="AQ77" s="339"/>
      <c r="AR77" s="339"/>
      <c r="AS77" s="339"/>
      <c r="AT77" s="339"/>
      <c r="AU77" s="339"/>
      <c r="AV77" s="339"/>
      <c r="AW77" s="339"/>
      <c r="AX77" s="342"/>
      <c r="AY77" s="293"/>
      <c r="AZ77" s="293"/>
      <c r="BA77" s="293"/>
      <c r="BB77" s="293"/>
      <c r="BC77" s="293"/>
      <c r="BD77" s="293"/>
      <c r="BE77" s="293"/>
      <c r="BF77" s="314"/>
      <c r="BG77" s="314"/>
      <c r="BH77" s="314"/>
      <c r="BI77" s="329"/>
      <c r="BJ77" s="329"/>
      <c r="BK77" s="570"/>
      <c r="BL77" s="570"/>
    </row>
    <row r="78" spans="1:64" ht="11.1" customHeight="1">
      <c r="A78" s="129" t="s">
        <v>120</v>
      </c>
      <c r="B78" s="54">
        <f>SUM('MasterA1(current$)'!B78)/0.1756</f>
        <v>79.726651480637813</v>
      </c>
      <c r="C78" s="55">
        <f>SUM('MasterA1(current$)'!C78)/0.178</f>
        <v>84.269662921348313</v>
      </c>
      <c r="D78" s="55">
        <f>SUM('MasterA1(current$)'!D78)/0.1798</f>
        <v>116.79644048943271</v>
      </c>
      <c r="E78" s="33">
        <f>SUM('MasterA1(current$)'!E78)/0.182</f>
        <v>131.86813186813188</v>
      </c>
      <c r="F78" s="33">
        <f>SUM('MasterA1(current$)'!F78)/0.1842</f>
        <v>130.29315960912052</v>
      </c>
      <c r="G78" s="33">
        <f>SUM('MasterA1(current$)'!G78)/0.18702</f>
        <v>128.32852101379532</v>
      </c>
      <c r="H78" s="33">
        <f>SUM('MasterA1(current$)'!H78)/0.19227</f>
        <v>130.02548499505903</v>
      </c>
      <c r="I78" s="33">
        <f>SUM('MasterA1(current$)'!I78)/0.19786</f>
        <v>136.46012331951886</v>
      </c>
      <c r="J78" s="33">
        <f>SUM('MasterA1(current$)'!J78)/0.20627</f>
        <v>135.74441266301449</v>
      </c>
      <c r="K78" s="33">
        <f>SUM('MasterA1(current$)'!K78)/0.21642</f>
        <v>147.86064134553183</v>
      </c>
      <c r="L78" s="33">
        <f>SUM('MasterA1(current$)'!L78)/0.22784</f>
        <v>158.00561797752809</v>
      </c>
      <c r="M78" s="33">
        <f>SUM('MasterA1(current$)'!M78)/0.23941</f>
        <v>125.30804895367778</v>
      </c>
      <c r="N78" s="33">
        <f>SUM('MasterA1(current$)'!N78)/0.24978</f>
        <v>136.11978541116181</v>
      </c>
      <c r="O78" s="33">
        <f>SUM('MasterA1(current$)'!O78)/0.26337</f>
        <v>155.6745263317766</v>
      </c>
      <c r="P78" s="33">
        <f>SUM('MasterA1(current$)'!P78)/0.28703</f>
        <v>132.39034247291224</v>
      </c>
      <c r="Q78" s="33">
        <f>SUM('MasterA1(current$)'!Q78)/0.31361</f>
        <v>153.05634386658588</v>
      </c>
      <c r="R78" s="33">
        <f>SUM('MasterA1(current$)'!R78)/0.33083</f>
        <v>172.29392739473445</v>
      </c>
      <c r="S78" s="33">
        <f>SUM('MasterA1(current$)'!S78)/0.35135</f>
        <v>185.00071154119823</v>
      </c>
      <c r="T78" s="33">
        <f>SUM('MasterA1(current$)'!T78)/0.37602</f>
        <v>188.81974363065794</v>
      </c>
      <c r="U78" s="33">
        <f>SUM('MasterA1(current$)'!U78)/0.40706</f>
        <v>270.23043286002064</v>
      </c>
      <c r="V78" s="33">
        <f>SUM('MasterA1(current$)'!V78)/0.44377</f>
        <v>277.17060639520474</v>
      </c>
      <c r="W78" s="33">
        <f>SUM('MasterA1(current$)'!W78)/0.4852</f>
        <v>261.74773289365208</v>
      </c>
      <c r="X78" s="33">
        <f>SUM('MasterA1(current$)'!X78)/0.5153</f>
        <v>223.17096836794101</v>
      </c>
      <c r="Y78" s="33">
        <f>SUM('MasterA1(current$)'!Y78)/0.53565</f>
        <v>220.29310183888734</v>
      </c>
      <c r="Z78" s="33">
        <f>SUM('MasterA1(current$)'!Z78)/0.55466</f>
        <v>212.74294162189449</v>
      </c>
      <c r="AA78" s="33">
        <f>SUM('MasterA1(current$)'!AA78)/0.5724</f>
        <v>209.64360587002096</v>
      </c>
      <c r="AB78" s="33">
        <f>SUM('MasterA1(current$)'!AB78)/0.58395</f>
        <v>217.48437366212863</v>
      </c>
      <c r="AC78" s="33">
        <f>SUM('MasterA1(current$)'!AC78)/0.59885</f>
        <v>212.07314018535527</v>
      </c>
      <c r="AD78" s="33">
        <f>SUM('MasterA1(current$)'!AD78)/0.61982</f>
        <v>219.41854086670321</v>
      </c>
      <c r="AE78" s="33">
        <f>SUM('MasterA1(current$)'!AE78)/0.64392</f>
        <v>229.84221642440053</v>
      </c>
      <c r="AF78" s="33">
        <f>SUM('MasterA1(current$)'!AF78)/0.66773</f>
        <v>233.6273643538556</v>
      </c>
      <c r="AG78" s="33">
        <f>SUM('MasterA1(current$)'!AG78)/0.68996</f>
        <v>217.40390747289698</v>
      </c>
      <c r="AH78" s="33">
        <f>SUM('MasterA1(current$)'!AH78)/0.70569</f>
        <v>223.89434454222106</v>
      </c>
      <c r="AI78" s="33">
        <f>SUM('MasterA1(current$)'!AI78)/0.72248</f>
        <v>215.92293212268851</v>
      </c>
      <c r="AJ78" s="33">
        <f>SUM('MasterA1(current$)'!AJ78)/0.73785</f>
        <v>218.20153147658738</v>
      </c>
      <c r="AK78" s="33">
        <f>SUM('MasterA1(current$)'!AK78)/0.75324</f>
        <v>221.70888428654877</v>
      </c>
      <c r="AL78" s="33">
        <f>SUM('MasterA1(current$)'!AL78)/0.76699</f>
        <v>207.30387619134541</v>
      </c>
      <c r="AM78" s="33">
        <f>SUM('MasterA1(current$)'!AM78)/0.78012</f>
        <v>229.45187919807208</v>
      </c>
      <c r="AN78" s="33">
        <f>SUM('MasterA1(current$)'!AN78)/0.78859</f>
        <v>249.81295730354176</v>
      </c>
      <c r="AO78" s="33">
        <f>SUM('MasterA1(current$)'!AO78)/0.80065</f>
        <v>253.54399550365329</v>
      </c>
      <c r="AP78" s="339">
        <f>SUM('MasterA1(current$)'!AP78)/0.81887</f>
        <v>277.21127895758792</v>
      </c>
      <c r="AQ78" s="339">
        <f>SUM('MasterA1(current$)'!AQ78)/0.83754</f>
        <v>312.82088019676672</v>
      </c>
      <c r="AR78" s="339">
        <f>SUM('MasterA1(current$)'!AR78)/0.85039</f>
        <v>290.45496772069288</v>
      </c>
      <c r="AS78" s="339">
        <f>SUM('MasterA1(current$)'!AS78)/0.86735</f>
        <v>285.92840260563787</v>
      </c>
      <c r="AT78" s="339">
        <f>SUM('MasterA1(current$)'!AT78)/0.8912</f>
        <v>285.00897666068221</v>
      </c>
      <c r="AU78" s="339">
        <f>SUM('MasterA1(current$)'!AU78)/0.91988</f>
        <v>269.60038265860766</v>
      </c>
      <c r="AV78" s="339">
        <f>SUM('MasterA1(current$)'!AV78)/0.94814</f>
        <v>272.11171346003755</v>
      </c>
      <c r="AW78" s="339">
        <f>SUM('MasterA1(current$)'!AW78)/0.97337</f>
        <v>268.39566821635549</v>
      </c>
      <c r="AX78" s="342">
        <f>SUM('MasterA1(current$)'!AX78*100)/99.246</f>
        <v>273.79140749242896</v>
      </c>
      <c r="AY78" s="417">
        <f>SUM('MasterA1(current$)'!AY78)</f>
        <v>293</v>
      </c>
      <c r="AZ78" s="293">
        <f>SUM('MasterA1(current$)'!AZ78*100)/101.221</f>
        <v>365.53679572420742</v>
      </c>
      <c r="BA78" s="293">
        <f>SUM('MasterA1(current$)'!BA78*100)/103.311</f>
        <v>297.16099931275465</v>
      </c>
      <c r="BB78" s="369" t="s">
        <v>3</v>
      </c>
      <c r="BC78" s="369" t="s">
        <v>3</v>
      </c>
      <c r="BD78" s="369" t="s">
        <v>3</v>
      </c>
      <c r="BE78" s="369" t="s">
        <v>3</v>
      </c>
      <c r="BF78" s="430" t="s">
        <v>3</v>
      </c>
      <c r="BG78" s="430" t="s">
        <v>3</v>
      </c>
      <c r="BH78" s="430" t="s">
        <v>3</v>
      </c>
      <c r="BI78" s="419" t="s">
        <v>9</v>
      </c>
      <c r="BJ78" s="419" t="s">
        <v>9</v>
      </c>
      <c r="BK78" s="573" t="s">
        <v>9</v>
      </c>
      <c r="BL78" s="573" t="s">
        <v>9</v>
      </c>
    </row>
    <row r="79" spans="1:64" ht="11.1" customHeight="1">
      <c r="A79" s="295" t="s">
        <v>108</v>
      </c>
      <c r="B79" s="30" t="s">
        <v>3</v>
      </c>
      <c r="C79" s="30" t="s">
        <v>3</v>
      </c>
      <c r="D79" s="30" t="s">
        <v>3</v>
      </c>
      <c r="E79" s="30" t="s">
        <v>3</v>
      </c>
      <c r="F79" s="30" t="s">
        <v>3</v>
      </c>
      <c r="G79" s="30" t="s">
        <v>3</v>
      </c>
      <c r="H79" s="30" t="s">
        <v>3</v>
      </c>
      <c r="I79" s="30" t="s">
        <v>3</v>
      </c>
      <c r="J79" s="30" t="s">
        <v>3</v>
      </c>
      <c r="K79" s="30" t="s">
        <v>3</v>
      </c>
      <c r="L79" s="30" t="s">
        <v>3</v>
      </c>
      <c r="M79" s="30" t="s">
        <v>3</v>
      </c>
      <c r="N79" s="30" t="s">
        <v>3</v>
      </c>
      <c r="O79" s="30" t="s">
        <v>3</v>
      </c>
      <c r="P79" s="30" t="s">
        <v>3</v>
      </c>
      <c r="Q79" s="30" t="s">
        <v>3</v>
      </c>
      <c r="R79" s="30" t="s">
        <v>3</v>
      </c>
      <c r="S79" s="30" t="s">
        <v>3</v>
      </c>
      <c r="T79" s="30" t="s">
        <v>3</v>
      </c>
      <c r="U79" s="30" t="s">
        <v>3</v>
      </c>
      <c r="V79" s="30" t="s">
        <v>3</v>
      </c>
      <c r="W79" s="30" t="s">
        <v>3</v>
      </c>
      <c r="X79" s="30" t="s">
        <v>3</v>
      </c>
      <c r="Y79" s="30" t="s">
        <v>3</v>
      </c>
      <c r="Z79" s="30" t="s">
        <v>3</v>
      </c>
      <c r="AA79" s="30" t="s">
        <v>3</v>
      </c>
      <c r="AB79" s="30" t="s">
        <v>3</v>
      </c>
      <c r="AC79" s="30" t="s">
        <v>3</v>
      </c>
      <c r="AD79" s="30" t="s">
        <v>3</v>
      </c>
      <c r="AE79" s="30" t="s">
        <v>3</v>
      </c>
      <c r="AF79" s="30" t="s">
        <v>3</v>
      </c>
      <c r="AG79" s="30" t="s">
        <v>3</v>
      </c>
      <c r="AH79" s="30" t="s">
        <v>3</v>
      </c>
      <c r="AI79" s="30" t="s">
        <v>3</v>
      </c>
      <c r="AJ79" s="30" t="s">
        <v>3</v>
      </c>
      <c r="AK79" s="30" t="s">
        <v>3</v>
      </c>
      <c r="AL79" s="30" t="s">
        <v>3</v>
      </c>
      <c r="AM79" s="30" t="s">
        <v>3</v>
      </c>
      <c r="AN79" s="30" t="s">
        <v>3</v>
      </c>
      <c r="AO79" s="30" t="s">
        <v>3</v>
      </c>
      <c r="AP79" s="30" t="s">
        <v>3</v>
      </c>
      <c r="AQ79" s="30" t="s">
        <v>3</v>
      </c>
      <c r="AR79" s="30" t="s">
        <v>3</v>
      </c>
      <c r="AS79" s="30" t="s">
        <v>3</v>
      </c>
      <c r="AT79" s="30" t="s">
        <v>3</v>
      </c>
      <c r="AU79" s="30" t="s">
        <v>3</v>
      </c>
      <c r="AV79" s="30" t="s">
        <v>3</v>
      </c>
      <c r="AW79" s="30" t="s">
        <v>3</v>
      </c>
      <c r="AX79" s="30" t="s">
        <v>3</v>
      </c>
      <c r="AY79" s="369" t="s">
        <v>3</v>
      </c>
      <c r="AZ79" s="369" t="s">
        <v>3</v>
      </c>
      <c r="BA79" s="369" t="s">
        <v>3</v>
      </c>
      <c r="BB79" s="293">
        <f>SUM('MasterA1(current$)'!BB79*100)/105.214</f>
        <v>227.15608189024275</v>
      </c>
      <c r="BC79" s="293">
        <f>SUM('MasterA1(current$)'!BC79*100)/106.913</f>
        <v>264.70120565319468</v>
      </c>
      <c r="BD79" s="293">
        <f>SUM('MasterA1(current$)'!BD79*100)/108.828</f>
        <v>249.93567831807991</v>
      </c>
      <c r="BE79" s="293">
        <f>SUM('MasterA1(current$)'!BE79*100)/109.998</f>
        <v>252.73186785214276</v>
      </c>
      <c r="BF79" s="314">
        <f>SUM('MasterA1(current$)'!BF79*100)/111.298</f>
        <v>203.05845567755037</v>
      </c>
      <c r="BG79" s="314">
        <f>SUM('MasterA1(current$)'!BG79*100)/113.198</f>
        <v>210.25106450644006</v>
      </c>
      <c r="BH79" s="314">
        <f>SUM('MasterA1(current$)'!BH79*100)/115.198</f>
        <v>203.12852653691905</v>
      </c>
      <c r="BI79" s="385">
        <f>(BG79-BF79)/BF79</f>
        <v>3.5421370683086928E-2</v>
      </c>
      <c r="BJ79" s="385">
        <f>(BH79-BG79)/BG79</f>
        <v>-3.3876346767808346E-2</v>
      </c>
      <c r="BK79" s="569">
        <f>BG79-BF79</f>
        <v>7.1926088288896892</v>
      </c>
      <c r="BL79" s="569">
        <f>BH79-BG79</f>
        <v>-7.1225379695210052</v>
      </c>
    </row>
    <row r="80" spans="1:64" ht="11.1" customHeight="1">
      <c r="A80" s="129" t="s">
        <v>107</v>
      </c>
      <c r="B80" s="30" t="s">
        <v>3</v>
      </c>
      <c r="C80" s="30" t="s">
        <v>3</v>
      </c>
      <c r="D80" s="30" t="s">
        <v>3</v>
      </c>
      <c r="E80" s="30" t="s">
        <v>3</v>
      </c>
      <c r="F80" s="30" t="s">
        <v>3</v>
      </c>
      <c r="G80" s="30" t="s">
        <v>3</v>
      </c>
      <c r="H80" s="30" t="s">
        <v>3</v>
      </c>
      <c r="I80" s="30" t="s">
        <v>3</v>
      </c>
      <c r="J80" s="30" t="s">
        <v>3</v>
      </c>
      <c r="K80" s="30" t="s">
        <v>3</v>
      </c>
      <c r="L80" s="30" t="s">
        <v>3</v>
      </c>
      <c r="M80" s="30" t="s">
        <v>3</v>
      </c>
      <c r="N80" s="30" t="s">
        <v>3</v>
      </c>
      <c r="O80" s="30" t="s">
        <v>3</v>
      </c>
      <c r="P80" s="30" t="s">
        <v>3</v>
      </c>
      <c r="Q80" s="30" t="s">
        <v>3</v>
      </c>
      <c r="R80" s="30" t="s">
        <v>3</v>
      </c>
      <c r="S80" s="30" t="s">
        <v>3</v>
      </c>
      <c r="T80" s="30" t="s">
        <v>3</v>
      </c>
      <c r="U80" s="30" t="s">
        <v>3</v>
      </c>
      <c r="V80" s="30" t="s">
        <v>3</v>
      </c>
      <c r="W80" s="30" t="s">
        <v>3</v>
      </c>
      <c r="X80" s="30" t="s">
        <v>3</v>
      </c>
      <c r="Y80" s="30" t="s">
        <v>3</v>
      </c>
      <c r="Z80" s="30" t="s">
        <v>3</v>
      </c>
      <c r="AA80" s="30" t="s">
        <v>3</v>
      </c>
      <c r="AB80" s="30" t="s">
        <v>3</v>
      </c>
      <c r="AC80" s="30" t="s">
        <v>3</v>
      </c>
      <c r="AD80" s="30" t="s">
        <v>3</v>
      </c>
      <c r="AE80" s="30" t="s">
        <v>3</v>
      </c>
      <c r="AF80" s="30" t="s">
        <v>3</v>
      </c>
      <c r="AG80" s="30" t="s">
        <v>3</v>
      </c>
      <c r="AH80" s="30" t="s">
        <v>3</v>
      </c>
      <c r="AI80" s="30" t="s">
        <v>3</v>
      </c>
      <c r="AJ80" s="30" t="s">
        <v>3</v>
      </c>
      <c r="AK80" s="30" t="s">
        <v>3</v>
      </c>
      <c r="AL80" s="30" t="s">
        <v>3</v>
      </c>
      <c r="AM80" s="30" t="s">
        <v>3</v>
      </c>
      <c r="AN80" s="30" t="s">
        <v>3</v>
      </c>
      <c r="AO80" s="30" t="s">
        <v>3</v>
      </c>
      <c r="AP80" s="30" t="s">
        <v>3</v>
      </c>
      <c r="AQ80" s="30" t="s">
        <v>3</v>
      </c>
      <c r="AR80" s="30" t="s">
        <v>3</v>
      </c>
      <c r="AS80" s="30" t="s">
        <v>3</v>
      </c>
      <c r="AT80" s="30" t="s">
        <v>3</v>
      </c>
      <c r="AU80" s="30" t="s">
        <v>3</v>
      </c>
      <c r="AV80" s="30" t="s">
        <v>3</v>
      </c>
      <c r="AW80" s="30" t="s">
        <v>3</v>
      </c>
      <c r="AX80" s="30" t="s">
        <v>3</v>
      </c>
      <c r="AY80" s="369" t="s">
        <v>3</v>
      </c>
      <c r="AZ80" s="369" t="s">
        <v>3</v>
      </c>
      <c r="BA80" s="369" t="s">
        <v>3</v>
      </c>
      <c r="BB80" s="293">
        <f>SUM('MasterA1(current$)'!BB80*100)/105.214</f>
        <v>88.391278727165584</v>
      </c>
      <c r="BC80" s="293">
        <f>SUM('MasterA1(current$)'!BC80*100)/106.913</f>
        <v>99.14603462628493</v>
      </c>
      <c r="BD80" s="293">
        <f>SUM('MasterA1(current$)'!BD80*100)/108.828</f>
        <v>90.050354688131733</v>
      </c>
      <c r="BE80" s="293">
        <f>SUM('MasterA1(current$)'!BE80*100)/109.998</f>
        <v>96.36538846160839</v>
      </c>
      <c r="BF80" s="314">
        <f>SUM('MasterA1(current$)'!BF80*100)/111.298</f>
        <v>90.747362935542412</v>
      </c>
      <c r="BG80" s="314">
        <f>SUM('MasterA1(current$)'!BG80*100)/113.198</f>
        <v>90.991006908249261</v>
      </c>
      <c r="BH80" s="314">
        <f>SUM('MasterA1(current$)'!BH80*100)/115.198</f>
        <v>78.126356360353483</v>
      </c>
      <c r="BI80" s="385">
        <f>(BG80-BF80)/BF80</f>
        <v>2.6848600865670169E-3</v>
      </c>
      <c r="BJ80" s="385">
        <f>(BH80-BG80)/BG80</f>
        <v>-0.14138375851657342</v>
      </c>
      <c r="BK80" s="569">
        <f>BG80-BF80</f>
        <v>0.2436439727068489</v>
      </c>
      <c r="BL80" s="569">
        <f>BH80-BG80</f>
        <v>-12.864650547895778</v>
      </c>
    </row>
    <row r="81" spans="1:64" ht="11.1" customHeight="1">
      <c r="A81" s="129" t="s">
        <v>106</v>
      </c>
      <c r="B81" s="51" t="s">
        <v>3</v>
      </c>
      <c r="C81" s="51" t="s">
        <v>3</v>
      </c>
      <c r="D81" s="51" t="s">
        <v>3</v>
      </c>
      <c r="E81" s="33">
        <f>SUM('MasterA1(current$)'!E81)/0.182</f>
        <v>38.46153846153846</v>
      </c>
      <c r="F81" s="33">
        <f>SUM('MasterA1(current$)'!F81)/0.1842</f>
        <v>43.431053203040172</v>
      </c>
      <c r="G81" s="33">
        <f>SUM('MasterA1(current$)'!G81)/0.18702</f>
        <v>42.776173671265106</v>
      </c>
      <c r="H81" s="33">
        <f>SUM('MasterA1(current$)'!H81)/0.19227</f>
        <v>41.608155198418892</v>
      </c>
      <c r="I81" s="33">
        <f>SUM('MasterA1(current$)'!I81)/0.19786</f>
        <v>40.432629131709291</v>
      </c>
      <c r="J81" s="33">
        <f>SUM('MasterA1(current$)'!J81)/0.20627</f>
        <v>38.784117903718425</v>
      </c>
      <c r="K81" s="33">
        <f>SUM('MasterA1(current$)'!K81)/0.21642</f>
        <v>41.585805378430827</v>
      </c>
      <c r="L81" s="33">
        <f>SUM('MasterA1(current$)'!L81)/0.22784</f>
        <v>52.668539325842701</v>
      </c>
      <c r="M81" s="33">
        <f>SUM('MasterA1(current$)'!M81)/0.23941</f>
        <v>71.007894407084081</v>
      </c>
      <c r="N81" s="33">
        <f>SUM('MasterA1(current$)'!N81)/0.24978</f>
        <v>88.077508207222351</v>
      </c>
      <c r="O81" s="33">
        <f>SUM('MasterA1(current$)'!O81)/0.26337</f>
        <v>94.923491665717435</v>
      </c>
      <c r="P81" s="33">
        <f>SUM('MasterA1(current$)'!P81)/0.28703</f>
        <v>83.614953140786682</v>
      </c>
      <c r="Q81" s="33">
        <f>SUM('MasterA1(current$)'!Q81)/0.31361</f>
        <v>92.471541086062302</v>
      </c>
      <c r="R81" s="33">
        <f>SUM('MasterA1(current$)'!R81)/0.33083</f>
        <v>108.81721730193755</v>
      </c>
      <c r="S81" s="33">
        <f>SUM('MasterA1(current$)'!S81)/0.35135</f>
        <v>142.30823964707557</v>
      </c>
      <c r="T81" s="33">
        <f>SUM('MasterA1(current$)'!T81)/0.37602</f>
        <v>127.6527844263603</v>
      </c>
      <c r="U81" s="33">
        <f>SUM('MasterA1(current$)'!U81)/0.40706</f>
        <v>125.28865523510048</v>
      </c>
      <c r="V81" s="33">
        <f>SUM('MasterA1(current$)'!V81)/0.44377</f>
        <v>123.9380760303761</v>
      </c>
      <c r="W81" s="33">
        <f>SUM('MasterA1(current$)'!W81)/0.4852</f>
        <v>117.47732893652102</v>
      </c>
      <c r="X81" s="33">
        <f>SUM('MasterA1(current$)'!X81)/0.5153</f>
        <v>100.9120900446342</v>
      </c>
      <c r="Y81" s="33">
        <f>SUM('MasterA1(current$)'!Y81)/0.53565</f>
        <v>100.81209745169421</v>
      </c>
      <c r="Z81" s="33">
        <f>SUM('MasterA1(current$)'!Z81)/0.55466</f>
        <v>106.37147081094724</v>
      </c>
      <c r="AA81" s="33">
        <f>SUM('MasterA1(current$)'!AA81)/0.5724</f>
        <v>99.580712788259959</v>
      </c>
      <c r="AB81" s="33">
        <f>SUM('MasterA1(current$)'!AB81)/0.58395</f>
        <v>92.473670690983823</v>
      </c>
      <c r="AC81" s="33">
        <f>SUM('MasterA1(current$)'!AC81)/0.59885</f>
        <v>101.86190197879269</v>
      </c>
      <c r="AD81" s="33">
        <f>SUM('MasterA1(current$)'!AD81)/0.61982</f>
        <v>106.48252718531185</v>
      </c>
      <c r="AE81" s="33">
        <f>SUM('MasterA1(current$)'!AE81)/0.64392</f>
        <v>118.0270841098273</v>
      </c>
      <c r="AF81" s="33">
        <f>SUM('MasterA1(current$)'!AF81)/0.66773</f>
        <v>118.3112934868884</v>
      </c>
      <c r="AG81" s="33">
        <f>SUM('MasterA1(current$)'!AG81)/0.68996</f>
        <v>44.930140877732043</v>
      </c>
      <c r="AH81" s="33">
        <f>SUM('MasterA1(current$)'!AH81)/0.70569</f>
        <v>43.928637220309199</v>
      </c>
      <c r="AI81" s="33">
        <f>SUM('MasterA1(current$)'!AI81)/0.72248</f>
        <v>37.371276713542244</v>
      </c>
      <c r="AJ81" s="33">
        <f>SUM('MasterA1(current$)'!AJ81)/0.73785</f>
        <v>36.592803415328319</v>
      </c>
      <c r="AK81" s="33">
        <f>SUM('MasterA1(current$)'!AK81)/0.75324</f>
        <v>41.155541394509051</v>
      </c>
      <c r="AL81" s="33">
        <f>SUM('MasterA1(current$)'!AL81)/0.76699</f>
        <v>2.6075959269351623</v>
      </c>
      <c r="AM81" s="224" t="s">
        <v>3</v>
      </c>
      <c r="AN81" s="224" t="s">
        <v>3</v>
      </c>
      <c r="AO81" s="224" t="s">
        <v>3</v>
      </c>
      <c r="AP81" s="224" t="s">
        <v>3</v>
      </c>
      <c r="AQ81" s="224" t="s">
        <v>3</v>
      </c>
      <c r="AR81" s="224" t="s">
        <v>3</v>
      </c>
      <c r="AS81" s="224" t="s">
        <v>3</v>
      </c>
      <c r="AT81" s="224" t="s">
        <v>3</v>
      </c>
      <c r="AU81" s="224" t="s">
        <v>3</v>
      </c>
      <c r="AV81" s="342" t="s">
        <v>3</v>
      </c>
      <c r="AW81" s="342" t="s">
        <v>3</v>
      </c>
      <c r="AX81" s="342" t="s">
        <v>3</v>
      </c>
      <c r="AY81" s="293" t="s">
        <v>3</v>
      </c>
      <c r="AZ81" s="293" t="s">
        <v>3</v>
      </c>
      <c r="BA81" s="293" t="s">
        <v>3</v>
      </c>
      <c r="BB81" s="293" t="s">
        <v>3</v>
      </c>
      <c r="BC81" s="293" t="s">
        <v>3</v>
      </c>
      <c r="BD81" s="293" t="s">
        <v>3</v>
      </c>
      <c r="BE81" s="293" t="s">
        <v>3</v>
      </c>
      <c r="BF81" s="314" t="s">
        <v>3</v>
      </c>
      <c r="BG81" s="314" t="s">
        <v>3</v>
      </c>
      <c r="BH81" s="314" t="s">
        <v>3</v>
      </c>
      <c r="BI81" s="419" t="s">
        <v>9</v>
      </c>
      <c r="BJ81" s="419" t="s">
        <v>9</v>
      </c>
      <c r="BK81" s="571"/>
      <c r="BL81" s="571"/>
    </row>
    <row r="82" spans="1:64" ht="11.1" customHeight="1">
      <c r="A82" s="129" t="s">
        <v>109</v>
      </c>
      <c r="B82" s="51" t="s">
        <v>3</v>
      </c>
      <c r="C82" s="51" t="s">
        <v>3</v>
      </c>
      <c r="D82" s="51" t="s">
        <v>3</v>
      </c>
      <c r="E82" s="224" t="s">
        <v>3</v>
      </c>
      <c r="F82" s="224" t="s">
        <v>3</v>
      </c>
      <c r="G82" s="224" t="s">
        <v>3</v>
      </c>
      <c r="H82" s="224" t="s">
        <v>3</v>
      </c>
      <c r="I82" s="224" t="s">
        <v>3</v>
      </c>
      <c r="J82" s="224" t="s">
        <v>3</v>
      </c>
      <c r="K82" s="224" t="s">
        <v>3</v>
      </c>
      <c r="L82" s="224" t="s">
        <v>3</v>
      </c>
      <c r="M82" s="224" t="s">
        <v>3</v>
      </c>
      <c r="N82" s="224" t="s">
        <v>3</v>
      </c>
      <c r="O82" s="224" t="s">
        <v>3</v>
      </c>
      <c r="P82" s="224" t="s">
        <v>3</v>
      </c>
      <c r="Q82" s="342" t="s">
        <v>3</v>
      </c>
      <c r="R82" s="342" t="s">
        <v>3</v>
      </c>
      <c r="S82" s="342" t="s">
        <v>3</v>
      </c>
      <c r="T82" s="342" t="s">
        <v>3</v>
      </c>
      <c r="U82" s="342" t="s">
        <v>3</v>
      </c>
      <c r="V82" s="342" t="s">
        <v>3</v>
      </c>
      <c r="W82" s="342" t="s">
        <v>3</v>
      </c>
      <c r="X82" s="342" t="s">
        <v>3</v>
      </c>
      <c r="Y82" s="342" t="s">
        <v>3</v>
      </c>
      <c r="Z82" s="342" t="s">
        <v>3</v>
      </c>
      <c r="AA82" s="342" t="s">
        <v>3</v>
      </c>
      <c r="AB82" s="342" t="s">
        <v>3</v>
      </c>
      <c r="AC82" s="342" t="s">
        <v>3</v>
      </c>
      <c r="AD82" s="342" t="s">
        <v>3</v>
      </c>
      <c r="AE82" s="162" t="s">
        <v>3</v>
      </c>
      <c r="AF82" s="162" t="s">
        <v>3</v>
      </c>
      <c r="AG82" s="33">
        <f>SUM('MasterA1(current$)'!AG82)/0.68996</f>
        <v>82.613484839700845</v>
      </c>
      <c r="AH82" s="33">
        <f>SUM('MasterA1(current$)'!AH82)/0.70569</f>
        <v>90.691380067735125</v>
      </c>
      <c r="AI82" s="33">
        <f>SUM('MasterA1(current$)'!AI82)/0.72248</f>
        <v>70.59018934780201</v>
      </c>
      <c r="AJ82" s="33">
        <f>SUM('MasterA1(current$)'!AJ82)/0.73785</f>
        <v>86.738496984481941</v>
      </c>
      <c r="AK82" s="33">
        <f>SUM('MasterA1(current$)'!AK82)/0.75324</f>
        <v>86.293877117518988</v>
      </c>
      <c r="AL82" s="33">
        <f>SUM('MasterA1(current$)'!AL82)/0.76699</f>
        <v>82.139271698457605</v>
      </c>
      <c r="AM82" s="33">
        <f>SUM('MasterA1(current$)'!AM82)/0.78012</f>
        <v>93.575347382453984</v>
      </c>
      <c r="AN82" s="33">
        <f>SUM('MasterA1(current$)'!AN82)/0.78859</f>
        <v>101.44688621463625</v>
      </c>
      <c r="AO82" s="33">
        <f>SUM('MasterA1(current$)'!AO82)/0.80065</f>
        <v>114.90663835633548</v>
      </c>
      <c r="AP82" s="339">
        <f>SUM('MasterA1(current$)'!AP82)/0.81887</f>
        <v>120.89831108722997</v>
      </c>
      <c r="AQ82" s="339">
        <f>SUM('MasterA1(current$)'!AQ82)/0.83754</f>
        <v>130.14303794445638</v>
      </c>
      <c r="AR82" s="339">
        <f>SUM('MasterA1(current$)'!AR82)/0.85039</f>
        <v>136.40800103481934</v>
      </c>
      <c r="AS82" s="339">
        <f>SUM('MasterA1(current$)'!AS82)/0.86735</f>
        <v>149.88182394650372</v>
      </c>
      <c r="AT82" s="339">
        <f>SUM('MasterA1(current$)'!AT82)/0.8912</f>
        <v>149.23698384201077</v>
      </c>
      <c r="AU82" s="339">
        <f>SUM('MasterA1(current$)'!AU82)/0.91988</f>
        <v>142.40987954950646</v>
      </c>
      <c r="AV82" s="339">
        <f>SUM('MasterA1(current$)'!AV82)/0.94814</f>
        <v>156.09509144219209</v>
      </c>
      <c r="AW82" s="339">
        <f>SUM('MasterA1(current$)'!AW82)/0.97337</f>
        <v>151.02170808633923</v>
      </c>
      <c r="AX82" s="342">
        <f>SUM('MasterA1(current$)'!AX82*100)/99.246</f>
        <v>155.16998166172945</v>
      </c>
      <c r="AY82" s="417">
        <f>SUM('MasterA1(current$)'!AY82)</f>
        <v>162</v>
      </c>
      <c r="AZ82" s="293">
        <f>SUM('MasterA1(current$)'!AZ82*100)/101.221</f>
        <v>167.94933857598718</v>
      </c>
      <c r="BA82" s="293">
        <f>SUM('MasterA1(current$)'!BA82*100)/103.311</f>
        <v>162.61579115486248</v>
      </c>
      <c r="BB82" s="293">
        <f>SUM('MasterA1(current$)'!BB82*100)/105.214</f>
        <v>161.57545573782957</v>
      </c>
      <c r="BC82" s="293">
        <f>SUM('MasterA1(current$)'!BC82*100)/106.913</f>
        <v>172.10255067204176</v>
      </c>
      <c r="BD82" s="293">
        <f>SUM('MasterA1(current$)'!BD82*100)/108.828</f>
        <v>168.15525416253169</v>
      </c>
      <c r="BE82" s="293">
        <f>SUM('MasterA1(current$)'!BE82*100)/109.998</f>
        <v>173.63952071855852</v>
      </c>
      <c r="BF82" s="314">
        <f>SUM('MasterA1(current$)'!BF82*100)/111.298</f>
        <v>170.71286096785207</v>
      </c>
      <c r="BG82" s="314">
        <f>SUM('MasterA1(current$)'!BG82*100)/113.198</f>
        <v>155.47977879467837</v>
      </c>
      <c r="BH82" s="314">
        <f>SUM('MasterA1(current$)'!BH82*100)/115.198</f>
        <v>170.14184274032536</v>
      </c>
      <c r="BI82" s="385">
        <f t="shared" ref="BI82:BJ85" si="7">(BG82-BF82)/BF82</f>
        <v>-8.9232188405783494E-2</v>
      </c>
      <c r="BJ82" s="385">
        <f t="shared" si="7"/>
        <v>9.4302063324962951E-2</v>
      </c>
      <c r="BK82" s="569">
        <f t="shared" ref="BK82:BL85" si="8">BG82-BF82</f>
        <v>-15.233082173173699</v>
      </c>
      <c r="BL82" s="569">
        <f t="shared" si="8"/>
        <v>14.662063945646992</v>
      </c>
    </row>
    <row r="83" spans="1:64" ht="11.1" customHeight="1">
      <c r="A83" s="129" t="s">
        <v>110</v>
      </c>
      <c r="B83" s="54">
        <f>SUM('MasterA1(current$)'!B83)/0.1756</f>
        <v>39.863325740318906</v>
      </c>
      <c r="C83" s="55">
        <f>SUM('MasterA1(current$)'!C83)/0.178</f>
        <v>39.325842696629216</v>
      </c>
      <c r="D83" s="55">
        <f>SUM('MasterA1(current$)'!D83)/0.1798</f>
        <v>38.932146829810904</v>
      </c>
      <c r="E83" s="33">
        <f>SUM('MasterA1(current$)'!E83)/0.182</f>
        <v>43.956043956043956</v>
      </c>
      <c r="F83" s="33">
        <f>SUM('MasterA1(current$)'!F83)/0.1842</f>
        <v>48.859934853420192</v>
      </c>
      <c r="G83" s="33">
        <f>SUM('MasterA1(current$)'!G83)/0.18702</f>
        <v>48.123195380173243</v>
      </c>
      <c r="H83" s="33">
        <f>SUM('MasterA1(current$)'!H83)/0.19227</f>
        <v>52.010193998023617</v>
      </c>
      <c r="I83" s="33">
        <f>SUM('MasterA1(current$)'!I83)/0.19786</f>
        <v>50.540786414636607</v>
      </c>
      <c r="J83" s="33">
        <f>SUM('MasterA1(current$)'!J83)/0.20627</f>
        <v>48.480147379648031</v>
      </c>
      <c r="K83" s="33">
        <f>SUM('MasterA1(current$)'!K83)/0.21642</f>
        <v>50.827095462526572</v>
      </c>
      <c r="L83" s="33">
        <f>SUM('MasterA1(current$)'!L83)/0.22784</f>
        <v>74.613764044943821</v>
      </c>
      <c r="M83" s="33">
        <f>SUM('MasterA1(current$)'!M83)/0.23941</f>
        <v>171.25433357002632</v>
      </c>
      <c r="N83" s="33">
        <f>SUM('MasterA1(current$)'!N83)/0.24978</f>
        <v>288.25366322363681</v>
      </c>
      <c r="O83" s="33">
        <f>SUM('MasterA1(current$)'!O83)/0.26337</f>
        <v>212.62862133120706</v>
      </c>
      <c r="P83" s="33">
        <f>SUM('MasterA1(current$)'!P83)/0.28703</f>
        <v>205.55342647110058</v>
      </c>
      <c r="Q83" s="33">
        <f>SUM('MasterA1(current$)'!Q83)/0.31361</f>
        <v>216.82982047766333</v>
      </c>
      <c r="R83" s="33">
        <f>SUM('MasterA1(current$)'!R83)/0.33083</f>
        <v>253.9068403711876</v>
      </c>
      <c r="S83" s="33">
        <f>SUM('MasterA1(current$)'!S83)/0.35135</f>
        <v>278.92414970826809</v>
      </c>
      <c r="T83" s="33">
        <f>SUM('MasterA1(current$)'!T83)/0.37602</f>
        <v>289.87819796819315</v>
      </c>
      <c r="U83" s="33">
        <f>SUM('MasterA1(current$)'!U83)/0.40706</f>
        <v>321.81987913329732</v>
      </c>
      <c r="V83" s="33">
        <f>SUM('MasterA1(current$)'!V83)/0.44377</f>
        <v>319.98557811478918</v>
      </c>
      <c r="W83" s="33">
        <f>SUM('MasterA1(current$)'!W83)/0.4852</f>
        <v>313.27287716405607</v>
      </c>
      <c r="X83" s="33">
        <f>SUM('MasterA1(current$)'!X83)/0.5153</f>
        <v>269.74577915777218</v>
      </c>
      <c r="Y83" s="33">
        <f>SUM('MasterA1(current$)'!Y83)/0.53565</f>
        <v>281.9004947260338</v>
      </c>
      <c r="Z83" s="33">
        <f>SUM('MasterA1(current$)'!Z83)/0.55466</f>
        <v>270.43594273969637</v>
      </c>
      <c r="AA83" s="33">
        <f>SUM('MasterA1(current$)'!AA83)/0.5724</f>
        <v>263.80153738644304</v>
      </c>
      <c r="AB83" s="33">
        <f>SUM('MasterA1(current$)'!AB83)/0.58395</f>
        <v>251.73388132545597</v>
      </c>
      <c r="AC83" s="33">
        <f>SUM('MasterA1(current$)'!AC83)/0.59885</f>
        <v>245.47048509643483</v>
      </c>
      <c r="AD83" s="33">
        <f>SUM('MasterA1(current$)'!AD83)/0.61982</f>
        <v>264.59294633925975</v>
      </c>
      <c r="AE83" s="33">
        <f>SUM('MasterA1(current$)'!AE83)/0.64392</f>
        <v>253.13703565660327</v>
      </c>
      <c r="AF83" s="33">
        <f>SUM('MasterA1(current$)'!AF83)/0.66773</f>
        <v>256.09153400326477</v>
      </c>
      <c r="AG83" s="33">
        <f>SUM('MasterA1(current$)'!AG83)/0.68996</f>
        <v>236.24557945388139</v>
      </c>
      <c r="AH83" s="33">
        <f>SUM('MasterA1(current$)'!AH83)/0.70569</f>
        <v>262.15477050829685</v>
      </c>
      <c r="AI83" s="33">
        <f>SUM('MasterA1(current$)'!AI83)/0.72248</f>
        <v>260.21481563503488</v>
      </c>
      <c r="AJ83" s="33">
        <f>SUM('MasterA1(current$)'!AJ83)/0.73785</f>
        <v>269.70251406112351</v>
      </c>
      <c r="AK83" s="33">
        <f>SUM('MasterA1(current$)'!AK83)/0.75324</f>
        <v>253.57123891455578</v>
      </c>
      <c r="AL83" s="33">
        <f>SUM('MasterA1(current$)'!AL83)/0.76699</f>
        <v>246.41781509537284</v>
      </c>
      <c r="AM83" s="33">
        <f>SUM('MasterA1(current$)'!AM83)/0.78012</f>
        <v>260.216376967646</v>
      </c>
      <c r="AN83" s="33">
        <f>SUM('MasterA1(current$)'!AN83)/0.78859</f>
        <v>257.42147376963948</v>
      </c>
      <c r="AO83" s="33">
        <f>SUM('MasterA1(current$)'!AO83)/0.80065</f>
        <v>266.03384749890716</v>
      </c>
      <c r="AP83" s="339">
        <f>SUM('MasterA1(current$)'!AP83)/0.81887</f>
        <v>274.76888883461356</v>
      </c>
      <c r="AQ83" s="339">
        <f>SUM('MasterA1(current$)'!AQ83)/0.83754</f>
        <v>312.82088019676672</v>
      </c>
      <c r="AR83" s="339">
        <f>SUM('MasterA1(current$)'!AR83)/0.85039</f>
        <v>298.68648502451816</v>
      </c>
      <c r="AS83" s="339">
        <f>SUM('MasterA1(current$)'!AS83)/0.86735</f>
        <v>306.68127053669224</v>
      </c>
      <c r="AT83" s="339">
        <f>SUM('MasterA1(current$)'!AT83)/0.8912</f>
        <v>300.71813285457807</v>
      </c>
      <c r="AU83" s="339">
        <f>SUM('MasterA1(current$)'!AU83)/0.91988</f>
        <v>306.56172544244902</v>
      </c>
      <c r="AV83" s="339">
        <f>SUM('MasterA1(current$)'!AV83)/0.94814</f>
        <v>305.8620035015926</v>
      </c>
      <c r="AW83" s="339">
        <f>SUM('MasterA1(current$)'!AW83)/0.97337</f>
        <v>307.18020896473081</v>
      </c>
      <c r="AX83" s="342">
        <f>SUM('MasterA1(current$)'!AX83*100)/99.246</f>
        <v>348.62866009713241</v>
      </c>
      <c r="AY83" s="417">
        <f>SUM('MasterA1(current$)'!AY83)</f>
        <v>349</v>
      </c>
      <c r="AZ83" s="293">
        <f>SUM('MasterA1(current$)'!AZ83*100)/101.221</f>
        <v>350.71773643809092</v>
      </c>
      <c r="BA83" s="293">
        <f>SUM('MasterA1(current$)'!BA83*100)/103.311</f>
        <v>344.59060506625622</v>
      </c>
      <c r="BB83" s="293">
        <f>SUM('MasterA1(current$)'!BB83*100)/105.214</f>
        <v>352.61467105138098</v>
      </c>
      <c r="BC83" s="293">
        <f>SUM('MasterA1(current$)'!BC83*100)/106.913</f>
        <v>339.52840159756062</v>
      </c>
      <c r="BD83" s="293">
        <f>SUM('MasterA1(current$)'!BD83*100)/108.828</f>
        <v>328.95945896276692</v>
      </c>
      <c r="BE83" s="293">
        <f>SUM('MasterA1(current$)'!BE83*100)/109.998</f>
        <v>351.82457862870234</v>
      </c>
      <c r="BF83" s="314">
        <f>SUM('MasterA1(current$)'!BF83*100)/111.298</f>
        <v>345.01967690344839</v>
      </c>
      <c r="BG83" s="314">
        <f>SUM('MasterA1(current$)'!BG83*100)/113.198</f>
        <v>332.16134560681286</v>
      </c>
      <c r="BH83" s="314">
        <f>SUM('MasterA1(current$)'!BH83*100)/115.198</f>
        <v>328.13069671348461</v>
      </c>
      <c r="BI83" s="385">
        <f t="shared" si="7"/>
        <v>-3.7268399912837001E-2</v>
      </c>
      <c r="BJ83" s="385">
        <f t="shared" si="7"/>
        <v>-1.2134611527313058E-2</v>
      </c>
      <c r="BK83" s="569">
        <f t="shared" si="8"/>
        <v>-12.858331296635527</v>
      </c>
      <c r="BL83" s="569">
        <f t="shared" si="8"/>
        <v>-4.0306488933282481</v>
      </c>
    </row>
    <row r="84" spans="1:64" ht="11.1" customHeight="1">
      <c r="A84" s="125" t="s">
        <v>16</v>
      </c>
      <c r="B84" s="120" t="s">
        <v>3</v>
      </c>
      <c r="C84" s="120" t="s">
        <v>3</v>
      </c>
      <c r="D84" s="120" t="s">
        <v>3</v>
      </c>
      <c r="E84" s="349" t="s">
        <v>3</v>
      </c>
      <c r="F84" s="349" t="s">
        <v>3</v>
      </c>
      <c r="G84" s="349" t="s">
        <v>3</v>
      </c>
      <c r="H84" s="349" t="s">
        <v>3</v>
      </c>
      <c r="I84" s="349" t="s">
        <v>3</v>
      </c>
      <c r="J84" s="349" t="s">
        <v>3</v>
      </c>
      <c r="K84" s="349" t="s">
        <v>3</v>
      </c>
      <c r="L84" s="349" t="s">
        <v>3</v>
      </c>
      <c r="M84" s="349" t="s">
        <v>3</v>
      </c>
      <c r="N84" s="349" t="s">
        <v>3</v>
      </c>
      <c r="O84" s="344">
        <f>SUM('MasterA1(current$)'!O84)/0.26337</f>
        <v>140.48676766526179</v>
      </c>
      <c r="P84" s="344">
        <f>SUM('MasterA1(current$)'!P84)/0.28703</f>
        <v>240.3929902797617</v>
      </c>
      <c r="Q84" s="344">
        <f>SUM('MasterA1(current$)'!Q84)/0.31361</f>
        <v>290.16931858040243</v>
      </c>
      <c r="R84" s="344">
        <f>SUM('MasterA1(current$)'!R84)/0.33083</f>
        <v>329.47435238642203</v>
      </c>
      <c r="S84" s="344">
        <f>SUM('MasterA1(current$)'!S84)/0.35135</f>
        <v>361.46292870357195</v>
      </c>
      <c r="T84" s="344">
        <f>SUM('MasterA1(current$)'!T84)/0.37602</f>
        <v>393.59608531461089</v>
      </c>
      <c r="U84" s="33">
        <f>SUM('MasterA1(current$)'!U84)/0.40706</f>
        <v>385.69252690021131</v>
      </c>
      <c r="V84" s="344">
        <f>SUM('MasterA1(current$)'!V84)/0.44377</f>
        <v>405.61552155395816</v>
      </c>
      <c r="W84" s="344">
        <f>SUM('MasterA1(current$)'!W84)/0.4852</f>
        <v>410.14014839241548</v>
      </c>
      <c r="X84" s="344">
        <f>SUM('MasterA1(current$)'!X84)/0.5153</f>
        <v>380.3609547836212</v>
      </c>
      <c r="Y84" s="344">
        <f>SUM('MasterA1(current$)'!Y84)/0.53565</f>
        <v>373.37813870997854</v>
      </c>
      <c r="Z84" s="344">
        <f>SUM('MasterA1(current$)'!Z84)/0.55466</f>
        <v>373.201600980781</v>
      </c>
      <c r="AA84" s="344">
        <f>SUM('MasterA1(current$)'!AA84)/0.5724</f>
        <v>366.87631027253667</v>
      </c>
      <c r="AB84" s="344">
        <f>SUM('MasterA1(current$)'!AB84)/0.58395</f>
        <v>363.04478123126984</v>
      </c>
      <c r="AC84" s="344">
        <f>SUM('MasterA1(current$)'!AC84)/0.59885</f>
        <v>359.02145779410534</v>
      </c>
      <c r="AD84" s="344">
        <f>SUM('MasterA1(current$)'!AD84)/0.61982</f>
        <v>364.62198702849213</v>
      </c>
      <c r="AE84" s="344">
        <f>SUM('MasterA1(current$)'!AE84)/0.64392</f>
        <v>372.71710771524408</v>
      </c>
      <c r="AF84" s="344">
        <f>SUM('MasterA1(current$)'!AF84)/0.66773</f>
        <v>411.84311023916848</v>
      </c>
      <c r="AG84" s="344">
        <f>SUM('MasterA1(current$)'!AG84)/0.68996</f>
        <v>382.63087715229869</v>
      </c>
      <c r="AH84" s="344">
        <f>SUM('MasterA1(current$)'!AH84)/0.70569</f>
        <v>433.61816094885853</v>
      </c>
      <c r="AI84" s="344">
        <f>SUM('MasterA1(current$)'!AI84)/0.72248</f>
        <v>390.32222345255229</v>
      </c>
      <c r="AJ84" s="344">
        <f>SUM('MasterA1(current$)'!AJ84)/0.73785</f>
        <v>401.16554855322897</v>
      </c>
      <c r="AK84" s="344">
        <f>SUM('MasterA1(current$)'!AK84)/0.75324</f>
        <v>391.64144230258614</v>
      </c>
      <c r="AL84" s="344">
        <f>SUM('MasterA1(current$)'!AL84)/0.76699</f>
        <v>378.10140940559853</v>
      </c>
      <c r="AM84" s="344">
        <f>SUM('MasterA1(current$)'!AM84)/0.78012</f>
        <v>412.75701174178329</v>
      </c>
      <c r="AN84" s="344">
        <f>SUM('MasterA1(current$)'!AN84)/0.78859</f>
        <v>432.41735248988698</v>
      </c>
      <c r="AO84" s="344">
        <f>SUM('MasterA1(current$)'!AO84)/0.80065</f>
        <v>438.39380503341039</v>
      </c>
      <c r="AP84" s="332">
        <f>SUM('MasterA1(current$)'!AP84)/0.81887</f>
        <v>451.84217275025338</v>
      </c>
      <c r="AQ84" s="332">
        <f>SUM('MasterA1(current$)'!AQ84)/0.83754</f>
        <v>493.11077679872011</v>
      </c>
      <c r="AR84" s="332">
        <f>SUM('MasterA1(current$)'!AR84)/0.85039</f>
        <v>513.88186596737967</v>
      </c>
      <c r="AS84" s="332">
        <f>SUM('MasterA1(current$)'!AS84)/0.86735</f>
        <v>536.11575488557105</v>
      </c>
      <c r="AT84" s="332">
        <f>SUM('MasterA1(current$)'!AT84)/0.8912</f>
        <v>527.37881508078999</v>
      </c>
      <c r="AU84" s="332">
        <f>SUM('MasterA1(current$)'!AU84)/0.91988</f>
        <v>495.71683263034305</v>
      </c>
      <c r="AV84" s="192">
        <f>SUM('MasterA1(current$)'!AV84)/0.94814</f>
        <v>498.87147467673549</v>
      </c>
      <c r="AW84" s="192">
        <f>SUM('MasterA1(current$)'!AW84)/0.97337</f>
        <v>485.94059812815271</v>
      </c>
      <c r="AX84" s="170">
        <f>SUM('MasterA1(current$)'!AX84*100)/99.246</f>
        <v>497.75305805775548</v>
      </c>
      <c r="AY84" s="417">
        <f>SUM('MasterA1(current$)'!AY84)</f>
        <v>507</v>
      </c>
      <c r="AZ84" s="293">
        <f>SUM('MasterA1(current$)'!AZ84*100)/101.221</f>
        <v>526.57057330000691</v>
      </c>
      <c r="BA84" s="293">
        <f>SUM('MasterA1(current$)'!BA84*100)/103.311</f>
        <v>546.8923928720078</v>
      </c>
      <c r="BB84" s="293">
        <f>SUM('MasterA1(current$)'!BB84*100)/105.214</f>
        <v>530.34767236299353</v>
      </c>
      <c r="BC84" s="293">
        <f>SUM('MasterA1(current$)'!BC84*100)/106.913</f>
        <v>520.9843517626482</v>
      </c>
      <c r="BD84" s="293">
        <f>SUM('MasterA1(current$)'!BD84*100)/108.828</f>
        <v>508.1412871687433</v>
      </c>
      <c r="BE84" s="293">
        <f>SUM('MasterA1(current$)'!BE84*100)/109.998</f>
        <v>507.28195058091961</v>
      </c>
      <c r="BF84" s="314">
        <f>SUM('MasterA1(current$)'!BF84*100)/111.298</f>
        <v>504.05218422613166</v>
      </c>
      <c r="BG84" s="314">
        <f>SUM('MasterA1(current$)'!BG84*100)/113.198</f>
        <v>478.80704606088449</v>
      </c>
      <c r="BH84" s="314">
        <f>SUM('MasterA1(current$)'!BH84*100)/115.198</f>
        <v>473.96656191947778</v>
      </c>
      <c r="BI84" s="385">
        <f t="shared" si="7"/>
        <v>-5.0084374109013896E-2</v>
      </c>
      <c r="BJ84" s="385">
        <f t="shared" si="7"/>
        <v>-1.0109467229501037E-2</v>
      </c>
      <c r="BK84" s="569">
        <f t="shared" si="8"/>
        <v>-25.24513816524717</v>
      </c>
      <c r="BL84" s="569">
        <f t="shared" si="8"/>
        <v>-4.840484141406705</v>
      </c>
    </row>
    <row r="85" spans="1:64" ht="11.1" customHeight="1">
      <c r="A85" s="128" t="s">
        <v>32</v>
      </c>
      <c r="B85" s="119" t="e">
        <f>SUM(#REF!)/0.1756</f>
        <v>#REF!</v>
      </c>
      <c r="C85" s="119">
        <f>SUM('MasterA1(current$)'!C85)/0.178</f>
        <v>123.59550561797754</v>
      </c>
      <c r="D85" s="118">
        <f>SUM('MasterA1(current$)'!D85)/0.1798</f>
        <v>155.72858731924362</v>
      </c>
      <c r="E85" s="464">
        <f>SUM('MasterA1(current$)'!E85)/0.182</f>
        <v>214.28571428571428</v>
      </c>
      <c r="F85" s="464">
        <f>SUM('MasterA1(current$)'!F85)/0.1842</f>
        <v>222.5841476655809</v>
      </c>
      <c r="G85" s="464">
        <f>SUM('MasterA1(current$)'!G85)/0.18702</f>
        <v>219.22789006523368</v>
      </c>
      <c r="H85" s="464">
        <f>SUM('MasterA1(current$)'!H85)/0.19227</f>
        <v>223.64383419150153</v>
      </c>
      <c r="I85" s="464">
        <f>SUM('MasterA1(current$)'!I85)/0.19786</f>
        <v>227.43353886586473</v>
      </c>
      <c r="J85" s="464">
        <f>SUM('MasterA1(current$)'!J85)/0.20627</f>
        <v>223.00867794638094</v>
      </c>
      <c r="K85" s="464">
        <f>SUM('MasterA1(current$)'!K85)/0.21642</f>
        <v>240.27354218648924</v>
      </c>
      <c r="L85" s="464">
        <f>SUM('MasterA1(current$)'!L85)/0.22784</f>
        <v>285.28792134831463</v>
      </c>
      <c r="M85" s="464">
        <f>SUM('MasterA1(current$)'!M85)/0.23941</f>
        <v>367.57027693078817</v>
      </c>
      <c r="N85" s="464">
        <f>SUM('MasterA1(current$)'!N85)/0.24978</f>
        <v>512.45095684202101</v>
      </c>
      <c r="O85" s="464">
        <f>SUM('MasterA1(current$)'!O85)/0.26337</f>
        <v>603.71340699396285</v>
      </c>
      <c r="P85" s="464">
        <f>SUM('MasterA1(current$)'!P85)/0.28703</f>
        <v>661.95171236456122</v>
      </c>
      <c r="Q85" s="464">
        <f>SUM('MasterA1(current$)'!Q85)/0.31361</f>
        <v>752.52702401071394</v>
      </c>
      <c r="R85" s="464">
        <f>SUM('MasterA1(current$)'!R85)/0.33083</f>
        <v>864.4923374542816</v>
      </c>
      <c r="S85" s="464">
        <f>SUM('MasterA1(current$)'!S85)/0.35135</f>
        <v>967.69602960011389</v>
      </c>
      <c r="T85" s="464">
        <f>SUM('MasterA1(current$)'!T85)/0.37602</f>
        <v>999.94681133982226</v>
      </c>
      <c r="U85" s="464">
        <f>SUM('MasterA1(current$)'!U85)/0.40706</f>
        <v>1103.0314941286297</v>
      </c>
      <c r="V85" s="464">
        <f>SUM('MasterA1(current$)'!V85)/0.44377</f>
        <v>1126.7097820943281</v>
      </c>
      <c r="W85" s="464">
        <f>SUM('MasterA1(current$)'!W85)/0.4852</f>
        <v>1102.6380873866447</v>
      </c>
      <c r="X85" s="464">
        <f>SUM('MasterA1(current$)'!X85)/0.5153</f>
        <v>974.18979235396864</v>
      </c>
      <c r="Y85" s="464">
        <f>SUM('MasterA1(current$)'!Y85)/0.53565</f>
        <v>976.38383272659394</v>
      </c>
      <c r="Z85" s="464">
        <f>SUM('MasterA1(current$)'!Z85)/0.55466</f>
        <v>962.75195615331904</v>
      </c>
      <c r="AA85" s="464">
        <f>SUM('MasterA1(current$)'!AA85)/0.5724</f>
        <v>939.90216631726059</v>
      </c>
      <c r="AB85" s="464">
        <f>SUM('MasterA1(current$)'!AB85)/0.58395</f>
        <v>924.73670690983818</v>
      </c>
      <c r="AC85" s="464">
        <f>SUM('MasterA1(current$)'!AC85)/0.59885</f>
        <v>918.4269850546882</v>
      </c>
      <c r="AD85" s="464">
        <f>SUM('MasterA1(current$)'!AD85)/0.61982</f>
        <v>955.11600141976692</v>
      </c>
      <c r="AE85" s="464">
        <f>SUM('MasterA1(current$)'!AE85)/0.64392</f>
        <v>973.7234439060752</v>
      </c>
      <c r="AF85" s="464">
        <f>SUM('MasterA1(current$)'!AF85)/0.66773</f>
        <v>1019.8733020831772</v>
      </c>
      <c r="AG85" s="464">
        <f>SUM('MasterA1(current$)'!AG85)/0.68996</f>
        <v>963.82398979650986</v>
      </c>
      <c r="AH85" s="464">
        <f>SUM('MasterA1(current$)'!AH85)/0.70569</f>
        <v>1054.2872932874207</v>
      </c>
      <c r="AI85" s="464">
        <f>SUM('MasterA1(current$)'!AI85)/0.72248</f>
        <v>974.42143727161999</v>
      </c>
      <c r="AJ85" s="464">
        <f>SUM('MasterA1(current$)'!AJ85)/0.73785</f>
        <v>1012.4008944907501</v>
      </c>
      <c r="AK85" s="464">
        <f>SUM('MasterA1(current$)'!AK85)/0.75324</f>
        <v>994.3709840157187</v>
      </c>
      <c r="AL85" s="464">
        <f>SUM('MasterA1(current$)'!AL85)/0.76699</f>
        <v>916.56996831770959</v>
      </c>
      <c r="AM85" s="464">
        <f>SUM('MasterA1(current$)'!AM85)/0.78012</f>
        <v>996.00061528995536</v>
      </c>
      <c r="AN85" s="464">
        <f>SUM('MasterA1(current$)'!AN85)/0.78859</f>
        <v>1041.0986697777046</v>
      </c>
      <c r="AO85" s="464">
        <f>SUM('MasterA1(current$)'!AO85)/0.80065</f>
        <v>1072.8782863923063</v>
      </c>
      <c r="AP85" s="138">
        <f>SUM('MasterA1(current$)'!AP85)/0.81887</f>
        <v>1124.7206516296849</v>
      </c>
      <c r="AQ85" s="138">
        <f>SUM('MasterA1(current$)'!AQ85)/0.83754</f>
        <v>1248.89557513671</v>
      </c>
      <c r="AR85" s="138">
        <f>SUM('MasterA1(current$)'!AR85)/0.85039</f>
        <v>1239.43131974741</v>
      </c>
      <c r="AS85" s="138">
        <f>SUM('MasterA1(current$)'!AS85)/0.86735</f>
        <v>1278.6072519744048</v>
      </c>
      <c r="AT85" s="138">
        <f>SUM('MasterA1(current$)'!AT85)/0.8912</f>
        <v>1262.3429084380612</v>
      </c>
      <c r="AU85" s="138">
        <f>SUM('MasterA1(current$)'!AU85)/0.91988</f>
        <v>1214.2888202809061</v>
      </c>
      <c r="AV85" s="138">
        <f>SUM('MasterA1(current$)'!AV85)/0.94814</f>
        <v>1232.9402830805577</v>
      </c>
      <c r="AW85" s="138">
        <f>SUM('MasterA1(current$)'!AW85)/0.97337</f>
        <v>1212.5381833955782</v>
      </c>
      <c r="AX85" s="672">
        <f>SUM('MasterA1(current$)'!AX85*100)/99.246</f>
        <v>1275.3431073090462</v>
      </c>
      <c r="AY85" s="502">
        <f>SUM('MasterA1(current$)'!AY85)</f>
        <v>1311</v>
      </c>
      <c r="AZ85" s="377">
        <f>SUM('MasterA1(current$)'!AZ85*100)/101.221</f>
        <v>1410.7744440382924</v>
      </c>
      <c r="BA85" s="377">
        <f>SUM('MasterA1(current$)'!BA85*100)/103.311</f>
        <v>1351.2597884058812</v>
      </c>
      <c r="BB85" s="377">
        <f>SUM('MasterA1(current$)'!BB85*100)/105.214</f>
        <v>1360.0851597696123</v>
      </c>
      <c r="BC85" s="377">
        <f>SUM('MasterA1(current$)'!BC85*100)/106.913</f>
        <v>1396.4625443117302</v>
      </c>
      <c r="BD85" s="377">
        <f>SUM('MasterA1(current$)'!BD85*100)/108.828</f>
        <v>1345.2420333002535</v>
      </c>
      <c r="BE85" s="377">
        <f>SUM('MasterA1(current$)'!BE85*100)/109.998</f>
        <v>1381.8433062419317</v>
      </c>
      <c r="BF85" s="376">
        <f>SUM('MasterA1(current$)'!BF85*100)/111.298</f>
        <v>1313.5905407105249</v>
      </c>
      <c r="BG85" s="376">
        <f>SUM('MasterA1(current$)'!BG85*100)/113.198</f>
        <v>1267.6902418770651</v>
      </c>
      <c r="BH85" s="376">
        <f>SUM('MasterA1(current$)'!BH85*100)/115.198</f>
        <v>1253.4939842705603</v>
      </c>
      <c r="BI85" s="415">
        <f t="shared" si="7"/>
        <v>-3.4942622842451518E-2</v>
      </c>
      <c r="BJ85" s="415">
        <f t="shared" si="7"/>
        <v>-1.119852242885804E-2</v>
      </c>
      <c r="BK85" s="572">
        <f t="shared" si="8"/>
        <v>-45.900298833459829</v>
      </c>
      <c r="BL85" s="572">
        <f t="shared" si="8"/>
        <v>-14.196257606504787</v>
      </c>
    </row>
    <row r="86" spans="1:64" ht="6" customHeight="1">
      <c r="A86" s="125"/>
      <c r="B86" s="35"/>
      <c r="C86" s="36"/>
      <c r="D86" s="36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161"/>
      <c r="AN86" s="161"/>
      <c r="AO86" s="161"/>
      <c r="AP86" s="339"/>
      <c r="AQ86" s="339"/>
      <c r="AR86" s="339"/>
      <c r="AS86" s="339"/>
      <c r="AT86" s="339"/>
      <c r="AU86" s="339"/>
      <c r="AV86" s="98"/>
      <c r="AW86" s="98"/>
      <c r="AX86" s="224"/>
      <c r="AY86" s="382"/>
      <c r="AZ86" s="382"/>
      <c r="BA86" s="382"/>
      <c r="BB86" s="382"/>
      <c r="BC86" s="382"/>
      <c r="BD86" s="382"/>
      <c r="BE86" s="382"/>
      <c r="BF86" s="655"/>
      <c r="BG86" s="655"/>
      <c r="BH86" s="655"/>
      <c r="BI86" s="329"/>
      <c r="BJ86" s="329"/>
      <c r="BK86" s="570"/>
      <c r="BL86" s="570"/>
    </row>
    <row r="87" spans="1:64" ht="12" customHeight="1">
      <c r="A87" s="129" t="s">
        <v>103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633"/>
      <c r="BG87" s="633"/>
      <c r="BH87" s="633"/>
      <c r="BI87" s="329"/>
      <c r="BJ87" s="329"/>
      <c r="BK87" s="570"/>
      <c r="BL87" s="570"/>
    </row>
    <row r="88" spans="1:64" ht="12" customHeight="1">
      <c r="A88" s="129" t="s">
        <v>104</v>
      </c>
      <c r="B88" s="51" t="s">
        <v>3</v>
      </c>
      <c r="C88" s="51" t="s">
        <v>3</v>
      </c>
      <c r="D88" s="51" t="s">
        <v>3</v>
      </c>
      <c r="E88" s="224" t="s">
        <v>3</v>
      </c>
      <c r="F88" s="224" t="s">
        <v>3</v>
      </c>
      <c r="G88" s="224" t="s">
        <v>3</v>
      </c>
      <c r="H88" s="224" t="s">
        <v>3</v>
      </c>
      <c r="I88" s="224" t="s">
        <v>3</v>
      </c>
      <c r="J88" s="224" t="s">
        <v>3</v>
      </c>
      <c r="K88" s="224" t="s">
        <v>3</v>
      </c>
      <c r="L88" s="224" t="s">
        <v>3</v>
      </c>
      <c r="M88" s="224" t="s">
        <v>3</v>
      </c>
      <c r="N88" s="224" t="s">
        <v>3</v>
      </c>
      <c r="O88" s="224" t="s">
        <v>3</v>
      </c>
      <c r="P88" s="224" t="s">
        <v>3</v>
      </c>
      <c r="Q88" s="342" t="s">
        <v>3</v>
      </c>
      <c r="R88" s="342" t="s">
        <v>3</v>
      </c>
      <c r="S88" s="342" t="s">
        <v>3</v>
      </c>
      <c r="T88" s="342" t="s">
        <v>3</v>
      </c>
      <c r="U88" s="342" t="s">
        <v>3</v>
      </c>
      <c r="V88" s="342" t="s">
        <v>3</v>
      </c>
      <c r="W88" s="342" t="s">
        <v>3</v>
      </c>
      <c r="X88" s="342" t="s">
        <v>3</v>
      </c>
      <c r="Y88" s="342" t="s">
        <v>3</v>
      </c>
      <c r="Z88" s="342" t="s">
        <v>3</v>
      </c>
      <c r="AA88" s="342" t="s">
        <v>3</v>
      </c>
      <c r="AB88" s="342" t="s">
        <v>3</v>
      </c>
      <c r="AC88" s="342" t="s">
        <v>3</v>
      </c>
      <c r="AD88" s="342" t="s">
        <v>3</v>
      </c>
      <c r="AE88" s="342" t="s">
        <v>3</v>
      </c>
      <c r="AF88" s="342" t="s">
        <v>3</v>
      </c>
      <c r="AG88" s="342" t="s">
        <v>3</v>
      </c>
      <c r="AH88" s="342" t="s">
        <v>3</v>
      </c>
      <c r="AI88" s="342" t="s">
        <v>3</v>
      </c>
      <c r="AJ88" s="342" t="s">
        <v>3</v>
      </c>
      <c r="AK88" s="342" t="s">
        <v>3</v>
      </c>
      <c r="AL88" s="33">
        <f>SUM('MasterA1(current$)'!AL88)/0.76699</f>
        <v>6.5189898173379062</v>
      </c>
      <c r="AM88" s="33">
        <f>SUM('MasterA1(current$)'!AM88)/0.78012</f>
        <v>6.4092703686612316</v>
      </c>
      <c r="AN88" s="33">
        <f>SUM('MasterA1(current$)'!AN88)/0.78859</f>
        <v>6.3404303884147657</v>
      </c>
      <c r="AO88" s="33">
        <f>SUM('MasterA1(current$)'!AO88)/0.80065</f>
        <v>7.4939111971523138</v>
      </c>
      <c r="AP88" s="339">
        <f>SUM('MasterA1(current$)'!AP88)/0.81887</f>
        <v>8.5483654304102004</v>
      </c>
      <c r="AQ88" s="339">
        <f>SUM('MasterA1(current$)'!AQ88)/0.83754</f>
        <v>8.3578097762494927</v>
      </c>
      <c r="AR88" s="339">
        <f>SUM('MasterA1(current$)'!AR88)/0.85039</f>
        <v>9.4074483472289181</v>
      </c>
      <c r="AS88" s="339">
        <f>SUM('MasterA1(current$)'!AS88)/0.86735</f>
        <v>10.37643396552718</v>
      </c>
      <c r="AT88" s="339">
        <f>SUM('MasterA1(current$)'!AT88)/0.8912</f>
        <v>10.098743267504489</v>
      </c>
      <c r="AU88" s="339">
        <f>SUM('MasterA1(current$)'!AU88)/0.91988</f>
        <v>9.783884854546244</v>
      </c>
      <c r="AV88" s="339">
        <f>SUM('MasterA1(current$)'!AV88)/0.94814</f>
        <v>9.492269074187357</v>
      </c>
      <c r="AW88" s="339">
        <f>SUM('MasterA1(current$)'!AW88)/0.97337</f>
        <v>7.1915099088732966</v>
      </c>
      <c r="AX88" s="342">
        <f>SUM('MasterA1(current$)'!AX88*100)/99.246</f>
        <v>8.0607782681417888</v>
      </c>
      <c r="AY88" s="417">
        <f>SUM('MasterA1(current$)'!AY88)</f>
        <v>8</v>
      </c>
      <c r="AZ88" s="293">
        <f>SUM('MasterA1(current$)'!AZ88*100)/101.221</f>
        <v>7.9034982859288085</v>
      </c>
      <c r="BA88" s="293">
        <f>SUM('MasterA1(current$)'!BA88*100)/103.311</f>
        <v>7.7436091026125</v>
      </c>
      <c r="BB88" s="293">
        <f>SUM('MasterA1(current$)'!BB88*100)/105.214</f>
        <v>7.6035508582508031</v>
      </c>
      <c r="BC88" s="293">
        <f>SUM('MasterA1(current$)'!BC88*100)/106.913</f>
        <v>7.4827195944365981</v>
      </c>
      <c r="BD88" s="293">
        <f>SUM('MasterA1(current$)'!BD88*100)/108.828</f>
        <v>7.3510493622964672</v>
      </c>
      <c r="BE88" s="293">
        <f>SUM('MasterA1(current$)'!BE88*100)/109.998</f>
        <v>7.2728595065364825</v>
      </c>
      <c r="BF88" s="314">
        <f>SUM('MasterA1(current$)'!BF88*100)/111.298</f>
        <v>8.0863986774245724</v>
      </c>
      <c r="BG88" s="314">
        <f>SUM('MasterA1(current$)'!BG88*100)/113.198</f>
        <v>8.8340783406067249</v>
      </c>
      <c r="BH88" s="314">
        <f>SUM('MasterA1(current$)'!BH88*100)/115.198</f>
        <v>8.6807062622614986</v>
      </c>
      <c r="BI88" s="385">
        <f>(BG88-BF88)/BF88</f>
        <v>9.2461390169830224E-2</v>
      </c>
      <c r="BJ88" s="385">
        <f>(BH88-BG88)/BG88</f>
        <v>-1.7361412524522935E-2</v>
      </c>
      <c r="BK88" s="569">
        <f>BG88-BF88</f>
        <v>0.74767966318215251</v>
      </c>
      <c r="BL88" s="569">
        <f>BH88-BG88</f>
        <v>-0.15337207834522637</v>
      </c>
    </row>
    <row r="89" spans="1:64" ht="6" customHeight="1">
      <c r="A89" s="125"/>
      <c r="B89" s="35"/>
      <c r="C89" s="36"/>
      <c r="D89" s="36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161"/>
      <c r="AN89" s="161"/>
      <c r="AO89" s="161"/>
      <c r="AP89" s="339"/>
      <c r="AQ89" s="339"/>
      <c r="AR89" s="339"/>
      <c r="AS89" s="339"/>
      <c r="AT89" s="339"/>
      <c r="AU89" s="339"/>
      <c r="AV89" s="98"/>
      <c r="AW89" s="98"/>
      <c r="AX89" s="224"/>
      <c r="AY89" s="382"/>
      <c r="AZ89" s="382"/>
      <c r="BA89" s="382"/>
      <c r="BB89" s="382"/>
      <c r="BC89" s="382"/>
      <c r="BD89" s="382"/>
      <c r="BE89" s="382"/>
      <c r="BF89" s="655"/>
      <c r="BG89" s="655"/>
      <c r="BH89" s="655"/>
      <c r="BI89" s="385"/>
      <c r="BJ89" s="385"/>
      <c r="BK89" s="571"/>
      <c r="BL89" s="571"/>
    </row>
    <row r="90" spans="1:64" ht="11.1" customHeight="1">
      <c r="A90" s="129" t="s">
        <v>126</v>
      </c>
      <c r="B90" s="51" t="s">
        <v>3</v>
      </c>
      <c r="C90" s="51" t="s">
        <v>3</v>
      </c>
      <c r="D90" s="51" t="s">
        <v>3</v>
      </c>
      <c r="E90" s="224" t="s">
        <v>3</v>
      </c>
      <c r="F90" s="224" t="s">
        <v>3</v>
      </c>
      <c r="G90" s="224" t="s">
        <v>3</v>
      </c>
      <c r="H90" s="224" t="s">
        <v>3</v>
      </c>
      <c r="I90" s="224" t="s">
        <v>3</v>
      </c>
      <c r="J90" s="224" t="s">
        <v>3</v>
      </c>
      <c r="K90" s="224" t="s">
        <v>3</v>
      </c>
      <c r="L90" s="224" t="s">
        <v>3</v>
      </c>
      <c r="M90" s="224" t="s">
        <v>3</v>
      </c>
      <c r="N90" s="224" t="s">
        <v>3</v>
      </c>
      <c r="O90" s="224" t="s">
        <v>3</v>
      </c>
      <c r="P90" s="224" t="s">
        <v>3</v>
      </c>
      <c r="Q90" s="342" t="s">
        <v>3</v>
      </c>
      <c r="R90" s="342" t="s">
        <v>3</v>
      </c>
      <c r="S90" s="342" t="s">
        <v>3</v>
      </c>
      <c r="T90" s="342" t="s">
        <v>3</v>
      </c>
      <c r="U90" s="342" t="s">
        <v>3</v>
      </c>
      <c r="V90" s="342" t="s">
        <v>3</v>
      </c>
      <c r="W90" s="342" t="s">
        <v>3</v>
      </c>
      <c r="X90" s="33">
        <f>SUM('MasterA1(current$)'!X90)/0.5153</f>
        <v>3.8812342324859306</v>
      </c>
      <c r="Y90" s="33">
        <f>SUM('MasterA1(current$)'!Y90)/0.53565</f>
        <v>3.7337813870997856</v>
      </c>
      <c r="Z90" s="33">
        <f>SUM('MasterA1(current$)'!Z90)/0.55466</f>
        <v>3.6058125698626182</v>
      </c>
      <c r="AA90" s="33">
        <f>SUM('MasterA1(current$)'!AA90)/0.5724</f>
        <v>3.4940600978336827</v>
      </c>
      <c r="AB90" s="33">
        <f>SUM('MasterA1(current$)'!AB90)/0.58395</f>
        <v>3.4249507663327341</v>
      </c>
      <c r="AC90" s="33">
        <f>SUM('MasterA1(current$)'!AC90)/0.59885</f>
        <v>3.3397344911079569</v>
      </c>
      <c r="AD90" s="33">
        <f>SUM('MasterA1(current$)'!AD90)/0.61982</f>
        <v>3.2267432480397531</v>
      </c>
      <c r="AE90" s="33">
        <f>SUM('MasterA1(current$)'!AE90)/0.64392</f>
        <v>3.105975897627034</v>
      </c>
      <c r="AF90" s="33">
        <f>SUM('MasterA1(current$)'!AF90)/0.66773</f>
        <v>2.9952226199212255</v>
      </c>
      <c r="AG90" s="33">
        <f>SUM('MasterA1(current$)'!AG90)/0.68996</f>
        <v>4.3480781494579395</v>
      </c>
      <c r="AH90" s="33">
        <f>SUM('MasterA1(current$)'!AH90)/0.70569</f>
        <v>4.2511584406750833</v>
      </c>
      <c r="AI90" s="33">
        <f>SUM('MasterA1(current$)'!AI90)/0.72248</f>
        <v>4.1523640792824716</v>
      </c>
      <c r="AJ90" s="33">
        <f>SUM('MasterA1(current$)'!AJ90)/0.73785</f>
        <v>4.0658670461475905</v>
      </c>
      <c r="AK90" s="33">
        <f>SUM('MasterA1(current$)'!AK90)/0.75324</f>
        <v>3.982794328500876</v>
      </c>
      <c r="AL90" s="33">
        <f>SUM('MasterA1(current$)'!AL90)/0.76699</f>
        <v>3.9113938904027434</v>
      </c>
      <c r="AM90" s="33">
        <f>SUM('MasterA1(current$)'!AM90)/0.78012</f>
        <v>6.4092703686612316</v>
      </c>
      <c r="AN90" s="33">
        <f>SUM('MasterA1(current$)'!AN90)/0.78859</f>
        <v>5.072344310731812</v>
      </c>
      <c r="AO90" s="33">
        <f>SUM('MasterA1(current$)'!AO90)/0.80065</f>
        <v>4.9959407981015422</v>
      </c>
      <c r="AP90" s="339">
        <f>SUM('MasterA1(current$)'!AP90)/0.81887</f>
        <v>4.8847802459486855</v>
      </c>
      <c r="AQ90" s="339">
        <f>SUM('MasterA1(current$)'!AQ90)/0.83754</f>
        <v>5.9698641258924949</v>
      </c>
      <c r="AR90" s="339">
        <f>SUM('MasterA1(current$)'!AR90)/0.85039</f>
        <v>7.0555862604216895</v>
      </c>
      <c r="AS90" s="339">
        <f>SUM('MasterA1(current$)'!AS90)/0.86735</f>
        <v>6.917622643684787</v>
      </c>
      <c r="AT90" s="339">
        <f>SUM('MasterA1(current$)'!AT90)/0.8912</f>
        <v>6.7324955116696588</v>
      </c>
      <c r="AU90" s="339">
        <f>SUM('MasterA1(current$)'!AU90)/0.91988</f>
        <v>6.5225899030308296</v>
      </c>
      <c r="AV90" s="339">
        <f>SUM('MasterA1(current$)'!AV90)/0.94814</f>
        <v>5.2734828189929761</v>
      </c>
      <c r="AW90" s="339">
        <f>SUM('MasterA1(current$)'!AW90)/0.97337</f>
        <v>6.1641513504628254</v>
      </c>
      <c r="AX90" s="342">
        <f>SUM('MasterA1(current$)'!AX90*100)/99.246</f>
        <v>6.0455837011063425</v>
      </c>
      <c r="AY90" s="417">
        <f>SUM('MasterA1(current$)'!AY90)</f>
        <v>7</v>
      </c>
      <c r="AZ90" s="293">
        <f>SUM('MasterA1(current$)'!AZ90*100)/101.221</f>
        <v>6.9155610001877079</v>
      </c>
      <c r="BA90" s="293">
        <f>SUM('MasterA1(current$)'!BA90*100)/103.311</f>
        <v>6.7756579647859372</v>
      </c>
      <c r="BB90" s="293">
        <f>SUM('MasterA1(current$)'!BB90*100)/105.214</f>
        <v>6.6531070009694524</v>
      </c>
      <c r="BC90" s="293">
        <f>SUM('MasterA1(current$)'!BC90*100)/106.913</f>
        <v>6.5473796451320236</v>
      </c>
      <c r="BD90" s="293">
        <f>SUM('MasterA1(current$)'!BD90*100)/108.828</f>
        <v>6.4321681920094091</v>
      </c>
      <c r="BE90" s="293">
        <f>SUM('MasterA1(current$)'!BE90*100)/109.998</f>
        <v>6.363752068219422</v>
      </c>
      <c r="BF90" s="314">
        <f>SUM('MasterA1(current$)'!BF90*100)/111.298</f>
        <v>7.1879099354885083</v>
      </c>
      <c r="BG90" s="314">
        <f>SUM('MasterA1(current$)'!BG90*100)/113.198</f>
        <v>7.0672626724853798</v>
      </c>
      <c r="BH90" s="314">
        <f>SUM('MasterA1(current$)'!BH90*100)/115.198</f>
        <v>6.9445650098091987</v>
      </c>
      <c r="BI90" s="385">
        <f>(BG90-BF90)/BF90</f>
        <v>-1.6784748847152753E-2</v>
      </c>
      <c r="BJ90" s="385">
        <f>(BH90-BG90)/BG90</f>
        <v>-1.7361412524522935E-2</v>
      </c>
      <c r="BK90" s="569">
        <f>BG90-BF90</f>
        <v>-0.12064726300312856</v>
      </c>
      <c r="BL90" s="569">
        <f>BH90-BG90</f>
        <v>-0.1226976626761811</v>
      </c>
    </row>
    <row r="91" spans="1:64" ht="6" customHeight="1">
      <c r="A91" s="125"/>
      <c r="B91" s="35"/>
      <c r="C91" s="36"/>
      <c r="D91" s="36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495"/>
      <c r="AN91" s="495"/>
      <c r="AO91" s="495"/>
      <c r="AP91" s="339"/>
      <c r="AQ91" s="339"/>
      <c r="AR91" s="339"/>
      <c r="AS91" s="339"/>
      <c r="AT91" s="339"/>
      <c r="AU91" s="339"/>
      <c r="AV91" s="339"/>
      <c r="AW91" s="339"/>
      <c r="AX91" s="342"/>
      <c r="AY91" s="293"/>
      <c r="AZ91" s="293"/>
      <c r="BA91" s="293"/>
      <c r="BB91" s="293"/>
      <c r="BC91" s="293"/>
      <c r="BD91" s="293"/>
      <c r="BE91" s="293"/>
      <c r="BF91" s="314"/>
      <c r="BG91" s="314"/>
      <c r="BH91" s="314"/>
      <c r="BI91" s="329"/>
      <c r="BJ91" s="329"/>
      <c r="BK91" s="570"/>
      <c r="BL91" s="570"/>
    </row>
    <row r="92" spans="1:64" ht="11.1" customHeight="1">
      <c r="A92" s="125" t="s">
        <v>15</v>
      </c>
      <c r="B92" s="51" t="s">
        <v>3</v>
      </c>
      <c r="C92" s="51" t="s">
        <v>3</v>
      </c>
      <c r="D92" s="51" t="s">
        <v>3</v>
      </c>
      <c r="E92" s="224" t="s">
        <v>3</v>
      </c>
      <c r="F92" s="224" t="s">
        <v>3</v>
      </c>
      <c r="G92" s="224" t="s">
        <v>3</v>
      </c>
      <c r="H92" s="33">
        <f>SUM('MasterA1(current$)'!H92)/0.19227</f>
        <v>15.603058199407084</v>
      </c>
      <c r="I92" s="33">
        <f>SUM('MasterA1(current$)'!I92)/0.19786</f>
        <v>25.270393207318303</v>
      </c>
      <c r="J92" s="33">
        <f>SUM('MasterA1(current$)'!J92)/0.20627</f>
        <v>29.088088427788819</v>
      </c>
      <c r="K92" s="33">
        <f>SUM('MasterA1(current$)'!K92)/0.21642</f>
        <v>41.585805378430827</v>
      </c>
      <c r="L92" s="33">
        <f>SUM('MasterA1(current$)'!L92)/0.22784</f>
        <v>52.668539325842701</v>
      </c>
      <c r="M92" s="33">
        <f>SUM('MasterA1(current$)'!M92)/0.23941</f>
        <v>66.830959441961483</v>
      </c>
      <c r="N92" s="33">
        <f>SUM('MasterA1(current$)'!N92)/0.24978</f>
        <v>84.073985106894071</v>
      </c>
      <c r="O92" s="33">
        <f>SUM('MasterA1(current$)'!O92)/0.26337</f>
        <v>106.31431066560353</v>
      </c>
      <c r="P92" s="33">
        <f>SUM('MasterA1(current$)'!P92)/0.28703</f>
        <v>153.29408075810889</v>
      </c>
      <c r="Q92" s="33">
        <f>SUM('MasterA1(current$)'!Q92)/0.31361</f>
        <v>178.56573451101687</v>
      </c>
      <c r="R92" s="33">
        <f>SUM('MasterA1(current$)'!R92)/0.33083</f>
        <v>178.3393283559532</v>
      </c>
      <c r="S92" s="33">
        <f>SUM('MasterA1(current$)'!S92)/0.35135</f>
        <v>204.92386509178883</v>
      </c>
      <c r="T92" s="33">
        <f>SUM('MasterA1(current$)'!T92)/0.37602</f>
        <v>196.79804265730544</v>
      </c>
      <c r="U92" s="33">
        <f>SUM('MasterA1(current$)'!U92)/0.40706</f>
        <v>226.01090748292637</v>
      </c>
      <c r="V92" s="33">
        <f>SUM('MasterA1(current$)'!V92)/0.44377</f>
        <v>295.19796290871398</v>
      </c>
      <c r="W92" s="33">
        <f>SUM('MasterA1(current$)'!W92)/0.4852</f>
        <v>276.17477328936519</v>
      </c>
      <c r="X92" s="33">
        <f>SUM('MasterA1(current$)'!X92)/0.5153</f>
        <v>267.80516204152923</v>
      </c>
      <c r="Y92" s="33">
        <f>SUM('MasterA1(current$)'!Y92)/0.53565</f>
        <v>266.96536917763467</v>
      </c>
      <c r="Z92" s="33">
        <f>SUM('MasterA1(current$)'!Z92)/0.55466</f>
        <v>274.04175530955899</v>
      </c>
      <c r="AA92" s="33">
        <f>SUM('MasterA1(current$)'!AA92)/0.5724</f>
        <v>276.03074772886094</v>
      </c>
      <c r="AB92" s="33">
        <f>SUM('MasterA1(current$)'!AB92)/0.58395</f>
        <v>272.28358592345239</v>
      </c>
      <c r="AC92" s="33">
        <f>SUM('MasterA1(current$)'!AC92)/0.59885</f>
        <v>263.83902479752862</v>
      </c>
      <c r="AD92" s="33">
        <f>SUM('MasterA1(current$)'!AD92)/0.61982</f>
        <v>283.95340582749827</v>
      </c>
      <c r="AE92" s="33">
        <f>SUM('MasterA1(current$)'!AE92)/0.64392</f>
        <v>282.64380668406011</v>
      </c>
      <c r="AF92" s="33">
        <f>SUM('MasterA1(current$)'!AF92)/0.66773</f>
        <v>271.06764710287092</v>
      </c>
      <c r="AG92" s="33">
        <f>SUM('MasterA1(current$)'!AG92)/0.68996</f>
        <v>279.72636094846075</v>
      </c>
      <c r="AH92" s="33">
        <f>SUM('MasterA1(current$)'!AH92)/0.70569</f>
        <v>296.16403803369752</v>
      </c>
      <c r="AI92" s="33">
        <f>SUM('MasterA1(current$)'!AI92)/0.72248</f>
        <v>301.7384564278596</v>
      </c>
      <c r="AJ92" s="33">
        <f>SUM('MasterA1(current$)'!AJ92)/0.73785</f>
        <v>311.71647353798198</v>
      </c>
      <c r="AK92" s="33">
        <f>SUM('MasterA1(current$)'!AK92)/0.75324</f>
        <v>310.65795762306834</v>
      </c>
      <c r="AL92" s="33">
        <f>SUM('MasterA1(current$)'!AL92)/0.76699</f>
        <v>293.35454178020575</v>
      </c>
      <c r="AM92" s="33">
        <f>SUM('MasterA1(current$)'!AM92)/0.78012</f>
        <v>297.39014510588112</v>
      </c>
      <c r="AN92" s="33">
        <f>SUM('MasterA1(current$)'!AN92)/0.78859</f>
        <v>306.87683079927467</v>
      </c>
      <c r="AO92" s="33">
        <f>SUM('MasterA1(current$)'!AO92)/0.80065</f>
        <v>319.7402110784987</v>
      </c>
      <c r="AP92" s="339">
        <f>SUM('MasterA1(current$)'!AP92)/0.81887</f>
        <v>354.1465678312797</v>
      </c>
      <c r="AQ92" s="339">
        <f>SUM('MasterA1(current$)'!AQ92)/0.83754</f>
        <v>365.35568450462068</v>
      </c>
      <c r="AR92" s="339">
        <f>SUM('MasterA1(current$)'!AR92)/0.85039</f>
        <v>382.17758910617482</v>
      </c>
      <c r="AS92" s="339">
        <f>SUM('MasterA1(current$)'!AS92)/0.86735</f>
        <v>363.17518879345135</v>
      </c>
      <c r="AT92" s="339">
        <f>SUM('MasterA1(current$)'!AT92)/0.8912</f>
        <v>364.67684021543988</v>
      </c>
      <c r="AU92" s="339">
        <f>SUM('MasterA1(current$)'!AU92)/0.91988</f>
        <v>347.87146149497761</v>
      </c>
      <c r="AV92" s="339">
        <f>SUM('MasterA1(current$)'!AV92)/0.94814</f>
        <v>337.50290041555047</v>
      </c>
      <c r="AW92" s="339">
        <f>SUM('MasterA1(current$)'!AW92)/0.97337</f>
        <v>331.83681436658208</v>
      </c>
      <c r="AX92" s="342">
        <f>SUM('MasterA1(current$)'!AX92*100)/99.246</f>
        <v>321.42353344215388</v>
      </c>
      <c r="AY92" s="417">
        <f>SUM('MasterA1(current$)'!AY92)</f>
        <v>350</v>
      </c>
      <c r="AZ92" s="293">
        <f>SUM('MasterA1(current$)'!AZ92*100)/101.221</f>
        <v>351.70567372383198</v>
      </c>
      <c r="BA92" s="293">
        <f>SUM('MasterA1(current$)'!BA92*100)/103.311</f>
        <v>371.69323692539996</v>
      </c>
      <c r="BB92" s="293">
        <f>SUM('MasterA1(current$)'!BB92*100)/105.214</f>
        <v>342.15978862128617</v>
      </c>
      <c r="BC92" s="293">
        <f>SUM('MasterA1(current$)'!BC92*100)/106.913</f>
        <v>318.95092271286001</v>
      </c>
      <c r="BD92" s="293">
        <f>SUM('MasterA1(current$)'!BD92*100)/108.828</f>
        <v>313.33847906788691</v>
      </c>
      <c r="BE92" s="293">
        <f>SUM('MasterA1(current$)'!BE92*100)/109.998</f>
        <v>330.91510754740995</v>
      </c>
      <c r="BF92" s="314">
        <f>SUM('MasterA1(current$)'!BF92*100)/111.298</f>
        <v>324.35443583891896</v>
      </c>
      <c r="BG92" s="314">
        <f>SUM('MasterA1(current$)'!BG92*100)/113.198</f>
        <v>321.5604515980848</v>
      </c>
      <c r="BH92" s="314">
        <f>SUM('MasterA1(current$)'!BH92*100)/115.198</f>
        <v>315.9777079463185</v>
      </c>
      <c r="BI92" s="385">
        <f>(BG92-BF92)/BF92</f>
        <v>-8.6139849871568058E-3</v>
      </c>
      <c r="BJ92" s="385">
        <f>(BH92-BG92)/BG92</f>
        <v>-1.7361412524523098E-2</v>
      </c>
      <c r="BK92" s="569">
        <f>BG92-BF92</f>
        <v>-2.7939842408341633</v>
      </c>
      <c r="BL92" s="569">
        <f>BH92-BG92</f>
        <v>-5.5827436517662932</v>
      </c>
    </row>
    <row r="93" spans="1:64" ht="6" customHeight="1">
      <c r="A93" s="125"/>
      <c r="B93" s="35"/>
      <c r="C93" s="36"/>
      <c r="D93" s="36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495"/>
      <c r="AN93" s="495"/>
      <c r="AO93" s="495"/>
      <c r="AP93" s="339"/>
      <c r="AQ93" s="339"/>
      <c r="AR93" s="339"/>
      <c r="AS93" s="339"/>
      <c r="AT93" s="339"/>
      <c r="AU93" s="339"/>
      <c r="AV93" s="339"/>
      <c r="AW93" s="339"/>
      <c r="AX93" s="342"/>
      <c r="AY93" s="293"/>
      <c r="AZ93" s="293"/>
      <c r="BA93" s="293"/>
      <c r="BB93" s="293"/>
      <c r="BC93" s="293"/>
      <c r="BD93" s="293"/>
      <c r="BE93" s="293"/>
      <c r="BF93" s="314"/>
      <c r="BG93" s="314"/>
      <c r="BH93" s="314"/>
      <c r="BI93" s="385"/>
      <c r="BJ93" s="385"/>
      <c r="BK93" s="571"/>
      <c r="BL93" s="571"/>
    </row>
    <row r="94" spans="1:64" ht="11.1" customHeight="1">
      <c r="A94" s="125" t="s">
        <v>12</v>
      </c>
      <c r="B94" s="54">
        <f>SUM('MasterA1(current$)'!B94)/0.1756</f>
        <v>85.421412300683372</v>
      </c>
      <c r="C94" s="55">
        <f>SUM('MasterA1(current$)'!C94)/0.178</f>
        <v>101.12359550561798</v>
      </c>
      <c r="D94" s="55">
        <f>SUM('MasterA1(current$)'!D94)/0.1798</f>
        <v>111.23470522803116</v>
      </c>
      <c r="E94" s="33">
        <f>SUM('MasterA1(current$)'!E94)/0.182</f>
        <v>115.38461538461539</v>
      </c>
      <c r="F94" s="33">
        <f>SUM('MasterA1(current$)'!F94)/0.1842</f>
        <v>119.43539630836048</v>
      </c>
      <c r="G94" s="33">
        <f>SUM('MasterA1(current$)'!G94)/0.18702</f>
        <v>133.67554272270345</v>
      </c>
      <c r="H94" s="33">
        <f>SUM('MasterA1(current$)'!H94)/0.19227</f>
        <v>145.62854319446612</v>
      </c>
      <c r="I94" s="33">
        <f>SUM('MasterA1(current$)'!I94)/0.19786</f>
        <v>151.62235924390984</v>
      </c>
      <c r="J94" s="33">
        <f>SUM('MasterA1(current$)'!J94)/0.20627</f>
        <v>155.1364716148737</v>
      </c>
      <c r="K94" s="33">
        <f>SUM('MasterA1(current$)'!K94)/0.21642</f>
        <v>157.10193142962757</v>
      </c>
      <c r="L94" s="33">
        <f>SUM('MasterA1(current$)'!L94)/0.22784</f>
        <v>166.78370786516854</v>
      </c>
      <c r="M94" s="33">
        <f>SUM('MasterA1(current$)'!M94)/0.23941</f>
        <v>171.25433357002632</v>
      </c>
      <c r="N94" s="33">
        <f>SUM('MasterA1(current$)'!N94)/0.24978</f>
        <v>188.16558571542959</v>
      </c>
      <c r="O94" s="33">
        <f>SUM('MasterA1(current$)'!O94)/0.26337</f>
        <v>182.25310399817747</v>
      </c>
      <c r="P94" s="33">
        <f>SUM('MasterA1(current$)'!P94)/0.28703</f>
        <v>191.61760094763613</v>
      </c>
      <c r="Q94" s="33">
        <f>SUM('MasterA1(current$)'!Q94)/0.31361</f>
        <v>194.50910366378622</v>
      </c>
      <c r="R94" s="33">
        <f>SUM('MasterA1(current$)'!R94)/0.33083</f>
        <v>205.5436326814376</v>
      </c>
      <c r="S94" s="33">
        <f>SUM('MasterA1(current$)'!S94)/0.35135</f>
        <v>230.53934822826241</v>
      </c>
      <c r="T94" s="33">
        <f>SUM('MasterA1(current$)'!T94)/0.37602</f>
        <v>242.00840380830806</v>
      </c>
      <c r="U94" s="33">
        <f>SUM('MasterA1(current$)'!U94)/0.40706</f>
        <v>238.29410897656368</v>
      </c>
      <c r="V94" s="33">
        <f>SUM('MasterA1(current$)'!V94)/0.44377</f>
        <v>245.62273249656354</v>
      </c>
      <c r="W94" s="33">
        <f>SUM('MasterA1(current$)'!W94)/0.4852</f>
        <v>237.0156636438582</v>
      </c>
      <c r="X94" s="33">
        <f>SUM('MasterA1(current$)'!X94)/0.5153</f>
        <v>232.87405394915584</v>
      </c>
      <c r="Y94" s="33">
        <f>SUM('MasterA1(current$)'!Y94)/0.53565</f>
        <v>229.62755530663682</v>
      </c>
      <c r="Z94" s="33">
        <f>SUM('MasterA1(current$)'!Z94)/0.55466</f>
        <v>234.37781704107019</v>
      </c>
      <c r="AA94" s="33">
        <f>SUM('MasterA1(current$)'!AA94)/0.5724</f>
        <v>234.10202655485674</v>
      </c>
      <c r="AB94" s="33">
        <f>SUM('MasterA1(current$)'!AB94)/0.58395</f>
        <v>226.04675057796047</v>
      </c>
      <c r="AC94" s="33">
        <f>SUM('MasterA1(current$)'!AC94)/0.59885</f>
        <v>212.07314018535527</v>
      </c>
      <c r="AD94" s="33">
        <f>SUM('MasterA1(current$)'!AD94)/0.61982</f>
        <v>212.9650543706237</v>
      </c>
      <c r="AE94" s="33">
        <f>SUM('MasterA1(current$)'!AE94)/0.64392</f>
        <v>211.20636103863833</v>
      </c>
      <c r="AF94" s="33">
        <f>SUM('MasterA1(current$)'!AF94)/0.66773</f>
        <v>212.660806014407</v>
      </c>
      <c r="AG94" s="33">
        <f>SUM('MasterA1(current$)'!AG94)/0.68996</f>
        <v>207.25839179082845</v>
      </c>
      <c r="AH94" s="33">
        <f>SUM('MasterA1(current$)'!AH94)/0.70569</f>
        <v>219.64318610154598</v>
      </c>
      <c r="AI94" s="33">
        <f>SUM('MasterA1(current$)'!AI94)/0.72248</f>
        <v>236.68475251910087</v>
      </c>
      <c r="AJ94" s="33">
        <f>SUM('MasterA1(current$)'!AJ94)/0.73785</f>
        <v>234.46499966117776</v>
      </c>
      <c r="AK94" s="33">
        <f>SUM('MasterA1(current$)'!AK94)/0.75324</f>
        <v>231.00207105305083</v>
      </c>
      <c r="AL94" s="33">
        <f>SUM('MasterA1(current$)'!AL94)/0.76699</f>
        <v>216.43046193561847</v>
      </c>
      <c r="AM94" s="33">
        <f>SUM('MasterA1(current$)'!AM94)/0.78012</f>
        <v>224.32446290314309</v>
      </c>
      <c r="AN94" s="33">
        <f>SUM('MasterA1(current$)'!AN94)/0.78859</f>
        <v>224.4512357498827</v>
      </c>
      <c r="AO94" s="33">
        <f>SUM('MasterA1(current$)'!AO94)/0.80065</f>
        <v>227.3153063136202</v>
      </c>
      <c r="AP94" s="339">
        <f>SUM('MasterA1(current$)'!AP94)/0.81887</f>
        <v>241.79662217445994</v>
      </c>
      <c r="AQ94" s="339">
        <f>SUM('MasterA1(current$)'!AQ94)/0.83754</f>
        <v>278.19566826659025</v>
      </c>
      <c r="AR94" s="339">
        <f>SUM('MasterA1(current$)'!AR94)/0.85039</f>
        <v>270.4641399828314</v>
      </c>
      <c r="AS94" s="339">
        <f>SUM('MasterA1(current$)'!AS94)/0.86735</f>
        <v>266.32847178186432</v>
      </c>
      <c r="AT94" s="339">
        <f>SUM('MasterA1(current$)'!AT94)/0.8912</f>
        <v>272.66606822262116</v>
      </c>
      <c r="AU94" s="339">
        <f>SUM('MasterA1(current$)'!AU94)/0.91988</f>
        <v>266.33908770709223</v>
      </c>
      <c r="AV94" s="339">
        <f>SUM('MasterA1(current$)'!AV94)/0.94814</f>
        <v>262.61944438585022</v>
      </c>
      <c r="AW94" s="339">
        <f>SUM('MasterA1(current$)'!AW94)/0.97337</f>
        <v>259.92171527784916</v>
      </c>
      <c r="AX94" s="342">
        <f>SUM('MasterA1(current$)'!AX94*100)/99.246</f>
        <v>251.89932087943092</v>
      </c>
      <c r="AY94" s="417">
        <f>SUM('MasterA1(current$)'!AY94)</f>
        <v>256</v>
      </c>
      <c r="AZ94" s="293">
        <f>SUM('MasterA1(current$)'!AZ94*100)/101.221</f>
        <v>268.71894172157948</v>
      </c>
      <c r="BA94" s="293">
        <f>SUM('MasterA1(current$)'!BA94*100)/103.311</f>
        <v>282.64173224535625</v>
      </c>
      <c r="BB94" s="293">
        <f>SUM('MasterA1(current$)'!BB94*100)/105.214</f>
        <v>263.27294846693405</v>
      </c>
      <c r="BC94" s="293">
        <f>SUM('MasterA1(current$)'!BC94*100)/106.913</f>
        <v>248.80042651501688</v>
      </c>
      <c r="BD94" s="293">
        <f>SUM('MasterA1(current$)'!BD94*100)/108.828</f>
        <v>242.58462895578344</v>
      </c>
      <c r="BE94" s="293">
        <f>SUM('MasterA1(current$)'!BE94*100)/109.998</f>
        <v>246.36811578392334</v>
      </c>
      <c r="BF94" s="314">
        <f>SUM('MasterA1(current$)'!BF94*100)/111.298</f>
        <v>243.49044906467321</v>
      </c>
      <c r="BG94" s="314">
        <f>SUM('MasterA1(current$)'!BG94*100)/113.198</f>
        <v>242.05374653262427</v>
      </c>
      <c r="BH94" s="314">
        <f>SUM('MasterA1(current$)'!BH94*100)/115.198</f>
        <v>223.96222156634664</v>
      </c>
      <c r="BI94" s="385">
        <f>(BG94-BF94)/BF94</f>
        <v>-5.9004471738739106E-3</v>
      </c>
      <c r="BJ94" s="385">
        <f>(BH94-BG94)/BG94</f>
        <v>-7.4741767997543618E-2</v>
      </c>
      <c r="BK94" s="569">
        <f>BG94-BF94</f>
        <v>-1.4367025320489404</v>
      </c>
      <c r="BL94" s="569">
        <f>BH94-BG94</f>
        <v>-18.091524966277632</v>
      </c>
    </row>
    <row r="95" spans="1:64" ht="6" customHeight="1">
      <c r="A95" s="125"/>
      <c r="B95" s="35"/>
      <c r="C95" s="36"/>
      <c r="D95" s="36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495"/>
      <c r="AN95" s="495"/>
      <c r="AO95" s="495"/>
      <c r="AP95" s="339"/>
      <c r="AQ95" s="339"/>
      <c r="AR95" s="339"/>
      <c r="AS95" s="339"/>
      <c r="AT95" s="339"/>
      <c r="AU95" s="339"/>
      <c r="AV95" s="332"/>
      <c r="AW95" s="332"/>
      <c r="AX95" s="170"/>
      <c r="AY95" s="293"/>
      <c r="AZ95" s="293"/>
      <c r="BA95" s="293"/>
      <c r="BB95" s="293"/>
      <c r="BC95" s="293"/>
      <c r="BD95" s="293"/>
      <c r="BE95" s="293"/>
      <c r="BF95" s="314"/>
      <c r="BG95" s="314"/>
      <c r="BH95" s="314"/>
      <c r="BI95" s="329"/>
      <c r="BJ95" s="329"/>
      <c r="BK95" s="570"/>
      <c r="BL95" s="570"/>
    </row>
    <row r="96" spans="1:64" ht="11.1" customHeight="1">
      <c r="A96" s="125" t="s">
        <v>63</v>
      </c>
      <c r="B96" s="120" t="s">
        <v>3</v>
      </c>
      <c r="C96" s="120" t="s">
        <v>3</v>
      </c>
      <c r="D96" s="120" t="s">
        <v>3</v>
      </c>
      <c r="E96" s="349" t="s">
        <v>3</v>
      </c>
      <c r="F96" s="349" t="s">
        <v>3</v>
      </c>
      <c r="G96" s="349" t="s">
        <v>3</v>
      </c>
      <c r="H96" s="349" t="s">
        <v>3</v>
      </c>
      <c r="I96" s="349" t="s">
        <v>3</v>
      </c>
      <c r="J96" s="349" t="s">
        <v>3</v>
      </c>
      <c r="K96" s="349" t="s">
        <v>3</v>
      </c>
      <c r="L96" s="349" t="s">
        <v>3</v>
      </c>
      <c r="M96" s="349" t="s">
        <v>3</v>
      </c>
      <c r="N96" s="344">
        <f>SUM('MasterA1(current$)'!N96)/0.24978</f>
        <v>4.0035231003282892</v>
      </c>
      <c r="O96" s="344">
        <f>SUM('MasterA1(current$)'!O96)/0.26337</f>
        <v>15.187758666514789</v>
      </c>
      <c r="P96" s="344">
        <f>SUM('MasterA1(current$)'!P96)/0.28703</f>
        <v>17.419781904330556</v>
      </c>
      <c r="Q96" s="344">
        <f>SUM('MasterA1(current$)'!Q96)/0.31361</f>
        <v>15.943369152769364</v>
      </c>
      <c r="R96" s="344">
        <f>SUM('MasterA1(current$)'!R96)/0.33083</f>
        <v>18.136202883656257</v>
      </c>
      <c r="S96" s="344">
        <f>SUM('MasterA1(current$)'!S96)/0.35135</f>
        <v>19.92315355059058</v>
      </c>
      <c r="T96" s="344">
        <f>SUM('MasterA1(current$)'!T96)/0.37602</f>
        <v>18.616031062177544</v>
      </c>
      <c r="U96" s="33">
        <f>SUM('MasterA1(current$)'!U96)/0.40706</f>
        <v>17.196482091092225</v>
      </c>
      <c r="V96" s="344">
        <f>SUM('MasterA1(current$)'!V96)/0.44377</f>
        <v>18.02735651350925</v>
      </c>
      <c r="W96" s="344">
        <f>SUM('MasterA1(current$)'!W96)/0.4852</f>
        <v>16.488046166529266</v>
      </c>
      <c r="X96" s="344">
        <f>SUM('MasterA1(current$)'!X96)/0.5153</f>
        <v>13.584319813700757</v>
      </c>
      <c r="Y96" s="344">
        <f>SUM('MasterA1(current$)'!Y96)/0.53565</f>
        <v>11.201344161299357</v>
      </c>
      <c r="Z96" s="344">
        <f>SUM('MasterA1(current$)'!Z96)/0.55466</f>
        <v>10.817437709587855</v>
      </c>
      <c r="AA96" s="344">
        <f>SUM('MasterA1(current$)'!AA96)/0.5724</f>
        <v>10.482180293501047</v>
      </c>
      <c r="AB96" s="344">
        <f>SUM('MasterA1(current$)'!AB96)/0.58395</f>
        <v>8.5623769158318357</v>
      </c>
      <c r="AC96" s="344">
        <f>SUM('MasterA1(current$)'!AC96)/0.59885</f>
        <v>8.3493362277698928</v>
      </c>
      <c r="AD96" s="344">
        <f>SUM('MasterA1(current$)'!AD96)/0.61982</f>
        <v>8.0668581200993827</v>
      </c>
      <c r="AE96" s="344">
        <f>SUM('MasterA1(current$)'!AE96)/0.64392</f>
        <v>9.3179276928811028</v>
      </c>
      <c r="AF96" s="344">
        <f>SUM('MasterA1(current$)'!AF96)/0.66773</f>
        <v>8.9856678597636765</v>
      </c>
      <c r="AG96" s="344">
        <f>SUM('MasterA1(current$)'!AG96)/0.68996</f>
        <v>8.6961562989158789</v>
      </c>
      <c r="AH96" s="344">
        <f>SUM('MasterA1(current$)'!AH96)/0.70569</f>
        <v>9.9193696949085286</v>
      </c>
      <c r="AI96" s="344">
        <f>SUM('MasterA1(current$)'!AI96)/0.72248</f>
        <v>9.6888495183257675</v>
      </c>
      <c r="AJ96" s="344">
        <f>SUM('MasterA1(current$)'!AJ96)/0.73785</f>
        <v>10.842312123060243</v>
      </c>
      <c r="AK96" s="344">
        <f>SUM('MasterA1(current$)'!AK96)/0.75324</f>
        <v>9.2931867665020444</v>
      </c>
      <c r="AL96" s="344">
        <f>SUM('MasterA1(current$)'!AL96)/0.76699</f>
        <v>9.1265857442730685</v>
      </c>
      <c r="AM96" s="344">
        <f>SUM('MasterA1(current$)'!AM96)/0.78012</f>
        <v>10.254832589857971</v>
      </c>
      <c r="AN96" s="344">
        <f>SUM('MasterA1(current$)'!AN96)/0.78859</f>
        <v>10.144688621463624</v>
      </c>
      <c r="AO96" s="344">
        <f>SUM('MasterA1(current$)'!AO96)/0.80065</f>
        <v>9.9918815962030845</v>
      </c>
      <c r="AP96" s="332">
        <f>SUM('MasterA1(current$)'!AP96)/0.81887</f>
        <v>9.7695604918973711</v>
      </c>
      <c r="AQ96" s="332">
        <f>SUM('MasterA1(current$)'!AQ96)/0.83754</f>
        <v>10.745755426606491</v>
      </c>
      <c r="AR96" s="332">
        <f>SUM('MasterA1(current$)'!AR96)/0.85039</f>
        <v>10.583379390632533</v>
      </c>
      <c r="AS96" s="332">
        <f>SUM('MasterA1(current$)'!AS96)/0.86735</f>
        <v>10.37643396552718</v>
      </c>
      <c r="AT96" s="332">
        <f>SUM('MasterA1(current$)'!AT96)/0.8912</f>
        <v>11.220825852782765</v>
      </c>
      <c r="AU96" s="332">
        <f>SUM('MasterA1(current$)'!AU96)/0.91988</f>
        <v>10.87098317171805</v>
      </c>
      <c r="AV96" s="192">
        <f>SUM('MasterA1(current$)'!AV96)/0.94814</f>
        <v>10.546965637985952</v>
      </c>
      <c r="AW96" s="192">
        <f>SUM('MasterA1(current$)'!AW96)/0.97337</f>
        <v>10.273585584104708</v>
      </c>
      <c r="AX96" s="170">
        <f>SUM('MasterA1(current$)'!AX96*100)/99.246</f>
        <v>11.083570118694961</v>
      </c>
      <c r="AY96" s="417">
        <f>SUM('MasterA1(current$)'!AY96)</f>
        <v>10</v>
      </c>
      <c r="AZ96" s="293">
        <f>SUM('MasterA1(current$)'!AZ96*100)/101.221</f>
        <v>11.855247428893213</v>
      </c>
      <c r="BA96" s="293">
        <f>SUM('MasterA1(current$)'!BA96*100)/103.311</f>
        <v>10.647462516092187</v>
      </c>
      <c r="BB96" s="293">
        <f>SUM('MasterA1(current$)'!BB96*100)/105.214</f>
        <v>10.454882430094855</v>
      </c>
      <c r="BC96" s="293">
        <f>SUM('MasterA1(current$)'!BC96*100)/106.913</f>
        <v>10.288739442350323</v>
      </c>
      <c r="BD96" s="293">
        <f>SUM('MasterA1(current$)'!BD96*100)/108.828</f>
        <v>10.107692873157642</v>
      </c>
      <c r="BE96" s="293">
        <f>SUM('MasterA1(current$)'!BE96*100)/109.998</f>
        <v>10.909289259804723</v>
      </c>
      <c r="BF96" s="314">
        <f>SUM('MasterA1(current$)'!BF96*100)/111.298</f>
        <v>9.8833761612966988</v>
      </c>
      <c r="BG96" s="314">
        <f>SUM('MasterA1(current$)'!BG96*100)/113.198</f>
        <v>10.600894008728069</v>
      </c>
      <c r="BH96" s="314">
        <f>SUM('MasterA1(current$)'!BH96*100)/115.198</f>
        <v>10.416847514713798</v>
      </c>
      <c r="BI96" s="385">
        <f>(BG96-BF96)/BF96</f>
        <v>7.259845580310606E-2</v>
      </c>
      <c r="BJ96" s="385">
        <f>(BH96-BG96)/BG96</f>
        <v>-1.7361412524522935E-2</v>
      </c>
      <c r="BK96" s="569">
        <f>BG96-BF96</f>
        <v>0.71751784743137037</v>
      </c>
      <c r="BL96" s="569">
        <f>BH96-BG96</f>
        <v>-0.18404649401427164</v>
      </c>
    </row>
    <row r="97" spans="1:88" ht="11.25" customHeight="1" thickBot="1">
      <c r="A97" s="128" t="s">
        <v>82</v>
      </c>
      <c r="B97" s="145" t="e">
        <f>SUM(#REF!)/0.1756</f>
        <v>#REF!</v>
      </c>
      <c r="C97" s="145">
        <f>SUM('MasterA1(current$)'!C98)/0.178</f>
        <v>224.71910112359552</v>
      </c>
      <c r="D97" s="146">
        <f>SUM('MasterA1(current$)'!D98)/0.1798</f>
        <v>266.96329254727476</v>
      </c>
      <c r="E97" s="485">
        <f>SUM('MasterA1(current$)'!E98)/0.182</f>
        <v>329.67032967032969</v>
      </c>
      <c r="F97" s="485">
        <f>SUM('MasterA1(current$)'!F98)/0.1842</f>
        <v>342.01954397394138</v>
      </c>
      <c r="G97" s="485">
        <f>SUM('MasterA1(current$)'!G98)/0.18702</f>
        <v>352.90343278793711</v>
      </c>
      <c r="H97" s="485">
        <f>SUM('MasterA1(current$)'!H98)/0.19227</f>
        <v>384.87543558537476</v>
      </c>
      <c r="I97" s="485">
        <f>SUM('MasterA1(current$)'!I98)/0.19786</f>
        <v>404.32629131709285</v>
      </c>
      <c r="J97" s="485">
        <f>SUM('MasterA1(current$)'!J98)/0.20627</f>
        <v>407.23323798904346</v>
      </c>
      <c r="K97" s="485">
        <f>SUM('MasterA1(current$)'!K98)/0.21642</f>
        <v>438.96127899454763</v>
      </c>
      <c r="L97" s="485">
        <f>SUM('MasterA1(current$)'!L98)/0.22784</f>
        <v>504.74016853932585</v>
      </c>
      <c r="M97" s="485">
        <f>SUM('MasterA1(current$)'!M98)/0.23941</f>
        <v>605.65556994277597</v>
      </c>
      <c r="N97" s="485">
        <f>SUM('MasterA1(current$)'!N98)/0.24978</f>
        <v>788.69405076467285</v>
      </c>
      <c r="O97" s="485">
        <f>SUM('MasterA1(current$)'!O98)/0.26337</f>
        <v>907.46858032425871</v>
      </c>
      <c r="P97" s="485">
        <f>SUM('MasterA1(current$)'!P98)/0.28703</f>
        <v>1024.2831759746368</v>
      </c>
      <c r="Q97" s="485">
        <f>SUM('MasterA1(current$)'!Q98)/0.31361</f>
        <v>1141.5452313382864</v>
      </c>
      <c r="R97" s="485">
        <f>SUM('MasterA1(current$)'!R98)/0.33083</f>
        <v>1266.5115013753286</v>
      </c>
      <c r="S97" s="485">
        <f>SUM('MasterA1(current$)'!S98)/0.35135</f>
        <v>1423.0823964707556</v>
      </c>
      <c r="T97" s="485">
        <f>SUM('MasterA1(current$)'!T98)/0.37602</f>
        <v>1457.3692888676132</v>
      </c>
      <c r="U97" s="485">
        <f>SUM('MasterA1(current$)'!U98)/0.40706</f>
        <v>1584.5329926792119</v>
      </c>
      <c r="V97" s="485">
        <f>SUM('MasterA1(current$)'!V98)/0.44377</f>
        <v>1685.5578340131149</v>
      </c>
      <c r="W97" s="485">
        <f>SUM('MasterA1(current$)'!W98)/0.4852</f>
        <v>1632.3165704863973</v>
      </c>
      <c r="X97" s="485">
        <f>SUM('MasterA1(current$)'!X98)/0.5153</f>
        <v>1492.3345623908403</v>
      </c>
      <c r="Y97" s="485">
        <f>SUM('MasterA1(current$)'!Y98)/0.53565</f>
        <v>1487.9118827592645</v>
      </c>
      <c r="Z97" s="485">
        <f>SUM('MasterA1(current$)'!Z98)/0.55466</f>
        <v>1485.5947787833986</v>
      </c>
      <c r="AA97" s="485">
        <f>SUM('MasterA1(current$)'!AA98)/0.5724</f>
        <v>1464.011180992313</v>
      </c>
      <c r="AB97" s="485">
        <f>SUM('MasterA1(current$)'!AB98)/0.58395</f>
        <v>1435.0543710934155</v>
      </c>
      <c r="AC97" s="485">
        <f>SUM('MasterA1(current$)'!AC98)/0.59885</f>
        <v>1406.0282207564499</v>
      </c>
      <c r="AD97" s="485">
        <f>SUM('MasterA1(current$)'!AD98)/0.61982</f>
        <v>1463.328062986028</v>
      </c>
      <c r="AE97" s="485">
        <f>SUM('MasterA1(current$)'!AE98)/0.64392</f>
        <v>1479.9975152192817</v>
      </c>
      <c r="AF97" s="485">
        <f>SUM('MasterA1(current$)'!AF98)/0.66773</f>
        <v>1515.5826456801401</v>
      </c>
      <c r="AG97" s="485">
        <f>SUM('MasterA1(current$)'!AG98)/0.68996</f>
        <v>1463.852976984173</v>
      </c>
      <c r="AH97" s="485">
        <f>SUM('MasterA1(current$)'!AH98)/0.70569</f>
        <v>1584.2650455582479</v>
      </c>
      <c r="AI97" s="485">
        <f>SUM('MasterA1(current$)'!AI98)/0.72248</f>
        <v>1526.6858598161887</v>
      </c>
      <c r="AJ97" s="485">
        <f>SUM('MasterA1(current$)'!AJ98)/0.73785</f>
        <v>1573.4905468591178</v>
      </c>
      <c r="AK97" s="485">
        <f>SUM('MasterA1(current$)'!AK98)/0.75324</f>
        <v>1549.3069937868408</v>
      </c>
      <c r="AL97" s="485">
        <f>SUM('MasterA1(current$)'!AL98)/0.76699</f>
        <v>1445.9119414855475</v>
      </c>
      <c r="AM97" s="485">
        <f>SUM('MasterA1(current$)'!AM98)/0.78012</f>
        <v>1540.7885966261599</v>
      </c>
      <c r="AN97" s="485">
        <f>SUM('MasterA1(current$)'!AN98)/0.78859</f>
        <v>1593.984199647472</v>
      </c>
      <c r="AO97" s="485">
        <f>SUM('MasterA1(current$)'!AO98)/0.80065</f>
        <v>1642.4155373758822</v>
      </c>
      <c r="AP97" s="147">
        <f>SUM('MasterA1(current$)'!AP98)/0.81887</f>
        <v>1743.8665478036808</v>
      </c>
      <c r="AQ97" s="147">
        <f>SUM('MasterA1(current$)'!AQ98)/0.83754</f>
        <v>1917.5203572366695</v>
      </c>
      <c r="AR97" s="147">
        <f>SUM('MasterA1(current$)'!AR98)/0.85039</f>
        <v>1919.1194628346993</v>
      </c>
      <c r="AS97" s="147">
        <f>SUM('MasterA1(current$)'!AS98)/0.86735</f>
        <v>1935.7814031244598</v>
      </c>
      <c r="AT97" s="147">
        <f>SUM('MasterA1(current$)'!AT98)/0.8912</f>
        <v>1927.737881508079</v>
      </c>
      <c r="AU97" s="147">
        <f>SUM('MasterA1(current$)'!AU98)/0.91988</f>
        <v>1855.676827412271</v>
      </c>
      <c r="AV97" s="147">
        <f>SUM('MasterA1(current$)'!AV98)/0.94814</f>
        <v>1858.3753454131247</v>
      </c>
      <c r="AW97" s="147">
        <f>SUM('MasterA1(current$)'!AW98)/0.97337</f>
        <v>1827.9259598834503</v>
      </c>
      <c r="AX97" s="671">
        <f>('MasterA1(current$)'!AX98*100)/99.246</f>
        <v>1873.8558937185742</v>
      </c>
      <c r="AY97" s="399">
        <f>('MasterA1(current$)'!AY98)</f>
        <v>1942</v>
      </c>
      <c r="AZ97" s="438">
        <f>SUM('MasterA1(current$)'!AZ98*100)/101.221</f>
        <v>2057.8733661987135</v>
      </c>
      <c r="BA97" s="438">
        <f>SUM('MasterA1(current$)'!BA98*100)/103.311</f>
        <v>2030.7614871601281</v>
      </c>
      <c r="BB97" s="438">
        <f>SUM('MasterA1(current$)'!BB98*100)/105.214</f>
        <v>1990.2294371471478</v>
      </c>
      <c r="BC97" s="438">
        <f>SUM('MasterA1(current$)'!BC98*100)/106.913</f>
        <v>1988.532732221526</v>
      </c>
      <c r="BD97" s="438">
        <f>SUM('MasterA1(current$)'!BD98*100)/108.828</f>
        <v>1925.0560517513875</v>
      </c>
      <c r="BE97" s="438">
        <f>SUM('MasterA1(current$)'!BE98*100)/109.998</f>
        <v>1983.6724304078255</v>
      </c>
      <c r="BF97" s="653">
        <f>SUM('MasterA1(current$)'!BF98*100)/111.298</f>
        <v>1906.5931103883267</v>
      </c>
      <c r="BG97" s="653">
        <f>SUM('MasterA1(current$)'!BG98*100)/113.198</f>
        <v>1857.8066750295943</v>
      </c>
      <c r="BH97" s="653">
        <f>SUM('MasterA1(current$)'!BH98*100)/115.198</f>
        <v>1819.4760325700099</v>
      </c>
      <c r="BI97" s="422">
        <f>(BG97-BF97)/BF97</f>
        <v>-2.5588278428634318E-2</v>
      </c>
      <c r="BJ97" s="422">
        <f>(BH97-BG97)/BG97</f>
        <v>-2.0632201926486134E-2</v>
      </c>
      <c r="BK97" s="574">
        <f>BG97-BF97</f>
        <v>-48.786435358732433</v>
      </c>
      <c r="BL97" s="574">
        <f>BH97-BG97</f>
        <v>-38.330642459584396</v>
      </c>
    </row>
    <row r="98" spans="1:88" ht="11.1" customHeight="1">
      <c r="B98" s="35"/>
      <c r="C98" s="36"/>
      <c r="D98" s="36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495"/>
      <c r="AN98" s="495"/>
      <c r="AO98" s="495"/>
      <c r="AP98" s="495"/>
      <c r="AQ98" s="495"/>
      <c r="AR98" s="495"/>
      <c r="AS98" s="495"/>
      <c r="AT98" s="495"/>
      <c r="AU98" s="495"/>
      <c r="AV98" s="495"/>
      <c r="AW98" s="495"/>
      <c r="AX98" s="495"/>
      <c r="AY98" s="439"/>
      <c r="AZ98" s="439"/>
      <c r="BA98" s="439"/>
      <c r="BB98" s="439"/>
      <c r="BC98" s="439"/>
      <c r="BD98" s="439"/>
      <c r="BE98" s="439"/>
      <c r="BF98" s="656"/>
      <c r="BG98" s="656"/>
      <c r="BH98" s="656"/>
      <c r="BI98" s="329"/>
      <c r="BJ98" s="329"/>
      <c r="BK98" s="575"/>
      <c r="BL98" s="575"/>
    </row>
    <row r="99" spans="1:88" ht="11.1" customHeight="1">
      <c r="A99" s="130" t="s">
        <v>115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633"/>
      <c r="BG99" s="633"/>
      <c r="BH99" s="633"/>
      <c r="BI99" s="329"/>
      <c r="BJ99" s="329"/>
      <c r="BK99" s="570"/>
      <c r="BL99" s="570"/>
    </row>
    <row r="100" spans="1:88" ht="7.95" customHeight="1">
      <c r="A100" s="125"/>
      <c r="B100" s="35"/>
      <c r="C100" s="36"/>
      <c r="D100" s="36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495"/>
      <c r="AN100" s="495"/>
      <c r="AO100" s="495"/>
      <c r="AP100" s="339"/>
      <c r="AQ100" s="339"/>
      <c r="AR100" s="339"/>
      <c r="AS100" s="339"/>
      <c r="AT100" s="339"/>
      <c r="AU100" s="339"/>
      <c r="AV100" s="339"/>
      <c r="AW100" s="339"/>
      <c r="AX100" s="342"/>
      <c r="AY100" s="293"/>
      <c r="AZ100" s="293"/>
      <c r="BA100" s="293"/>
      <c r="BB100" s="293"/>
      <c r="BC100" s="293"/>
      <c r="BD100" s="293"/>
      <c r="BE100" s="293"/>
      <c r="BF100" s="314"/>
      <c r="BG100" s="314"/>
      <c r="BH100" s="314"/>
      <c r="BI100" s="329"/>
      <c r="BJ100" s="329"/>
      <c r="BK100" s="570"/>
      <c r="BL100" s="570"/>
    </row>
    <row r="101" spans="1:88" ht="11.1" customHeight="1">
      <c r="A101" s="125" t="s">
        <v>17</v>
      </c>
      <c r="B101" s="51" t="s">
        <v>3</v>
      </c>
      <c r="C101" s="51" t="s">
        <v>3</v>
      </c>
      <c r="D101" s="51" t="s">
        <v>3</v>
      </c>
      <c r="E101" s="224" t="s">
        <v>3</v>
      </c>
      <c r="F101" s="224" t="s">
        <v>3</v>
      </c>
      <c r="G101" s="224" t="s">
        <v>3</v>
      </c>
      <c r="H101" s="224" t="s">
        <v>3</v>
      </c>
      <c r="I101" s="224" t="s">
        <v>3</v>
      </c>
      <c r="J101" s="224" t="s">
        <v>3</v>
      </c>
      <c r="K101" s="224" t="s">
        <v>3</v>
      </c>
      <c r="L101" s="224" t="s">
        <v>3</v>
      </c>
      <c r="M101" s="53">
        <f>SUM('MasterA1(current$)'!M102)/0.23941</f>
        <v>4.1769349651225927</v>
      </c>
      <c r="N101" s="53">
        <f>SUM('MasterA1(current$)'!N102)/0.24978</f>
        <v>8.0070462006565783</v>
      </c>
      <c r="O101" s="53">
        <f>SUM('MasterA1(current$)'!O102)/0.26337</f>
        <v>11.390818999886092</v>
      </c>
      <c r="P101" s="53">
        <f>SUM('MasterA1(current$)'!P102)/0.28703</f>
        <v>10.451869142598335</v>
      </c>
      <c r="Q101" s="53">
        <f>SUM('MasterA1(current$)'!Q102)/0.31361</f>
        <v>6.3773476611077449</v>
      </c>
      <c r="R101" s="53">
        <f>SUM('MasterA1(current$)'!R102)/0.33083</f>
        <v>9.0681014418281283</v>
      </c>
      <c r="S101" s="53">
        <f>SUM('MasterA1(current$)'!S102)/0.35135</f>
        <v>8.5384943788245344</v>
      </c>
      <c r="T101" s="53">
        <f>SUM('MasterA1(current$)'!T102)/0.37602</f>
        <v>7.9782990266475187</v>
      </c>
      <c r="U101" s="53">
        <f>SUM('MasterA1(current$)'!U102)/0.40706</f>
        <v>7.3699208961823812</v>
      </c>
      <c r="V101" s="53">
        <f>SUM('MasterA1(current$)'!V102)/0.44377</f>
        <v>6.7602586925659685</v>
      </c>
      <c r="W101" s="53">
        <f>SUM('MasterA1(current$)'!W102)/0.4852</f>
        <v>6.1830173124484746</v>
      </c>
      <c r="X101" s="53">
        <f>SUM('MasterA1(current$)'!X102)/0.5153</f>
        <v>7.7624684649718612</v>
      </c>
      <c r="Y101" s="53">
        <f>SUM('MasterA1(current$)'!Y102)/0.53565</f>
        <v>3.7337813870997856</v>
      </c>
      <c r="Z101" s="53">
        <f>SUM('MasterA1(current$)'!Z102)/0.55466</f>
        <v>5.4087188547939276</v>
      </c>
      <c r="AA101" s="53">
        <f>SUM('MasterA1(current$)'!AA102)/0.5724</f>
        <v>3.4940600978336827</v>
      </c>
      <c r="AB101" s="53">
        <f>SUM('MasterA1(current$)'!AB102)/0.58395</f>
        <v>1.712475383166367</v>
      </c>
      <c r="AC101" s="53">
        <f>SUM('MasterA1(current$)'!AC102)/0.59885</f>
        <v>1.6698672455539785</v>
      </c>
      <c r="AD101" s="53">
        <f>SUM('MasterA1(current$)'!AD102)/0.61982</f>
        <v>1.6133716240198765</v>
      </c>
      <c r="AE101" s="53">
        <f>SUM('MasterA1(current$)'!AE102)/0.64392</f>
        <v>1.552987948813517</v>
      </c>
      <c r="AF101" s="53">
        <f>SUM('MasterA1(current$)'!AF102)/0.66773</f>
        <v>1.4976113099606128</v>
      </c>
      <c r="AG101" s="53">
        <f>SUM('MasterA1(current$)'!AG102)/0.68996</f>
        <v>2.8987187663052931</v>
      </c>
      <c r="AH101" s="53">
        <f>SUM('MasterA1(current$)'!AH102)/0.70569</f>
        <v>4.2511584406750833</v>
      </c>
      <c r="AI101" s="53">
        <f>SUM('MasterA1(current$)'!AI102)/0.72248</f>
        <v>2.7682427195216475</v>
      </c>
      <c r="AJ101" s="53">
        <f>SUM('MasterA1(current$)'!AJ102)/0.73785</f>
        <v>1.3552890153825303</v>
      </c>
      <c r="AK101" s="53">
        <f>SUM('MasterA1(current$)'!AK102)/0.75324</f>
        <v>2.655196219000584</v>
      </c>
      <c r="AL101" s="53">
        <f>SUM('MasterA1(current$)'!AL102)/0.76699</f>
        <v>2.6075959269351623</v>
      </c>
      <c r="AM101" s="53">
        <f>SUM('MasterA1(current$)'!AM102)/0.78012</f>
        <v>2.5637081474644927</v>
      </c>
      <c r="AN101" s="53">
        <f>SUM('MasterA1(current$)'!AN102)/0.78859</f>
        <v>2.536172155365906</v>
      </c>
      <c r="AO101" s="53">
        <f>SUM('MasterA1(current$)'!AO102)/0.80065</f>
        <v>3.7469555985761569</v>
      </c>
      <c r="AP101" s="339">
        <f>SUM('MasterA1(current$)'!AP102)/0.81887</f>
        <v>3.6635851844615139</v>
      </c>
      <c r="AQ101" s="339">
        <f>SUM('MasterA1(current$)'!AQ102)/0.83754</f>
        <v>3.5819184755354971</v>
      </c>
      <c r="AR101" s="339">
        <f>SUM('MasterA1(current$)'!AR102)/0.85039</f>
        <v>3.5277931302108447</v>
      </c>
      <c r="AS101" s="339">
        <f>SUM('MasterA1(current$)'!AS102)/0.86735</f>
        <v>3.4588113218423935</v>
      </c>
      <c r="AT101" s="339">
        <f>SUM('MasterA1(current$)'!AT102)/0.8912</f>
        <v>3.3662477558348294</v>
      </c>
      <c r="AU101" s="339">
        <f>SUM('MasterA1(current$)'!AU102)/0.91988</f>
        <v>3.2612949515154148</v>
      </c>
      <c r="AV101" s="339">
        <f>SUM('MasterA1(current$)'!AV102)/0.94814</f>
        <v>3.1640896913957857</v>
      </c>
      <c r="AW101" s="339">
        <f>SUM('MasterA1(current$)'!AW102)/0.97337</f>
        <v>2.0547171168209419</v>
      </c>
      <c r="AX101" s="342">
        <f>('MasterA1(current$)'!AX102*100)/99.246</f>
        <v>2.0151945670354472</v>
      </c>
      <c r="AY101" s="293">
        <f>('MasterA1(current$)'!AY102)</f>
        <v>3</v>
      </c>
      <c r="AZ101" s="293">
        <f>SUM('MasterA1(current$)'!AZ102*100)/101.221</f>
        <v>2.9638118572233032</v>
      </c>
      <c r="BA101" s="293">
        <f>SUM('MasterA1(current$)'!BA102*100)/103.311</f>
        <v>2.9038534134796872</v>
      </c>
      <c r="BB101" s="293">
        <f>SUM('MasterA1(current$)'!BB102*100)/105.214</f>
        <v>2.8513315718440513</v>
      </c>
      <c r="BC101" s="293">
        <f>SUM('MasterA1(current$)'!BC102*100)/106.913</f>
        <v>2.8060198479137242</v>
      </c>
      <c r="BD101" s="293">
        <f>SUM('MasterA1(current$)'!BD102*100)/108.828</f>
        <v>2.7566435108611755</v>
      </c>
      <c r="BE101" s="293">
        <f>SUM('MasterA1(current$)'!BE102*100)/109.998</f>
        <v>2.7273223149511807</v>
      </c>
      <c r="BF101" s="314">
        <f>SUM('MasterA1(current$)'!BF102*100)/111.298</f>
        <v>2.6954662258081905</v>
      </c>
      <c r="BG101" s="314">
        <f>SUM('MasterA1(current$)'!BG102*100)/113.198</f>
        <v>2.6502235021820173</v>
      </c>
      <c r="BH101" s="314">
        <f>SUM('MasterA1(current$)'!BH102*100)/115.198</f>
        <v>2.6042118786784494</v>
      </c>
      <c r="BI101" s="385">
        <f>(BG101-BF101)/BF101</f>
        <v>-1.6784748847152753E-2</v>
      </c>
      <c r="BJ101" s="385">
        <f>(BH101-BG101)/BG101</f>
        <v>-1.7361412524522935E-2</v>
      </c>
      <c r="BK101" s="569">
        <f>BG101-BF101</f>
        <v>-4.5242723626173209E-2</v>
      </c>
      <c r="BL101" s="569">
        <f>BH101-BG101</f>
        <v>-4.6011623503567911E-2</v>
      </c>
    </row>
    <row r="102" spans="1:88" ht="6" customHeight="1">
      <c r="A102" s="125"/>
      <c r="B102" s="51"/>
      <c r="C102" s="51"/>
      <c r="D102" s="51"/>
      <c r="E102" s="224"/>
      <c r="F102" s="224"/>
      <c r="G102" s="224"/>
      <c r="H102" s="224"/>
      <c r="I102" s="224"/>
      <c r="J102" s="224"/>
      <c r="K102" s="224"/>
      <c r="L102" s="224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495"/>
      <c r="AN102" s="495"/>
      <c r="AO102" s="495"/>
      <c r="AP102" s="339"/>
      <c r="AQ102" s="339"/>
      <c r="AR102" s="339"/>
      <c r="AS102" s="339"/>
      <c r="AT102" s="339"/>
      <c r="AU102" s="339"/>
      <c r="AV102" s="339"/>
      <c r="AW102" s="339"/>
      <c r="AX102" s="342"/>
      <c r="AY102" s="293"/>
      <c r="AZ102" s="293"/>
      <c r="BA102" s="293"/>
      <c r="BB102" s="293"/>
      <c r="BC102" s="293"/>
      <c r="BD102" s="293"/>
      <c r="BE102" s="293"/>
      <c r="BF102" s="314"/>
      <c r="BG102" s="314"/>
      <c r="BH102" s="314"/>
      <c r="BI102" s="329"/>
      <c r="BJ102" s="329"/>
      <c r="BK102" s="570"/>
      <c r="BL102" s="570"/>
    </row>
    <row r="103" spans="1:88" ht="9.75" customHeight="1">
      <c r="A103" s="132" t="s">
        <v>30</v>
      </c>
      <c r="B103" s="51"/>
      <c r="C103" s="51"/>
      <c r="D103" s="51"/>
      <c r="E103" s="224"/>
      <c r="F103" s="224"/>
      <c r="G103" s="224"/>
      <c r="H103" s="224"/>
      <c r="I103" s="224"/>
      <c r="J103" s="224"/>
      <c r="K103" s="224"/>
      <c r="L103" s="224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495"/>
      <c r="AN103" s="495"/>
      <c r="AO103" s="495"/>
      <c r="AP103" s="339"/>
      <c r="AQ103" s="339"/>
      <c r="AR103" s="339"/>
      <c r="AS103" s="339"/>
      <c r="AT103" s="339"/>
      <c r="AU103" s="339"/>
      <c r="AV103" s="339"/>
      <c r="AW103" s="339"/>
      <c r="AX103" s="342"/>
      <c r="AY103" s="293"/>
      <c r="AZ103" s="293"/>
      <c r="BA103" s="293"/>
      <c r="BB103" s="293"/>
      <c r="BC103" s="293"/>
      <c r="BD103" s="293"/>
      <c r="BE103" s="293"/>
      <c r="BF103" s="314"/>
      <c r="BG103" s="314"/>
      <c r="BH103" s="314"/>
      <c r="BI103" s="385"/>
      <c r="BJ103" s="385"/>
      <c r="BK103" s="571"/>
      <c r="BL103" s="571"/>
    </row>
    <row r="104" spans="1:88" ht="9.75" customHeight="1">
      <c r="A104" s="129" t="s">
        <v>127</v>
      </c>
      <c r="B104" s="60" t="s">
        <v>3</v>
      </c>
      <c r="C104" s="60" t="s">
        <v>3</v>
      </c>
      <c r="D104" s="60" t="s">
        <v>3</v>
      </c>
      <c r="E104" s="170" t="s">
        <v>3</v>
      </c>
      <c r="F104" s="170" t="s">
        <v>3</v>
      </c>
      <c r="G104" s="170" t="s">
        <v>3</v>
      </c>
      <c r="H104" s="170" t="s">
        <v>3</v>
      </c>
      <c r="I104" s="170" t="s">
        <v>3</v>
      </c>
      <c r="J104" s="170" t="s">
        <v>3</v>
      </c>
      <c r="K104" s="170" t="s">
        <v>3</v>
      </c>
      <c r="L104" s="170" t="s">
        <v>3</v>
      </c>
      <c r="M104" s="170" t="s">
        <v>3</v>
      </c>
      <c r="N104" s="170" t="s">
        <v>3</v>
      </c>
      <c r="O104" s="170" t="s">
        <v>3</v>
      </c>
      <c r="P104" s="170" t="s">
        <v>3</v>
      </c>
      <c r="Q104" s="170" t="s">
        <v>3</v>
      </c>
      <c r="R104" s="170" t="s">
        <v>3</v>
      </c>
      <c r="S104" s="170" t="s">
        <v>3</v>
      </c>
      <c r="T104" s="170" t="s">
        <v>3</v>
      </c>
      <c r="U104" s="170" t="s">
        <v>3</v>
      </c>
      <c r="V104" s="170" t="s">
        <v>3</v>
      </c>
      <c r="W104" s="170" t="s">
        <v>3</v>
      </c>
      <c r="X104" s="170" t="s">
        <v>3</v>
      </c>
      <c r="Y104" s="170" t="s">
        <v>3</v>
      </c>
      <c r="Z104" s="170" t="s">
        <v>3</v>
      </c>
      <c r="AA104" s="170" t="s">
        <v>3</v>
      </c>
      <c r="AB104" s="170" t="s">
        <v>3</v>
      </c>
      <c r="AC104" s="170" t="s">
        <v>3</v>
      </c>
      <c r="AD104" s="170" t="s">
        <v>3</v>
      </c>
      <c r="AE104" s="170" t="s">
        <v>3</v>
      </c>
      <c r="AF104" s="170" t="s">
        <v>3</v>
      </c>
      <c r="AG104" s="170" t="s">
        <v>3</v>
      </c>
      <c r="AH104" s="170" t="s">
        <v>3</v>
      </c>
      <c r="AI104" s="170" t="s">
        <v>3</v>
      </c>
      <c r="AJ104" s="170" t="s">
        <v>3</v>
      </c>
      <c r="AK104" s="170" t="s">
        <v>3</v>
      </c>
      <c r="AL104" s="170" t="s">
        <v>3</v>
      </c>
      <c r="AM104" s="170" t="s">
        <v>3</v>
      </c>
      <c r="AN104" s="170" t="s">
        <v>3</v>
      </c>
      <c r="AO104" s="33">
        <f>SUM('MasterA1(current$)'!AO105)/0.80065</f>
        <v>242.30312870792483</v>
      </c>
      <c r="AP104" s="339">
        <f>SUM('MasterA1(current$)'!AP105)/0.81887</f>
        <v>283.31725426502373</v>
      </c>
      <c r="AQ104" s="339">
        <f>SUM('MasterA1(current$)'!AQ105)/0.83754</f>
        <v>298.49320629462477</v>
      </c>
      <c r="AR104" s="339">
        <f>SUM('MasterA1(current$)'!AR105)/0.85039</f>
        <v>325.73289902280129</v>
      </c>
      <c r="AS104" s="339">
        <f>SUM('MasterA1(current$)'!AS105)/0.86735</f>
        <v>351.64581772064338</v>
      </c>
      <c r="AT104" s="339">
        <f>SUM('MasterA1(current$)'!AT105)/0.8912</f>
        <v>365.79892280071812</v>
      </c>
      <c r="AU104" s="339">
        <f>SUM('MasterA1(current$)'!AU105)/0.91988</f>
        <v>353.30695308083659</v>
      </c>
      <c r="AV104" s="339">
        <f>SUM('MasterA1(current$)'!AV105)/0.94814</f>
        <v>359.65152825532095</v>
      </c>
      <c r="AW104" s="339">
        <f>SUM('MasterA1(current$)'!AW105)/0.97337</f>
        <v>344.16511706750777</v>
      </c>
      <c r="AX104" s="342">
        <f>('MasterA1(current$)'!AX105*100)/99.246</f>
        <v>340.56788182899061</v>
      </c>
      <c r="AY104" s="293">
        <f>('MasterA1(current$)'!AY105)</f>
        <v>340</v>
      </c>
      <c r="AZ104" s="293">
        <f>SUM('MasterA1(current$)'!AZ105*100)/101.221</f>
        <v>358.6212347240197</v>
      </c>
      <c r="BA104" s="293">
        <f>SUM('MasterA1(current$)'!BA105*100)/103.311</f>
        <v>341.68675165277654</v>
      </c>
      <c r="BB104" s="293">
        <f>SUM('MasterA1(current$)'!BB105*100)/105.214</f>
        <v>337.40756933487938</v>
      </c>
      <c r="BC104" s="293">
        <f>SUM('MasterA1(current$)'!BC105*100)/106.913</f>
        <v>319.8862626621646</v>
      </c>
      <c r="BD104" s="293">
        <f>SUM('MasterA1(current$)'!BD105*100)/108.828</f>
        <v>303.23078619472926</v>
      </c>
      <c r="BE104" s="293">
        <f>SUM('MasterA1(current$)'!BE105*100)/109.998</f>
        <v>305.46009927453224</v>
      </c>
      <c r="BF104" s="314">
        <f>SUM('MasterA1(current$)'!BF105*100)/111.298</f>
        <v>301.89221729051735</v>
      </c>
      <c r="BG104" s="314">
        <f>SUM('MasterA1(current$)'!BG105*100)/113.198</f>
        <v>324.21067510026683</v>
      </c>
      <c r="BH104" s="314">
        <f>SUM('MasterA1(current$)'!BH105*100)/115.198</f>
        <v>263.02539974652342</v>
      </c>
      <c r="BI104" s="385">
        <f>(BG104-BF104)/BF104</f>
        <v>7.3928563015163609E-2</v>
      </c>
      <c r="BJ104" s="385">
        <f>(BH104-BG104)/BG104</f>
        <v>-0.18872073023141814</v>
      </c>
      <c r="BK104" s="569">
        <f>BG104-BF104</f>
        <v>22.318457809749475</v>
      </c>
      <c r="BL104" s="569">
        <f>BH104-BG104</f>
        <v>-61.185275353743407</v>
      </c>
    </row>
    <row r="105" spans="1:88" ht="6" customHeight="1">
      <c r="A105" s="125"/>
      <c r="B105" s="35"/>
      <c r="C105" s="36"/>
      <c r="D105" s="36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495"/>
      <c r="AN105" s="495"/>
      <c r="AO105" s="495"/>
      <c r="AP105" s="339"/>
      <c r="AQ105" s="339"/>
      <c r="AR105" s="339"/>
      <c r="AS105" s="339"/>
      <c r="AT105" s="339"/>
      <c r="AU105" s="339"/>
      <c r="AV105" s="339"/>
      <c r="AW105" s="339"/>
      <c r="AX105" s="342"/>
      <c r="AY105" s="293"/>
      <c r="AZ105" s="293"/>
      <c r="BA105" s="293"/>
      <c r="BB105" s="293"/>
      <c r="BC105" s="293"/>
      <c r="BD105" s="293"/>
      <c r="BE105" s="293"/>
      <c r="BF105" s="314"/>
      <c r="BG105" s="314"/>
      <c r="BH105" s="314"/>
      <c r="BI105" s="329"/>
      <c r="BJ105" s="329"/>
      <c r="BK105" s="570"/>
      <c r="BL105" s="570"/>
    </row>
    <row r="106" spans="1:88" ht="11.1" customHeight="1">
      <c r="A106" s="126" t="s">
        <v>40</v>
      </c>
      <c r="B106" s="35"/>
      <c r="C106" s="36"/>
      <c r="D106" s="36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495"/>
      <c r="AN106" s="495"/>
      <c r="AO106" s="495"/>
      <c r="AP106" s="339"/>
      <c r="AQ106" s="339"/>
      <c r="AR106" s="339"/>
      <c r="AS106" s="339"/>
      <c r="AT106" s="339"/>
      <c r="AU106" s="339"/>
      <c r="AV106" s="339"/>
      <c r="AW106" s="339"/>
      <c r="AX106" s="342"/>
      <c r="AY106" s="293"/>
      <c r="AZ106" s="293"/>
      <c r="BA106" s="293"/>
      <c r="BB106" s="293"/>
      <c r="BC106" s="293"/>
      <c r="BD106" s="293"/>
      <c r="BE106" s="293"/>
      <c r="BF106" s="314"/>
      <c r="BG106" s="314"/>
      <c r="BH106" s="314"/>
      <c r="BI106" s="329"/>
      <c r="BJ106" s="329"/>
      <c r="BK106" s="570"/>
      <c r="BL106" s="570"/>
    </row>
    <row r="107" spans="1:88" ht="11.1" customHeight="1">
      <c r="A107" s="129" t="s">
        <v>128</v>
      </c>
      <c r="B107" s="54">
        <f>SUM('MasterA1(current$)'!B108)/0.1756</f>
        <v>5.6947608200455582</v>
      </c>
      <c r="C107" s="55">
        <f>SUM('MasterA1(current$)'!C108)/0.178</f>
        <v>5.617977528089888</v>
      </c>
      <c r="D107" s="55">
        <f>SUM('MasterA1(current$)'!D108)/0.1798</f>
        <v>5.5617352614015578</v>
      </c>
      <c r="E107" s="33">
        <f>SUM('MasterA1(current$)'!E108)/0.182</f>
        <v>5.4945054945054945</v>
      </c>
      <c r="F107" s="33">
        <f>SUM('MasterA1(current$)'!F108)/0.1842</f>
        <v>5.4288816503800215</v>
      </c>
      <c r="G107" s="33">
        <f>SUM('MasterA1(current$)'!G108)/0.18702</f>
        <v>5.3470217089081382</v>
      </c>
      <c r="H107" s="33">
        <f>SUM('MasterA1(current$)'!H108)/0.19227</f>
        <v>5.2010193998023615</v>
      </c>
      <c r="I107" s="33">
        <f>SUM('MasterA1(current$)'!I108)/0.19786</f>
        <v>5.0540786414636614</v>
      </c>
      <c r="J107" s="33">
        <f>SUM('MasterA1(current$)'!J108)/0.20627</f>
        <v>9.6960294759296062</v>
      </c>
      <c r="K107" s="33">
        <f>SUM('MasterA1(current$)'!K108)/0.21642</f>
        <v>9.2412900840957395</v>
      </c>
      <c r="L107" s="33">
        <f>SUM('MasterA1(current$)'!L108)/0.22784</f>
        <v>8.7780898876404496</v>
      </c>
      <c r="M107" s="33">
        <f>SUM('MasterA1(current$)'!M108)/0.23941</f>
        <v>37.592414686103332</v>
      </c>
      <c r="N107" s="33">
        <f>SUM('MasterA1(current$)'!N108)/0.24978</f>
        <v>40.035231003282888</v>
      </c>
      <c r="O107" s="33">
        <f>SUM('MasterA1(current$)'!O108)/0.26337</f>
        <v>53.157155332801764</v>
      </c>
      <c r="P107" s="33">
        <f>SUM('MasterA1(current$)'!P108)/0.28703</f>
        <v>45.291432951259452</v>
      </c>
      <c r="Q107" s="33">
        <f>SUM('MasterA1(current$)'!Q108)/0.31361</f>
        <v>66.962150441631323</v>
      </c>
      <c r="R107" s="33">
        <f>SUM('MasterA1(current$)'!R108)/0.33083</f>
        <v>78.590212495843787</v>
      </c>
      <c r="S107" s="33">
        <f>SUM('MasterA1(current$)'!S108)/0.35135</f>
        <v>82.538778995303829</v>
      </c>
      <c r="T107" s="33">
        <f>SUM('MasterA1(current$)'!T108)/0.37602</f>
        <v>85.101856284240199</v>
      </c>
      <c r="U107" s="33">
        <f>SUM('MasterA1(current$)'!U108)/0.40706</f>
        <v>95.808971650370964</v>
      </c>
      <c r="V107" s="33">
        <f>SUM('MasterA1(current$)'!V108)/0.44377</f>
        <v>92.39020213173491</v>
      </c>
      <c r="W107" s="33">
        <f>SUM('MasterA1(current$)'!W108)/0.4852</f>
        <v>90.684253915910958</v>
      </c>
      <c r="X107" s="33">
        <f>SUM('MasterA1(current$)'!X108)/0.5153</f>
        <v>89.2683873471764</v>
      </c>
      <c r="Y107" s="33">
        <f>SUM('MasterA1(current$)'!Y108)/0.53565</f>
        <v>85.876971903295072</v>
      </c>
      <c r="Z107" s="33">
        <f>SUM('MasterA1(current$)'!Z108)/0.55466</f>
        <v>91.948220531496773</v>
      </c>
      <c r="AA107" s="33">
        <f>SUM('MasterA1(current$)'!AA108)/0.5724</f>
        <v>94.339622641509436</v>
      </c>
      <c r="AB107" s="33">
        <f>SUM('MasterA1(current$)'!AB108)/0.58395</f>
        <v>97.611096840482929</v>
      </c>
      <c r="AC107" s="33">
        <f>SUM('MasterA1(current$)'!AC108)/0.59885</f>
        <v>93.512565751022791</v>
      </c>
      <c r="AD107" s="33">
        <f>SUM('MasterA1(current$)'!AD108)/0.61982</f>
        <v>85.508696073053457</v>
      </c>
      <c r="AE107" s="33">
        <f>SUM('MasterA1(current$)'!AE108)/0.64392</f>
        <v>91.626288979997511</v>
      </c>
      <c r="AF107" s="33">
        <f>SUM('MasterA1(current$)'!AF108)/0.66773</f>
        <v>98.842346457400438</v>
      </c>
      <c r="AG107" s="33">
        <f>SUM('MasterA1(current$)'!AG108)/0.68996</f>
        <v>107.25259435329583</v>
      </c>
      <c r="AH107" s="33">
        <f>SUM('MasterA1(current$)'!AH108)/0.70569</f>
        <v>120.4494891524607</v>
      </c>
      <c r="AI107" s="33">
        <f>SUM('MasterA1(current$)'!AI108)/0.72248</f>
        <v>121.8026796589525</v>
      </c>
      <c r="AJ107" s="33">
        <f>SUM('MasterA1(current$)'!AJ108)/0.73785</f>
        <v>126.04187843057532</v>
      </c>
      <c r="AK107" s="33">
        <f>SUM('MasterA1(current$)'!AK108)/0.75324</f>
        <v>131.4322128405289</v>
      </c>
      <c r="AL107" s="33">
        <f>SUM('MasterA1(current$)'!AL108)/0.76699</f>
        <v>130.37979634675813</v>
      </c>
      <c r="AM107" s="33">
        <f>SUM('MasterA1(current$)'!AM108)/0.78012</f>
        <v>130.74911552068912</v>
      </c>
      <c r="AN107" s="33">
        <f>SUM('MasterA1(current$)'!AN108)/0.78859</f>
        <v>131.88095207902711</v>
      </c>
      <c r="AO107" s="33">
        <f>SUM('MasterA1(current$)'!AO108)/0.80065</f>
        <v>132.39243114969088</v>
      </c>
      <c r="AP107" s="339">
        <f>SUM('MasterA1(current$)'!AP108)/0.81887</f>
        <v>135.55265182507603</v>
      </c>
      <c r="AQ107" s="339">
        <f>SUM('MasterA1(current$)'!AQ108)/0.83754</f>
        <v>152.82852162284786</v>
      </c>
      <c r="AR107" s="339">
        <f>SUM('MasterA1(current$)'!AR108)/0.85039</f>
        <v>156.39882877268079</v>
      </c>
      <c r="AS107" s="339">
        <f>SUM('MasterA1(current$)'!AS108)/0.86735</f>
        <v>162.56413212659251</v>
      </c>
      <c r="AT107" s="339">
        <f>SUM('MasterA1(current$)'!AT108)/0.8912</f>
        <v>163.82405745062837</v>
      </c>
      <c r="AU107" s="339">
        <f>SUM('MasterA1(current$)'!AU108)/0.91988</f>
        <v>157.62925598991171</v>
      </c>
      <c r="AV107" s="339">
        <f>SUM('MasterA1(current$)'!AV108)/0.94814</f>
        <v>162.42327082498366</v>
      </c>
      <c r="AW107" s="339">
        <f>SUM('MasterA1(current$)'!AW108)/0.97337</f>
        <v>166.43208646249627</v>
      </c>
      <c r="AX107" s="342">
        <f>('MasterA1(current$)'!AX108*100)/99.246</f>
        <v>181.36751103319025</v>
      </c>
      <c r="AY107" s="293">
        <f>('MasterA1(current$)'!AY108)</f>
        <v>197</v>
      </c>
      <c r="AZ107" s="293">
        <f>SUM('MasterA1(current$)'!AZ108*100)/101.221</f>
        <v>212.40651643433674</v>
      </c>
      <c r="BA107" s="293">
        <f>SUM('MasterA1(current$)'!BA108*100)/103.311</f>
        <v>200.36588553009844</v>
      </c>
      <c r="BB107" s="293">
        <f>SUM('MasterA1(current$)'!BB108*100)/105.214</f>
        <v>189.13832759898872</v>
      </c>
      <c r="BC107" s="293">
        <f>SUM('MasterA1(current$)'!BC108*100)/106.913</f>
        <v>179.58527026647835</v>
      </c>
      <c r="BD107" s="293">
        <f>SUM('MasterA1(current$)'!BD108*100)/108.828</f>
        <v>178.26294703568934</v>
      </c>
      <c r="BE107" s="293">
        <f>SUM('MasterA1(current$)'!BE108*100)/109.998</f>
        <v>191.82166948489973</v>
      </c>
      <c r="BF107" s="314">
        <f>SUM('MasterA1(current$)'!BF108*100)/111.298</f>
        <v>194.97205700012577</v>
      </c>
      <c r="BG107" s="314">
        <f>SUM('MasterA1(current$)'!BG108*100)/113.198</f>
        <v>181.09860598243787</v>
      </c>
      <c r="BH107" s="314">
        <f>SUM('MasterA1(current$)'!BH108*100)/115.198</f>
        <v>177.08640775013455</v>
      </c>
      <c r="BI107" s="385">
        <f>(BG107-BF107)/BF107</f>
        <v>-7.1156099141319262E-2</v>
      </c>
      <c r="BJ107" s="385">
        <f>(BH107-BG107)/BG107</f>
        <v>-2.2154771487818102E-2</v>
      </c>
      <c r="BK107" s="569">
        <f>BG107-BF107</f>
        <v>-13.873451017687898</v>
      </c>
      <c r="BL107" s="569">
        <f>BH107-BG107</f>
        <v>-4.0121982323033194</v>
      </c>
    </row>
    <row r="108" spans="1:88" ht="6" customHeight="1">
      <c r="A108" s="125"/>
      <c r="B108" s="35"/>
      <c r="C108" s="36"/>
      <c r="D108" s="36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3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495"/>
      <c r="AN108" s="495"/>
      <c r="AO108" s="495"/>
      <c r="AP108" s="339"/>
      <c r="AQ108" s="339"/>
      <c r="AR108" s="339"/>
      <c r="AS108" s="339"/>
      <c r="AT108" s="339"/>
      <c r="AU108" s="339"/>
      <c r="AV108" s="339"/>
      <c r="AW108" s="339"/>
      <c r="AX108" s="342"/>
      <c r="AY108" s="293"/>
      <c r="AZ108" s="293"/>
      <c r="BA108" s="293"/>
      <c r="BB108" s="293"/>
      <c r="BC108" s="293"/>
      <c r="BD108" s="293"/>
      <c r="BE108" s="293"/>
      <c r="BF108" s="314"/>
      <c r="BG108" s="314"/>
      <c r="BH108" s="314"/>
      <c r="BI108" s="329"/>
      <c r="BJ108" s="329"/>
      <c r="BK108" s="570"/>
      <c r="BL108" s="570"/>
    </row>
    <row r="109" spans="1:88" ht="11.1" customHeight="1">
      <c r="A109" s="126" t="s">
        <v>41</v>
      </c>
      <c r="B109" s="35"/>
      <c r="C109" s="36"/>
      <c r="D109" s="36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3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495"/>
      <c r="AN109" s="495"/>
      <c r="AO109" s="495"/>
      <c r="AP109" s="339"/>
      <c r="AQ109" s="339"/>
      <c r="AR109" s="339"/>
      <c r="AS109" s="339"/>
      <c r="AT109" s="339"/>
      <c r="AU109" s="339"/>
      <c r="AV109" s="339"/>
      <c r="AW109" s="339"/>
      <c r="AX109" s="342"/>
      <c r="AY109" s="293"/>
      <c r="AZ109" s="293"/>
      <c r="BA109" s="293"/>
      <c r="BB109" s="293"/>
      <c r="BC109" s="293"/>
      <c r="BD109" s="293"/>
      <c r="BE109" s="293"/>
      <c r="BF109" s="314"/>
      <c r="BG109" s="314"/>
      <c r="BH109" s="314"/>
      <c r="BI109" s="329"/>
      <c r="BJ109" s="329"/>
      <c r="BK109" s="570"/>
      <c r="BL109" s="570"/>
    </row>
    <row r="110" spans="1:88" ht="11.1" customHeight="1">
      <c r="A110" s="129" t="s">
        <v>129</v>
      </c>
      <c r="B110" s="54">
        <f>SUM('MasterA1(current$)'!B111)/0.1756</f>
        <v>17.084282460136674</v>
      </c>
      <c r="C110" s="55">
        <f>SUM('MasterA1(current$)'!C111)/0.178</f>
        <v>16.853932584269664</v>
      </c>
      <c r="D110" s="55">
        <f>SUM('MasterA1(current$)'!D111)/0.1798</f>
        <v>22.246941045606231</v>
      </c>
      <c r="E110" s="33">
        <f>SUM('MasterA1(current$)'!E111)/0.182</f>
        <v>27.472527472527474</v>
      </c>
      <c r="F110" s="33">
        <f>SUM('MasterA1(current$)'!F111)/0.1842</f>
        <v>27.144408251900106</v>
      </c>
      <c r="G110" s="33">
        <f>SUM('MasterA1(current$)'!G111)/0.18702</f>
        <v>21.388086835632553</v>
      </c>
      <c r="H110" s="33">
        <f>SUM('MasterA1(current$)'!H111)/0.19227</f>
        <v>26.005096999011808</v>
      </c>
      <c r="I110" s="33">
        <f>SUM('MasterA1(current$)'!I111)/0.19786</f>
        <v>25.270393207318303</v>
      </c>
      <c r="J110" s="33">
        <f>SUM('MasterA1(current$)'!J111)/0.20627</f>
        <v>24.240073689824015</v>
      </c>
      <c r="K110" s="33">
        <f>SUM('MasterA1(current$)'!K111)/0.21642</f>
        <v>27.72387025228722</v>
      </c>
      <c r="L110" s="33">
        <f>SUM('MasterA1(current$)'!L111)/0.22784</f>
        <v>30.723314606741575</v>
      </c>
      <c r="M110" s="33">
        <f>SUM('MasterA1(current$)'!M111)/0.23941</f>
        <v>29.23854475585815</v>
      </c>
      <c r="N110" s="33">
        <f>SUM('MasterA1(current$)'!N111)/0.24978</f>
        <v>52.045800304267757</v>
      </c>
      <c r="O110" s="33">
        <f>SUM('MasterA1(current$)'!O111)/0.26337</f>
        <v>64.547974332687858</v>
      </c>
      <c r="P110" s="33">
        <f>SUM('MasterA1(current$)'!P111)/0.28703</f>
        <v>62.711214855590008</v>
      </c>
      <c r="Q110" s="33">
        <f>SUM('MasterA1(current$)'!Q111)/0.31361</f>
        <v>73.339498102739071</v>
      </c>
      <c r="R110" s="33">
        <f>SUM('MasterA1(current$)'!R111)/0.33083</f>
        <v>108.81721730193755</v>
      </c>
      <c r="S110" s="33">
        <f>SUM('MasterA1(current$)'!S111)/0.35135</f>
        <v>96.769602960011383</v>
      </c>
      <c r="T110" s="33">
        <f>SUM('MasterA1(current$)'!T111)/0.37602</f>
        <v>151.58768150630286</v>
      </c>
      <c r="U110" s="33">
        <f>SUM('MasterA1(current$)'!U111)/0.40706</f>
        <v>157.22497911855746</v>
      </c>
      <c r="V110" s="33">
        <f>SUM('MasterA1(current$)'!V111)/0.44377</f>
        <v>159.99278905739459</v>
      </c>
      <c r="W110" s="33">
        <f>SUM('MasterA1(current$)'!W111)/0.4852</f>
        <v>160.75845012366034</v>
      </c>
      <c r="X110" s="33">
        <f>SUM('MasterA1(current$)'!X111)/0.5153</f>
        <v>164.95245488065206</v>
      </c>
      <c r="Y110" s="33">
        <f>SUM('MasterA1(current$)'!Y111)/0.53565</f>
        <v>134.41612993559229</v>
      </c>
      <c r="Z110" s="33">
        <f>SUM('MasterA1(current$)'!Z111)/0.55466</f>
        <v>137.0208776547795</v>
      </c>
      <c r="AA110" s="33">
        <f>SUM('MasterA1(current$)'!AA111)/0.5724</f>
        <v>151.9916142557652</v>
      </c>
      <c r="AB110" s="33">
        <f>SUM('MasterA1(current$)'!AB111)/0.58395</f>
        <v>186.65981676513402</v>
      </c>
      <c r="AC110" s="33">
        <f>SUM('MasterA1(current$)'!AC111)/0.59885</f>
        <v>188.69499874759956</v>
      </c>
      <c r="AD110" s="33">
        <f>SUM('MasterA1(current$)'!AD111)/0.61982</f>
        <v>209.73831112258395</v>
      </c>
      <c r="AE110" s="33">
        <f>SUM('MasterA1(current$)'!AE111)/0.64392</f>
        <v>222.07727668033294</v>
      </c>
      <c r="AF110" s="33">
        <f>SUM('MasterA1(current$)'!AF111)/0.66773</f>
        <v>227.63691911401312</v>
      </c>
      <c r="AG110" s="33">
        <f>SUM('MasterA1(current$)'!AG111)/0.68996</f>
        <v>286.97315786422399</v>
      </c>
      <c r="AH110" s="33">
        <f>SUM('MasterA1(current$)'!AH111)/0.70569</f>
        <v>314.58572460995617</v>
      </c>
      <c r="AI110" s="33">
        <f>SUM('MasterA1(current$)'!AI111)/0.72248</f>
        <v>359.87155353781418</v>
      </c>
      <c r="AJ110" s="33">
        <f>SUM('MasterA1(current$)'!AJ111)/0.73785</f>
        <v>369.99390119943075</v>
      </c>
      <c r="AK110" s="33">
        <f>SUM('MasterA1(current$)'!AK111)/0.75324</f>
        <v>244.27805214805375</v>
      </c>
      <c r="AL110" s="33">
        <f>SUM('MasterA1(current$)'!AL111)/0.76699</f>
        <v>211.21527008174814</v>
      </c>
      <c r="AM110" s="33">
        <f>SUM('MasterA1(current$)'!AM111)/0.78012</f>
        <v>223.04260882941085</v>
      </c>
      <c r="AN110" s="33">
        <f>SUM('MasterA1(current$)'!AN111)/0.78859</f>
        <v>234.59592437134631</v>
      </c>
      <c r="AO110" s="33">
        <f>SUM('MasterA1(current$)'!AO111)/0.80065</f>
        <v>277.2747142946356</v>
      </c>
      <c r="AP110" s="339">
        <f>SUM('MasterA1(current$)'!AP111)/0.81887</f>
        <v>288.20203451097245</v>
      </c>
      <c r="AQ110" s="339">
        <f>SUM('MasterA1(current$)'!AQ111)/0.83754</f>
        <v>304.46307042051723</v>
      </c>
      <c r="AR110" s="339">
        <f>SUM('MasterA1(current$)'!AR111)/0.85039</f>
        <v>322.20510589259044</v>
      </c>
      <c r="AS110" s="339">
        <f>SUM('MasterA1(current$)'!AS111)/0.86735</f>
        <v>332.04588689686977</v>
      </c>
      <c r="AT110" s="339">
        <f>SUM('MasterA1(current$)'!AT111)/0.8912</f>
        <v>331.01436265709157</v>
      </c>
      <c r="AU110" s="339">
        <f>SUM('MasterA1(current$)'!AU111)/0.91988</f>
        <v>343.52306822629038</v>
      </c>
      <c r="AV110" s="339">
        <f>SUM('MasterA1(current$)'!AV111)/0.94814</f>
        <v>363.87031451051536</v>
      </c>
      <c r="AW110" s="339">
        <f>SUM('MasterA1(current$)'!AW111)/0.97337</f>
        <v>323.56319200852641</v>
      </c>
      <c r="AX110" s="342">
        <f>('MasterA1(current$)'!AX111*100)/99.246</f>
        <v>414.12248352578445</v>
      </c>
      <c r="AY110" s="293">
        <f>('MasterA1(current$)'!AY111)</f>
        <v>295</v>
      </c>
      <c r="AZ110" s="293">
        <f>SUM('MasterA1(current$)'!AZ111*100)/101.221</f>
        <v>371.46441943865403</v>
      </c>
      <c r="BA110" s="293">
        <f>SUM('MasterA1(current$)'!BA111*100)/103.311</f>
        <v>373.62913920105308</v>
      </c>
      <c r="BB110" s="293">
        <f>SUM('MasterA1(current$)'!BB111*100)/105.214</f>
        <v>434.35284277757711</v>
      </c>
      <c r="BC110" s="293">
        <f>SUM('MasterA1(current$)'!BC111*100)/106.913</f>
        <v>483.57075379046518</v>
      </c>
      <c r="BD110" s="293">
        <f>SUM('MasterA1(current$)'!BD111*100)/108.828</f>
        <v>465.87275333553862</v>
      </c>
      <c r="BE110" s="293">
        <f>SUM('MasterA1(current$)'!BE111*100)/109.998</f>
        <v>316.36938853433696</v>
      </c>
      <c r="BF110" s="314">
        <f>SUM('MasterA1(current$)'!BF111*100)/111.298</f>
        <v>379.16224909701879</v>
      </c>
      <c r="BG110" s="314">
        <f>SUM('MasterA1(current$)'!BG111*100)/113.198</f>
        <v>313.60978109153876</v>
      </c>
      <c r="BH110" s="314">
        <f>SUM('MasterA1(current$)'!BH111*100)/115.198</f>
        <v>308.16507231028316</v>
      </c>
      <c r="BI110" s="385">
        <f t="shared" ref="BI110:BI115" si="9">(BG110-BF110)/BF110</f>
        <v>-0.17288764417236768</v>
      </c>
      <c r="BJ110" s="385">
        <f t="shared" ref="BJ110:BJ115" si="10">(BH110-BG110)/BG110</f>
        <v>-1.7361412524523133E-2</v>
      </c>
      <c r="BK110" s="569">
        <f t="shared" ref="BK110:BK115" si="11">BG110-BF110</f>
        <v>-65.552468005480023</v>
      </c>
      <c r="BL110" s="569">
        <f t="shared" ref="BL110:BL115" si="12">BH110-BG110</f>
        <v>-5.4447087812555992</v>
      </c>
    </row>
    <row r="111" spans="1:88" ht="11.1" customHeight="1">
      <c r="A111" s="129" t="s">
        <v>130</v>
      </c>
      <c r="B111" s="372" t="s">
        <v>3</v>
      </c>
      <c r="C111" s="372" t="s">
        <v>3</v>
      </c>
      <c r="D111" s="372" t="s">
        <v>3</v>
      </c>
      <c r="E111" s="166" t="s">
        <v>3</v>
      </c>
      <c r="F111" s="166" t="s">
        <v>3</v>
      </c>
      <c r="G111" s="166" t="s">
        <v>3</v>
      </c>
      <c r="H111" s="166" t="s">
        <v>3</v>
      </c>
      <c r="I111" s="166" t="s">
        <v>3</v>
      </c>
      <c r="J111" s="166" t="s">
        <v>3</v>
      </c>
      <c r="K111" s="166" t="s">
        <v>3</v>
      </c>
      <c r="L111" s="166" t="s">
        <v>3</v>
      </c>
      <c r="M111" s="166" t="s">
        <v>3</v>
      </c>
      <c r="N111" s="166" t="s">
        <v>3</v>
      </c>
      <c r="O111" s="166" t="s">
        <v>3</v>
      </c>
      <c r="P111" s="166" t="s">
        <v>3</v>
      </c>
      <c r="Q111" s="166" t="s">
        <v>3</v>
      </c>
      <c r="R111" s="166" t="s">
        <v>3</v>
      </c>
      <c r="S111" s="166" t="s">
        <v>3</v>
      </c>
      <c r="T111" s="166" t="s">
        <v>3</v>
      </c>
      <c r="U111" s="166" t="s">
        <v>3</v>
      </c>
      <c r="V111" s="166" t="s">
        <v>3</v>
      </c>
      <c r="W111" s="166" t="s">
        <v>3</v>
      </c>
      <c r="X111" s="166" t="s">
        <v>3</v>
      </c>
      <c r="Y111" s="33">
        <f>SUM('MasterA1(current$)'!Y112)/0.53565</f>
        <v>222.15999253243723</v>
      </c>
      <c r="Z111" s="33">
        <f>SUM('MasterA1(current$)'!Z112)/0.55466</f>
        <v>283.05628673421552</v>
      </c>
      <c r="AA111" s="33">
        <f>SUM('MasterA1(current$)'!AA112)/0.5724</f>
        <v>282.82145352900068</v>
      </c>
      <c r="AB111" s="33">
        <f>SUM('MasterA1(current$)'!AB112)/0.58395</f>
        <v>268.85863515711964</v>
      </c>
      <c r="AC111" s="33">
        <f>SUM('MasterA1(current$)'!AC112)/0.59885</f>
        <v>277.19796276196041</v>
      </c>
      <c r="AD111" s="33">
        <f>SUM('MasterA1(current$)'!AD112)/0.61982</f>
        <v>266.20631796327967</v>
      </c>
      <c r="AE111" s="33">
        <f>SUM('MasterA1(current$)'!AE112)/0.64392</f>
        <v>265.56093924711143</v>
      </c>
      <c r="AF111" s="33">
        <f>SUM('MasterA1(current$)'!AF112)/0.66773</f>
        <v>268.07242448294966</v>
      </c>
      <c r="AG111" s="33">
        <f>SUM('MasterA1(current$)'!AG112)/0.68996</f>
        <v>265.23276711693433</v>
      </c>
      <c r="AH111" s="33">
        <f>SUM('MasterA1(current$)'!AH112)/0.70569</f>
        <v>284.82761552523061</v>
      </c>
      <c r="AI111" s="33">
        <f>SUM('MasterA1(current$)'!AI112)/0.72248</f>
        <v>289.2813641900122</v>
      </c>
      <c r="AJ111" s="33">
        <f>SUM('MasterA1(current$)'!AJ112)/0.73785</f>
        <v>275.12367012265366</v>
      </c>
      <c r="AK111" s="33">
        <f>SUM('MasterA1(current$)'!AK112)/0.75324</f>
        <v>256.22643513355638</v>
      </c>
      <c r="AL111" s="33">
        <f>SUM('MasterA1(current$)'!AL112)/0.76699</f>
        <v>254.24060287617831</v>
      </c>
      <c r="AM111" s="33">
        <f>SUM('MasterA1(current$)'!AM112)/0.78012</f>
        <v>258.93452289391377</v>
      </c>
      <c r="AN111" s="33">
        <f>SUM('MasterA1(current$)'!AN112)/0.78859</f>
        <v>259.95764592500541</v>
      </c>
      <c r="AO111" s="33">
        <f>SUM('MasterA1(current$)'!AO112)/0.80065</f>
        <v>267.28283269843251</v>
      </c>
      <c r="AP111" s="339">
        <f>SUM('MasterA1(current$)'!AP112)/0.81887</f>
        <v>503.13236533271458</v>
      </c>
      <c r="AQ111" s="339">
        <f>SUM('MasterA1(current$)'!AQ112)/0.83754</f>
        <v>573.10695608567949</v>
      </c>
      <c r="AR111" s="339">
        <f>SUM('MasterA1(current$)'!AR112)/0.85039</f>
        <v>896.05945507355455</v>
      </c>
      <c r="AS111" s="339">
        <f>SUM('MasterA1(current$)'!AS112)/0.86735</f>
        <v>1338.5599815530063</v>
      </c>
      <c r="AT111" s="339">
        <f>SUM('MasterA1(current$)'!AT112)/0.8912</f>
        <v>354.57809694793536</v>
      </c>
      <c r="AU111" s="339">
        <f>SUM('MasterA1(current$)'!AU112)/0.91988</f>
        <v>378.31021437578812</v>
      </c>
      <c r="AV111" s="339">
        <f>SUM('MasterA1(current$)'!AV112)/0.94814</f>
        <v>344.88577636214063</v>
      </c>
      <c r="AW111" s="339">
        <f>SUM('MasterA1(current$)'!AW112)/0.97337</f>
        <v>330.80945580817161</v>
      </c>
      <c r="AX111" s="342">
        <f>('MasterA1(current$)'!AX112*100)/99.246</f>
        <v>319.40833887511843</v>
      </c>
      <c r="AY111" s="293">
        <f>('MasterA1(current$)'!AY112)</f>
        <v>327</v>
      </c>
      <c r="AZ111" s="293">
        <f>SUM('MasterA1(current$)'!AZ112*100)/101.221</f>
        <v>351.70567372383198</v>
      </c>
      <c r="BA111" s="293">
        <f>SUM('MasterA1(current$)'!BA112*100)/103.311</f>
        <v>363.94962782278748</v>
      </c>
      <c r="BB111" s="293">
        <f>SUM('MasterA1(current$)'!BB112*100)/105.214</f>
        <v>160.62501188054821</v>
      </c>
      <c r="BC111" s="293">
        <f>SUM('MasterA1(current$)'!BC112*100)/106.913</f>
        <v>144.97769214220909</v>
      </c>
      <c r="BD111" s="293">
        <f>SUM('MasterA1(current$)'!BD112*100)/108.828</f>
        <v>140.58881905391993</v>
      </c>
      <c r="BE111" s="293">
        <f>SUM('MasterA1(current$)'!BE112*100)/109.998</f>
        <v>155.4573719522173</v>
      </c>
      <c r="BF111" s="314">
        <f>SUM('MasterA1(current$)'!BF112*100)/111.298</f>
        <v>156.33704109687505</v>
      </c>
      <c r="BG111" s="314">
        <f>SUM('MasterA1(current$)'!BG112*100)/113.198</f>
        <v>184.63223731868055</v>
      </c>
      <c r="BH111" s="314">
        <f>SUM('MasterA1(current$)'!BH112*100)/115.198</f>
        <v>186.63518463862221</v>
      </c>
      <c r="BI111" s="385">
        <f t="shared" si="9"/>
        <v>0.18098843385600621</v>
      </c>
      <c r="BJ111" s="385">
        <f t="shared" si="10"/>
        <v>1.084830769008399E-2</v>
      </c>
      <c r="BK111" s="569">
        <f t="shared" si="11"/>
        <v>28.295196221805497</v>
      </c>
      <c r="BL111" s="569">
        <f t="shared" si="12"/>
        <v>2.0029473199416543</v>
      </c>
    </row>
    <row r="112" spans="1:88" s="373" customFormat="1" ht="12">
      <c r="A112" s="373" t="s">
        <v>112</v>
      </c>
      <c r="B112" s="372" t="s">
        <v>3</v>
      </c>
      <c r="C112" s="372" t="s">
        <v>3</v>
      </c>
      <c r="D112" s="372" t="s">
        <v>3</v>
      </c>
      <c r="E112" s="166" t="s">
        <v>3</v>
      </c>
      <c r="F112" s="166" t="s">
        <v>3</v>
      </c>
      <c r="G112" s="166" t="s">
        <v>3</v>
      </c>
      <c r="H112" s="166" t="s">
        <v>3</v>
      </c>
      <c r="I112" s="166" t="s">
        <v>3</v>
      </c>
      <c r="J112" s="166" t="s">
        <v>3</v>
      </c>
      <c r="K112" s="166" t="s">
        <v>3</v>
      </c>
      <c r="L112" s="166" t="s">
        <v>3</v>
      </c>
      <c r="M112" s="166" t="s">
        <v>3</v>
      </c>
      <c r="N112" s="166" t="s">
        <v>3</v>
      </c>
      <c r="O112" s="166" t="s">
        <v>3</v>
      </c>
      <c r="P112" s="166" t="s">
        <v>3</v>
      </c>
      <c r="Q112" s="166" t="s">
        <v>3</v>
      </c>
      <c r="R112" s="166" t="s">
        <v>3</v>
      </c>
      <c r="S112" s="166" t="s">
        <v>3</v>
      </c>
      <c r="T112" s="166" t="s">
        <v>3</v>
      </c>
      <c r="U112" s="166" t="s">
        <v>3</v>
      </c>
      <c r="V112" s="166" t="s">
        <v>3</v>
      </c>
      <c r="W112" s="166" t="s">
        <v>3</v>
      </c>
      <c r="X112" s="166" t="s">
        <v>3</v>
      </c>
      <c r="Y112" s="166" t="s">
        <v>3</v>
      </c>
      <c r="Z112" s="166" t="s">
        <v>3</v>
      </c>
      <c r="AA112" s="166" t="s">
        <v>3</v>
      </c>
      <c r="AB112" s="166" t="s">
        <v>3</v>
      </c>
      <c r="AC112" s="166" t="s">
        <v>3</v>
      </c>
      <c r="AD112" s="166" t="s">
        <v>3</v>
      </c>
      <c r="AE112" s="166" t="s">
        <v>3</v>
      </c>
      <c r="AF112" s="166" t="s">
        <v>3</v>
      </c>
      <c r="AG112" s="166" t="s">
        <v>3</v>
      </c>
      <c r="AH112" s="166" t="s">
        <v>3</v>
      </c>
      <c r="AI112" s="166" t="s">
        <v>3</v>
      </c>
      <c r="AJ112" s="166" t="s">
        <v>3</v>
      </c>
      <c r="AK112" s="166" t="s">
        <v>3</v>
      </c>
      <c r="AL112" s="166" t="s">
        <v>3</v>
      </c>
      <c r="AM112" s="166" t="s">
        <v>3</v>
      </c>
      <c r="AN112" s="166" t="s">
        <v>3</v>
      </c>
      <c r="AO112" s="166" t="s">
        <v>3</v>
      </c>
      <c r="AP112" s="166" t="s">
        <v>3</v>
      </c>
      <c r="AQ112" s="166" t="s">
        <v>3</v>
      </c>
      <c r="AR112" s="166" t="s">
        <v>3</v>
      </c>
      <c r="AS112" s="166" t="s">
        <v>3</v>
      </c>
      <c r="AT112" s="166" t="s">
        <v>3</v>
      </c>
      <c r="AU112" s="166" t="s">
        <v>3</v>
      </c>
      <c r="AV112" s="181" t="s">
        <v>3</v>
      </c>
      <c r="AW112" s="181" t="s">
        <v>3</v>
      </c>
      <c r="AX112" s="166" t="s">
        <v>3</v>
      </c>
      <c r="AY112" s="372" t="s">
        <v>3</v>
      </c>
      <c r="AZ112" s="372" t="s">
        <v>3</v>
      </c>
      <c r="BA112" s="372" t="s">
        <v>3</v>
      </c>
      <c r="BB112" s="293">
        <f>SUM('MasterA1(current$)'!BB113*100)/105.214</f>
        <v>118.80548216016879</v>
      </c>
      <c r="BC112" s="293">
        <f>SUM('MasterA1(current$)'!BC113*100)/106.913</f>
        <v>170.2318707734326</v>
      </c>
      <c r="BD112" s="293">
        <f>SUM('MasterA1(current$)'!BD113*100)/108.828</f>
        <v>181.93847171683757</v>
      </c>
      <c r="BE112" s="293">
        <f>SUM('MasterA1(current$)'!BE113*100)/109.998</f>
        <v>207.27649593628973</v>
      </c>
      <c r="BF112" s="314">
        <f>SUM('MasterA1(current$)'!BF113*100)/111.298</f>
        <v>212.043343096911</v>
      </c>
      <c r="BG112" s="314">
        <f>SUM('MasterA1(current$)'!BG113*100)/113.198</f>
        <v>217.31832717892544</v>
      </c>
      <c r="BH112" s="314">
        <f>SUM('MasterA1(current$)'!BH113*100)/115.198</f>
        <v>207.46887966804979</v>
      </c>
      <c r="BI112" s="385">
        <f t="shared" si="9"/>
        <v>2.487691433728997E-2</v>
      </c>
      <c r="BJ112" s="385">
        <f t="shared" si="10"/>
        <v>-4.5322673143743969E-2</v>
      </c>
      <c r="BK112" s="569">
        <f t="shared" si="11"/>
        <v>5.2749840820144414</v>
      </c>
      <c r="BL112" s="569">
        <f t="shared" si="12"/>
        <v>-9.849447510875649</v>
      </c>
      <c r="BM112" s="330"/>
      <c r="BN112" s="330"/>
      <c r="BO112" s="330"/>
      <c r="BP112" s="330"/>
      <c r="BQ112" s="330"/>
      <c r="BR112" s="330"/>
      <c r="BS112" s="330"/>
      <c r="BT112" s="330"/>
      <c r="BU112" s="330"/>
      <c r="BV112" s="330"/>
      <c r="BW112" s="330"/>
      <c r="BX112" s="330"/>
      <c r="BY112" s="330"/>
      <c r="BZ112" s="330"/>
      <c r="CA112" s="330"/>
      <c r="CB112" s="330"/>
      <c r="CC112" s="330"/>
      <c r="CD112" s="330"/>
      <c r="CE112" s="330"/>
      <c r="CF112" s="330"/>
      <c r="CG112" s="330"/>
      <c r="CH112" s="330"/>
      <c r="CI112" s="330"/>
      <c r="CJ112" s="330"/>
    </row>
    <row r="113" spans="1:88" s="373" customFormat="1" ht="12">
      <c r="A113" s="373" t="s">
        <v>113</v>
      </c>
      <c r="B113" s="372" t="s">
        <v>3</v>
      </c>
      <c r="C113" s="372" t="s">
        <v>3</v>
      </c>
      <c r="D113" s="372" t="s">
        <v>3</v>
      </c>
      <c r="E113" s="166" t="s">
        <v>3</v>
      </c>
      <c r="F113" s="166" t="s">
        <v>3</v>
      </c>
      <c r="G113" s="166" t="s">
        <v>3</v>
      </c>
      <c r="H113" s="166" t="s">
        <v>3</v>
      </c>
      <c r="I113" s="166" t="s">
        <v>3</v>
      </c>
      <c r="J113" s="166" t="s">
        <v>3</v>
      </c>
      <c r="K113" s="166" t="s">
        <v>3</v>
      </c>
      <c r="L113" s="166" t="s">
        <v>3</v>
      </c>
      <c r="M113" s="166" t="s">
        <v>3</v>
      </c>
      <c r="N113" s="166" t="s">
        <v>3</v>
      </c>
      <c r="O113" s="166" t="s">
        <v>3</v>
      </c>
      <c r="P113" s="166" t="s">
        <v>3</v>
      </c>
      <c r="Q113" s="166" t="s">
        <v>3</v>
      </c>
      <c r="R113" s="166" t="s">
        <v>3</v>
      </c>
      <c r="S113" s="166" t="s">
        <v>3</v>
      </c>
      <c r="T113" s="166" t="s">
        <v>3</v>
      </c>
      <c r="U113" s="166" t="s">
        <v>3</v>
      </c>
      <c r="V113" s="166" t="s">
        <v>3</v>
      </c>
      <c r="W113" s="166" t="s">
        <v>3</v>
      </c>
      <c r="X113" s="166" t="s">
        <v>3</v>
      </c>
      <c r="Y113" s="166" t="s">
        <v>3</v>
      </c>
      <c r="Z113" s="166" t="s">
        <v>3</v>
      </c>
      <c r="AA113" s="166" t="s">
        <v>3</v>
      </c>
      <c r="AB113" s="166" t="s">
        <v>3</v>
      </c>
      <c r="AC113" s="166" t="s">
        <v>3</v>
      </c>
      <c r="AD113" s="166" t="s">
        <v>3</v>
      </c>
      <c r="AE113" s="166" t="s">
        <v>3</v>
      </c>
      <c r="AF113" s="166" t="s">
        <v>3</v>
      </c>
      <c r="AG113" s="166" t="s">
        <v>3</v>
      </c>
      <c r="AH113" s="166" t="s">
        <v>3</v>
      </c>
      <c r="AI113" s="33">
        <f>SUM('MasterA1(current$)'!AI114)/0.72248</f>
        <v>6.9206067988041191</v>
      </c>
      <c r="AJ113" s="33">
        <f>SUM('MasterA1(current$)'!AJ114)/0.73785</f>
        <v>6.7764450769126512</v>
      </c>
      <c r="AK113" s="33">
        <f>SUM('MasterA1(current$)'!AK114)/0.75324</f>
        <v>5.310392438001168</v>
      </c>
      <c r="AL113" s="33">
        <f>SUM('MasterA1(current$)'!AL114)/0.76699</f>
        <v>7.8227877808054869</v>
      </c>
      <c r="AM113" s="33">
        <f>SUM('MasterA1(current$)'!AM114)/0.78012</f>
        <v>7.6911244423934777</v>
      </c>
      <c r="AN113" s="33">
        <f>SUM('MasterA1(current$)'!AN114)/0.78859</f>
        <v>7.6085164660977185</v>
      </c>
      <c r="AO113" s="33">
        <f>SUM('MasterA1(current$)'!AO114)/0.80065</f>
        <v>7.4939111971523138</v>
      </c>
      <c r="AP113" s="339">
        <f>SUM('MasterA1(current$)'!AP114)/0.81887</f>
        <v>7.3271703689230279</v>
      </c>
      <c r="AQ113" s="339">
        <f>SUM('MasterA1(current$)'!AQ114)/0.83754</f>
        <v>8.3578097762494927</v>
      </c>
      <c r="AR113" s="339">
        <f>SUM('MasterA1(current$)'!AR114)/0.85039</f>
        <v>7.0555862604216895</v>
      </c>
      <c r="AS113" s="339">
        <f>SUM('MasterA1(current$)'!AS114)/0.86735</f>
        <v>6.917622643684787</v>
      </c>
      <c r="AT113" s="339">
        <f>SUM('MasterA1(current$)'!AT114)/0.8912</f>
        <v>6.7324955116696588</v>
      </c>
      <c r="AU113" s="339">
        <f>SUM('MasterA1(current$)'!AU114)/0.91988</f>
        <v>7.609688220202635</v>
      </c>
      <c r="AV113" s="339">
        <f>SUM('MasterA1(current$)'!AV114)/0.94814</f>
        <v>8.4375725103887618</v>
      </c>
      <c r="AW113" s="339">
        <f>SUM('MasterA1(current$)'!AW114)/0.97337</f>
        <v>7.1915099088732966</v>
      </c>
      <c r="AX113" s="342">
        <f>('MasterA1(current$)'!AX114*100)/99.246</f>
        <v>6.0455837011063425</v>
      </c>
      <c r="AY113" s="293">
        <f>('MasterA1(current$)'!AY114)</f>
        <v>7</v>
      </c>
      <c r="AZ113" s="293">
        <f>SUM('MasterA1(current$)'!AZ114*100)/101.221</f>
        <v>6.9155610001877079</v>
      </c>
      <c r="BA113" s="293">
        <f>SUM('MasterA1(current$)'!BA114*100)/103.311</f>
        <v>6.7756579647859372</v>
      </c>
      <c r="BB113" s="293">
        <f>SUM('MasterA1(current$)'!BB114*100)/105.214</f>
        <v>9.5044385728135037</v>
      </c>
      <c r="BC113" s="293">
        <f>SUM('MasterA1(current$)'!BC114*100)/106.913</f>
        <v>9.3533994930457478</v>
      </c>
      <c r="BD113" s="293">
        <f>SUM('MasterA1(current$)'!BD114*100)/108.828</f>
        <v>9.1888117028705842</v>
      </c>
      <c r="BE113" s="293">
        <f>SUM('MasterA1(current$)'!BE114*100)/109.998</f>
        <v>15.454826451390025</v>
      </c>
      <c r="BF113" s="314">
        <f>SUM('MasterA1(current$)'!BF114*100)/111.298</f>
        <v>15.27430861291308</v>
      </c>
      <c r="BG113" s="314">
        <f>SUM('MasterA1(current$)'!BG114*100)/113.198</f>
        <v>19.434972349334796</v>
      </c>
      <c r="BH113" s="314">
        <f>SUM('MasterA1(current$)'!BH114*100)/115.198</f>
        <v>19.097553776975296</v>
      </c>
      <c r="BI113" s="385">
        <f t="shared" si="9"/>
        <v>0.27239620737427306</v>
      </c>
      <c r="BJ113" s="385">
        <f t="shared" si="10"/>
        <v>-1.7361412524523025E-2</v>
      </c>
      <c r="BK113" s="569">
        <f t="shared" si="11"/>
        <v>4.1606637364217161</v>
      </c>
      <c r="BL113" s="569">
        <f t="shared" si="12"/>
        <v>-0.33741857235949979</v>
      </c>
      <c r="BM113" s="330"/>
      <c r="BN113" s="330"/>
      <c r="BO113" s="330"/>
      <c r="BP113" s="330"/>
      <c r="BQ113" s="330"/>
      <c r="BR113" s="330"/>
      <c r="BS113" s="330"/>
      <c r="BT113" s="330"/>
      <c r="BU113" s="330"/>
      <c r="BV113" s="330"/>
      <c r="BW113" s="330"/>
      <c r="BX113" s="330"/>
      <c r="BY113" s="330"/>
      <c r="BZ113" s="330"/>
      <c r="CA113" s="330"/>
      <c r="CB113" s="330"/>
      <c r="CC113" s="330"/>
      <c r="CD113" s="330"/>
      <c r="CE113" s="330"/>
      <c r="CF113" s="330"/>
      <c r="CG113" s="330"/>
      <c r="CH113" s="330"/>
      <c r="CI113" s="330"/>
      <c r="CJ113" s="330"/>
    </row>
    <row r="114" spans="1:88" ht="11.1" customHeight="1">
      <c r="A114" s="129" t="s">
        <v>131</v>
      </c>
      <c r="B114" s="60" t="s">
        <v>3</v>
      </c>
      <c r="C114" s="60" t="s">
        <v>3</v>
      </c>
      <c r="D114" s="60" t="s">
        <v>3</v>
      </c>
      <c r="E114" s="170" t="s">
        <v>3</v>
      </c>
      <c r="F114" s="170" t="s">
        <v>3</v>
      </c>
      <c r="G114" s="170" t="s">
        <v>3</v>
      </c>
      <c r="H114" s="170" t="s">
        <v>3</v>
      </c>
      <c r="I114" s="170" t="s">
        <v>3</v>
      </c>
      <c r="J114" s="170" t="s">
        <v>3</v>
      </c>
      <c r="K114" s="170" t="s">
        <v>3</v>
      </c>
      <c r="L114" s="170" t="s">
        <v>3</v>
      </c>
      <c r="M114" s="170" t="s">
        <v>3</v>
      </c>
      <c r="N114" s="170" t="s">
        <v>3</v>
      </c>
      <c r="O114" s="170" t="s">
        <v>3</v>
      </c>
      <c r="P114" s="170" t="s">
        <v>3</v>
      </c>
      <c r="Q114" s="170" t="s">
        <v>3</v>
      </c>
      <c r="R114" s="170" t="s">
        <v>3</v>
      </c>
      <c r="S114" s="170" t="s">
        <v>3</v>
      </c>
      <c r="T114" s="33">
        <f>SUM('MasterA1(current$)'!T115)/0.37602</f>
        <v>13.29716504441253</v>
      </c>
      <c r="U114" s="33">
        <f>SUM('MasterA1(current$)'!U115)/0.40706</f>
        <v>117.9187343389181</v>
      </c>
      <c r="V114" s="33">
        <f>SUM('MasterA1(current$)'!V115)/0.44377</f>
        <v>191.54066295603579</v>
      </c>
      <c r="W114" s="33">
        <f>SUM('MasterA1(current$)'!W115)/0.4852</f>
        <v>269.99175597691675</v>
      </c>
      <c r="X114" s="33">
        <f>SUM('MasterA1(current$)'!X115)/0.5153</f>
        <v>230.93343683291289</v>
      </c>
      <c r="Y114" s="33">
        <f>SUM('MasterA1(current$)'!Y115)/0.53565</f>
        <v>306.17007374218241</v>
      </c>
      <c r="Z114" s="33">
        <f>SUM('MasterA1(current$)'!Z115)/0.55466</f>
        <v>371.39869469584966</v>
      </c>
      <c r="AA114" s="33">
        <f>SUM('MasterA1(current$)'!AA115)/0.5724</f>
        <v>475.19217330538083</v>
      </c>
      <c r="AB114" s="33">
        <f>SUM('MasterA1(current$)'!AB115)/0.58395</f>
        <v>559.97945029540199</v>
      </c>
      <c r="AC114" s="33">
        <f>SUM('MasterA1(current$)'!AC115)/0.59885</f>
        <v>542.70685480504301</v>
      </c>
      <c r="AD114" s="33">
        <f>SUM('MasterA1(current$)'!AD115)/0.61982</f>
        <v>563.0666967829369</v>
      </c>
      <c r="AE114" s="33">
        <f>SUM('MasterA1(current$)'!AE115)/0.64392</f>
        <v>501.61510746676601</v>
      </c>
      <c r="AF114" s="33">
        <f>SUM('MasterA1(current$)'!AF115)/0.66773</f>
        <v>489.71889835712034</v>
      </c>
      <c r="AG114" s="33">
        <f>SUM('MasterA1(current$)'!AG115)/0.68996</f>
        <v>468.14308075830479</v>
      </c>
      <c r="AH114" s="33">
        <f>SUM('MasterA1(current$)'!AH115)/0.70569</f>
        <v>418.03057999971656</v>
      </c>
      <c r="AI114" s="33">
        <f>SUM('MasterA1(current$)'!AI115)/0.72248</f>
        <v>422.15701472705126</v>
      </c>
      <c r="AJ114" s="33">
        <f>SUM('MasterA1(current$)'!AJ115)/0.73785</f>
        <v>425.5607508301145</v>
      </c>
      <c r="AK114" s="33">
        <f>SUM('MasterA1(current$)'!AK115)/0.75324</f>
        <v>415.53820827359141</v>
      </c>
      <c r="AL114" s="33">
        <f>SUM('MasterA1(current$)'!AL115)/0.76699</f>
        <v>412.00015645575564</v>
      </c>
      <c r="AM114" s="33">
        <f>SUM('MasterA1(current$)'!AM115)/0.78012</f>
        <v>412.75701174178329</v>
      </c>
      <c r="AN114" s="33">
        <f>SUM('MasterA1(current$)'!AN115)/0.78859</f>
        <v>419.73649171305749</v>
      </c>
      <c r="AO114" s="33">
        <f>SUM('MasterA1(current$)'!AO115)/0.80065</f>
        <v>448.38568662961347</v>
      </c>
      <c r="AP114" s="339">
        <f>SUM('MasterA1(current$)'!AP115)/0.81887</f>
        <v>478.70846410297116</v>
      </c>
      <c r="AQ114" s="339">
        <f>SUM('MasterA1(current$)'!AQ115)/0.83754</f>
        <v>526.54201590371804</v>
      </c>
      <c r="AR114" s="339">
        <f>SUM('MasterA1(current$)'!AR115)/0.85039</f>
        <v>493.89103822951824</v>
      </c>
      <c r="AS114" s="339">
        <f>SUM('MasterA1(current$)'!AS115)/0.86735</f>
        <v>442.72784919582637</v>
      </c>
      <c r="AT114" s="339">
        <f>SUM('MasterA1(current$)'!AT115)/0.8912</f>
        <v>361.310592459605</v>
      </c>
      <c r="AU114" s="339">
        <f>SUM('MasterA1(current$)'!AU115)/0.91988</f>
        <v>418.5328521111449</v>
      </c>
      <c r="AV114" s="339">
        <f>SUM('MasterA1(current$)'!AV115)/0.94814</f>
        <v>399.72999767966758</v>
      </c>
      <c r="AW114" s="339">
        <f>SUM('MasterA1(current$)'!AW115)/0.97337</f>
        <v>429.43587741557684</v>
      </c>
      <c r="AX114" s="342">
        <f>('MasterA1(current$)'!AX115*100)/99.246</f>
        <v>414.12248352578445</v>
      </c>
      <c r="AY114" s="293">
        <f>('MasterA1(current$)'!AY115)</f>
        <v>325</v>
      </c>
      <c r="AZ114" s="293">
        <f>SUM('MasterA1(current$)'!AZ115*100)/101.221</f>
        <v>177.82871143339821</v>
      </c>
      <c r="BA114" s="293">
        <f>SUM('MasterA1(current$)'!BA115*100)/103.311</f>
        <v>167.45554684399531</v>
      </c>
      <c r="BB114" s="293">
        <f>SUM('MasterA1(current$)'!BB115*100)/105.214</f>
        <v>113.10281901648069</v>
      </c>
      <c r="BC114" s="293">
        <f>SUM('MasterA1(current$)'!BC115*100)/106.913</f>
        <v>109.43477406863525</v>
      </c>
      <c r="BD114" s="293">
        <f>SUM('MasterA1(current$)'!BD115*100)/108.828</f>
        <v>101.99580990186348</v>
      </c>
      <c r="BE114" s="293">
        <f>SUM('MasterA1(current$)'!BE115*100)/109.998</f>
        <v>105.456462844779</v>
      </c>
      <c r="BF114" s="314">
        <f>SUM('MasterA1(current$)'!BF115*100)/111.298</f>
        <v>105.12318280651944</v>
      </c>
      <c r="BG114" s="314">
        <f>SUM('MasterA1(current$)'!BG115*100)/113.198</f>
        <v>110.42597925758406</v>
      </c>
      <c r="BH114" s="314">
        <f>SUM('MasterA1(current$)'!BH115*100)/115.198</f>
        <v>101.56426326845953</v>
      </c>
      <c r="BI114" s="385">
        <f t="shared" si="9"/>
        <v>5.0443644394067552E-2</v>
      </c>
      <c r="BJ114" s="385">
        <f t="shared" si="10"/>
        <v>-8.0250282122953515E-2</v>
      </c>
      <c r="BK114" s="569">
        <f t="shared" si="11"/>
        <v>5.3027964510646228</v>
      </c>
      <c r="BL114" s="569">
        <f t="shared" si="12"/>
        <v>-8.8617159891245336</v>
      </c>
    </row>
    <row r="115" spans="1:88" ht="11.1" customHeight="1">
      <c r="A115" s="294" t="s">
        <v>132</v>
      </c>
      <c r="B115" s="60" t="s">
        <v>3</v>
      </c>
      <c r="C115" s="60" t="s">
        <v>3</v>
      </c>
      <c r="D115" s="60" t="s">
        <v>3</v>
      </c>
      <c r="E115" s="170" t="s">
        <v>3</v>
      </c>
      <c r="F115" s="170" t="s">
        <v>3</v>
      </c>
      <c r="G115" s="170" t="s">
        <v>3</v>
      </c>
      <c r="H115" s="170" t="s">
        <v>3</v>
      </c>
      <c r="I115" s="170" t="s">
        <v>3</v>
      </c>
      <c r="J115" s="170" t="s">
        <v>3</v>
      </c>
      <c r="K115" s="170" t="s">
        <v>3</v>
      </c>
      <c r="L115" s="170" t="s">
        <v>3</v>
      </c>
      <c r="M115" s="170" t="s">
        <v>3</v>
      </c>
      <c r="N115" s="170" t="s">
        <v>3</v>
      </c>
      <c r="O115" s="170" t="s">
        <v>3</v>
      </c>
      <c r="P115" s="170" t="s">
        <v>3</v>
      </c>
      <c r="Q115" s="170" t="s">
        <v>3</v>
      </c>
      <c r="R115" s="170" t="s">
        <v>3</v>
      </c>
      <c r="S115" s="170" t="s">
        <v>3</v>
      </c>
      <c r="T115" s="170" t="s">
        <v>3</v>
      </c>
      <c r="U115" s="170" t="s">
        <v>3</v>
      </c>
      <c r="V115" s="170" t="s">
        <v>3</v>
      </c>
      <c r="W115" s="170" t="s">
        <v>3</v>
      </c>
      <c r="X115" s="170" t="s">
        <v>3</v>
      </c>
      <c r="Y115" s="170" t="s">
        <v>3</v>
      </c>
      <c r="Z115" s="170" t="s">
        <v>3</v>
      </c>
      <c r="AA115" s="170" t="s">
        <v>3</v>
      </c>
      <c r="AB115" s="170" t="s">
        <v>3</v>
      </c>
      <c r="AC115" s="170" t="s">
        <v>3</v>
      </c>
      <c r="AD115" s="170" t="s">
        <v>3</v>
      </c>
      <c r="AE115" s="170" t="s">
        <v>3</v>
      </c>
      <c r="AF115" s="170" t="s">
        <v>3</v>
      </c>
      <c r="AG115" s="170" t="s">
        <v>3</v>
      </c>
      <c r="AH115" s="170" t="s">
        <v>3</v>
      </c>
      <c r="AI115" s="170" t="s">
        <v>3</v>
      </c>
      <c r="AJ115" s="170" t="s">
        <v>3</v>
      </c>
      <c r="AK115" s="344">
        <f>SUM('MasterA1(current$)'!AK116)/0.75324</f>
        <v>270.83001433805958</v>
      </c>
      <c r="AL115" s="344">
        <f>SUM('MasterA1(current$)'!AL116)/0.76699</f>
        <v>245.11401713190526</v>
      </c>
      <c r="AM115" s="344">
        <f>SUM('MasterA1(current$)'!AM116)/0.78012</f>
        <v>240.98856586166229</v>
      </c>
      <c r="AN115" s="344">
        <f>SUM('MasterA1(current$)'!AN116)/0.78859</f>
        <v>256.15338769195654</v>
      </c>
      <c r="AO115" s="344">
        <f>SUM('MasterA1(current$)'!AO116)/0.80065</f>
        <v>291.01355148941485</v>
      </c>
      <c r="AP115" s="332">
        <f>SUM('MasterA1(current$)'!AP116)/0.81887</f>
        <v>239.35423205148558</v>
      </c>
      <c r="AQ115" s="332">
        <f>SUM('MasterA1(current$)'!AQ116)/0.83754</f>
        <v>265.06196718962678</v>
      </c>
      <c r="AR115" s="332">
        <f>SUM('MasterA1(current$)'!AR116)/0.85039</f>
        <v>277.5197262432531</v>
      </c>
      <c r="AS115" s="332">
        <f>SUM('MasterA1(current$)'!AS116)/0.86735</f>
        <v>280.16371706923388</v>
      </c>
      <c r="AT115" s="332">
        <f>SUM('MasterA1(current$)'!AT116)/0.8912</f>
        <v>292.86355475763014</v>
      </c>
      <c r="AU115" s="332">
        <f>SUM('MasterA1(current$)'!AU116)/0.91988</f>
        <v>267.42618602426404</v>
      </c>
      <c r="AV115" s="192">
        <f>SUM('MasterA1(current$)'!AV116)/0.94814</f>
        <v>270.00232033244038</v>
      </c>
      <c r="AW115" s="192">
        <f>SUM('MasterA1(current$)'!AW116)/0.97337</f>
        <v>264.57333773151993</v>
      </c>
      <c r="AX115" s="170">
        <f>('MasterA1(current$)'!AX116*100)/99.246</f>
        <v>266.72160723433637</v>
      </c>
      <c r="AY115" s="293">
        <f>('MasterA1(current$)'!AY116)</f>
        <v>257</v>
      </c>
      <c r="AZ115" s="293">
        <f>SUM('MasterA1(current$)'!AZ116*100)/101.221</f>
        <v>270.69481629306171</v>
      </c>
      <c r="BA115" s="293">
        <f>SUM('MasterA1(current$)'!BA116*100)/103.311</f>
        <v>311.68026638015311</v>
      </c>
      <c r="BB115" s="293">
        <f>SUM('MasterA1(current$)'!BB116*100)/105.214</f>
        <v>295.58803961449996</v>
      </c>
      <c r="BC115" s="293">
        <f>SUM('MasterA1(current$)'!BC116*100)/106.913</f>
        <v>275.92528504484955</v>
      </c>
      <c r="BD115" s="293">
        <f>SUM('MasterA1(current$)'!BD116*100)/108.828</f>
        <v>265.55665821295992</v>
      </c>
      <c r="BE115" s="293">
        <f>SUM('MasterA1(current$)'!BE116*100)/109.998</f>
        <v>272.71299431153216</v>
      </c>
      <c r="BF115" s="314">
        <f>SUM('MasterA1(current$)'!BF116*100)/111.298</f>
        <v>274.93755503243545</v>
      </c>
      <c r="BG115" s="314">
        <f>SUM('MasterA1(current$)'!BG116*100)/113.198</f>
        <v>263.25553455008043</v>
      </c>
      <c r="BH115" s="314">
        <f>SUM('MasterA1(current$)'!BH116*100)/115.198</f>
        <v>237.85135158596503</v>
      </c>
      <c r="BI115" s="385">
        <f t="shared" si="9"/>
        <v>-4.2489722733501628E-2</v>
      </c>
      <c r="BJ115" s="385">
        <f t="shared" si="10"/>
        <v>-9.650009071046757E-2</v>
      </c>
      <c r="BK115" s="569">
        <f t="shared" si="11"/>
        <v>-11.682020482355028</v>
      </c>
      <c r="BL115" s="569">
        <f t="shared" si="12"/>
        <v>-25.404182964115392</v>
      </c>
    </row>
    <row r="116" spans="1:88" ht="11.1" customHeight="1">
      <c r="A116" s="128" t="s">
        <v>32</v>
      </c>
      <c r="B116" s="119" t="e">
        <f>SUM(#REF!)/0.1756</f>
        <v>#REF!</v>
      </c>
      <c r="C116" s="119">
        <f>SUM('MasterA1(current$)'!C117)/0.178</f>
        <v>16.853932584269664</v>
      </c>
      <c r="D116" s="118">
        <f>SUM('MasterA1(current$)'!D117)/0.1798</f>
        <v>22.246941045606231</v>
      </c>
      <c r="E116" s="464">
        <f>SUM('MasterA1(current$)'!E117)/0.182</f>
        <v>27.472527472527474</v>
      </c>
      <c r="F116" s="464">
        <f>SUM('MasterA1(current$)'!F117)/0.1842</f>
        <v>27.144408251900106</v>
      </c>
      <c r="G116" s="464">
        <f>SUM('MasterA1(current$)'!G117)/0.18702</f>
        <v>21.388086835632553</v>
      </c>
      <c r="H116" s="464">
        <f>SUM('MasterA1(current$)'!H117)/0.19227</f>
        <v>26.005096999011808</v>
      </c>
      <c r="I116" s="464">
        <f>SUM('MasterA1(current$)'!I117)/0.19786</f>
        <v>25.270393207318303</v>
      </c>
      <c r="J116" s="464">
        <f>SUM('MasterA1(current$)'!J117)/0.20627</f>
        <v>24.240073689824015</v>
      </c>
      <c r="K116" s="464">
        <f>SUM('MasterA1(current$)'!K117)/0.21642</f>
        <v>27.72387025228722</v>
      </c>
      <c r="L116" s="464">
        <f>SUM('MasterA1(current$)'!L117)/0.22784</f>
        <v>30.723314606741575</v>
      </c>
      <c r="M116" s="464">
        <f>SUM('MasterA1(current$)'!M117)/0.23941</f>
        <v>29.23854475585815</v>
      </c>
      <c r="N116" s="464">
        <f>SUM('MasterA1(current$)'!N117)/0.24978</f>
        <v>52.045800304267757</v>
      </c>
      <c r="O116" s="464">
        <f>SUM('MasterA1(current$)'!O117)/0.26337</f>
        <v>64.547974332687858</v>
      </c>
      <c r="P116" s="464">
        <f>SUM('MasterA1(current$)'!P117)/0.28703</f>
        <v>62.711214855590008</v>
      </c>
      <c r="Q116" s="464">
        <f>SUM('MasterA1(current$)'!Q117)/0.31361</f>
        <v>73.339498102739071</v>
      </c>
      <c r="R116" s="464">
        <f>SUM('MasterA1(current$)'!R117)/0.33083</f>
        <v>108.81721730193755</v>
      </c>
      <c r="S116" s="464">
        <f>SUM('MasterA1(current$)'!S117)/0.35135</f>
        <v>96.769602960011383</v>
      </c>
      <c r="T116" s="464">
        <f>SUM('MasterA1(current$)'!T117)/0.37602</f>
        <v>164.88484655071537</v>
      </c>
      <c r="U116" s="464">
        <f>SUM('MasterA1(current$)'!U117)/0.40706</f>
        <v>275.1437134574756</v>
      </c>
      <c r="V116" s="464">
        <f>SUM('MasterA1(current$)'!V117)/0.44377</f>
        <v>351.53345201343041</v>
      </c>
      <c r="W116" s="464">
        <f>SUM('MasterA1(current$)'!W117)/0.4852</f>
        <v>430.75020610057709</v>
      </c>
      <c r="X116" s="464">
        <f>SUM('MasterA1(current$)'!X117)/0.5153</f>
        <v>395.88589171356494</v>
      </c>
      <c r="Y116" s="464">
        <f>SUM('MasterA1(current$)'!Y117)/0.53565</f>
        <v>662.74619621021191</v>
      </c>
      <c r="Z116" s="464">
        <f>SUM('MasterA1(current$)'!Z117)/0.55466</f>
        <v>791.47585908484473</v>
      </c>
      <c r="AA116" s="464">
        <f>SUM('MasterA1(current$)'!AA117)/0.5724</f>
        <v>910.00524109014657</v>
      </c>
      <c r="AB116" s="464">
        <f>SUM('MasterA1(current$)'!AB117)/0.58395</f>
        <v>1015.4979022176557</v>
      </c>
      <c r="AC116" s="464">
        <f>SUM('MasterA1(current$)'!AC117)/0.59885</f>
        <v>1008.599816314603</v>
      </c>
      <c r="AD116" s="464">
        <f>SUM('MasterA1(current$)'!AD117)/0.61982</f>
        <v>1039.0113258688007</v>
      </c>
      <c r="AE116" s="464">
        <f>SUM('MasterA1(current$)'!AE117)/0.64392</f>
        <v>989.25332339421038</v>
      </c>
      <c r="AF116" s="464">
        <f>SUM('MasterA1(current$)'!AF117)/0.66773</f>
        <v>985.42824195408321</v>
      </c>
      <c r="AG116" s="464">
        <f>SUM('MasterA1(current$)'!AG117)/0.68996</f>
        <v>1020.3490057394631</v>
      </c>
      <c r="AH116" s="464">
        <f>SUM('MasterA1(current$)'!AH117)/0.70569</f>
        <v>1017.4439201349034</v>
      </c>
      <c r="AI116" s="464">
        <f>SUM('MasterA1(current$)'!AI117)/0.72248</f>
        <v>1078.2305392536819</v>
      </c>
      <c r="AJ116" s="464">
        <f>SUM('MasterA1(current$)'!AJ117)/0.73785</f>
        <v>1077.4547672291117</v>
      </c>
      <c r="AK116" s="464">
        <f>SUM('MasterA1(current$)'!AK117)/0.75324</f>
        <v>1192.1831023312623</v>
      </c>
      <c r="AL116" s="464">
        <f>SUM('MasterA1(current$)'!AL117)/0.76699</f>
        <v>1130.3928343263929</v>
      </c>
      <c r="AM116" s="464">
        <f>SUM('MasterA1(current$)'!AM117)/0.78012</f>
        <v>1143.4138337691636</v>
      </c>
      <c r="AN116" s="464">
        <f>SUM('MasterA1(current$)'!AN117)/0.78859</f>
        <v>1178.0519661674634</v>
      </c>
      <c r="AO116" s="464">
        <f>SUM('MasterA1(current$)'!AO117)/0.80065</f>
        <v>1291.4506963092488</v>
      </c>
      <c r="AP116" s="138">
        <f>SUM('MasterA1(current$)'!AP117)/0.81887</f>
        <v>1516.7242663670668</v>
      </c>
      <c r="AQ116" s="138">
        <f>SUM('MasterA1(current$)'!AQ117)/0.83754</f>
        <v>1677.5318193757912</v>
      </c>
      <c r="AR116" s="138">
        <f>SUM('MasterA1(current$)'!AR117)/0.85039</f>
        <v>1996.7309116993381</v>
      </c>
      <c r="AS116" s="138">
        <f>SUM('MasterA1(current$)'!AS117)/0.86735</f>
        <v>2400.4150573586212</v>
      </c>
      <c r="AT116" s="138">
        <f>SUM('MasterA1(current$)'!AT117)/0.8912</f>
        <v>1346.4991023339319</v>
      </c>
      <c r="AU116" s="138">
        <f>SUM('MasterA1(current$)'!AU117)/0.91988</f>
        <v>1415.40200895769</v>
      </c>
      <c r="AV116" s="138">
        <f>SUM('MasterA1(current$)'!AV117)/0.94814</f>
        <v>1386.9259813951526</v>
      </c>
      <c r="AW116" s="138">
        <f>SUM('MasterA1(current$)'!AW117)/0.97337</f>
        <v>1355.573372872668</v>
      </c>
      <c r="AX116" s="672">
        <f>('MasterA1(current$)'!AX117*100)/99.246</f>
        <v>1420.4204968621302</v>
      </c>
      <c r="AY116" s="398">
        <f>('MasterA1(current$)'!AY117)</f>
        <v>1211</v>
      </c>
      <c r="AZ116" s="377">
        <f>SUM('MasterA1(current$)'!AZ117*100)/101.221</f>
        <v>1178.6091818891337</v>
      </c>
      <c r="BA116" s="377">
        <f>SUM('MasterA1(current$)'!BA117*100)/103.311</f>
        <v>1223.490238212775</v>
      </c>
      <c r="BB116" s="377">
        <f>SUM('MasterA1(current$)'!BB117*100)/105.214</f>
        <v>1131.9786340220883</v>
      </c>
      <c r="BC116" s="377">
        <f>SUM('MasterA1(current$)'!BC117*100)/106.913</f>
        <v>1193.4937753126374</v>
      </c>
      <c r="BD116" s="377">
        <f>SUM('MasterA1(current$)'!BD117*100)/108.828</f>
        <v>1165.1413239239901</v>
      </c>
      <c r="BE116" s="377">
        <f>SUM('MasterA1(current$)'!BE117*100)/109.998</f>
        <v>1072.7275400305452</v>
      </c>
      <c r="BF116" s="376">
        <f>SUM('MasterA1(current$)'!BF117*100)/111.298</f>
        <v>1142.8776797426729</v>
      </c>
      <c r="BG116" s="376">
        <f>SUM('MasterA1(current$)'!BG117*100)/113.198</f>
        <v>1108.676831746144</v>
      </c>
      <c r="BH116" s="376">
        <f>SUM('MasterA1(current$)'!BH117*100)/115.198</f>
        <v>1060.782305248355</v>
      </c>
      <c r="BI116" s="415">
        <f>(BG116-BF116)/BF116</f>
        <v>-2.9925204247780422E-2</v>
      </c>
      <c r="BJ116" s="415">
        <f>(BH116-BG116)/BG116</f>
        <v>-4.3199718011926048E-2</v>
      </c>
      <c r="BK116" s="572">
        <f>BG116-BF116</f>
        <v>-34.200847996528864</v>
      </c>
      <c r="BL116" s="572">
        <f>BH116-BG116</f>
        <v>-47.894526497789002</v>
      </c>
    </row>
    <row r="117" spans="1:88" ht="6" customHeight="1">
      <c r="A117" s="125"/>
      <c r="B117" s="35"/>
      <c r="C117" s="36"/>
      <c r="D117" s="36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495"/>
      <c r="AN117" s="495"/>
      <c r="AO117" s="495"/>
      <c r="AP117" s="339"/>
      <c r="AQ117" s="339"/>
      <c r="AR117" s="339"/>
      <c r="AS117" s="339"/>
      <c r="AT117" s="339"/>
      <c r="AU117" s="339"/>
      <c r="AV117" s="339"/>
      <c r="AW117" s="339"/>
      <c r="AX117" s="342"/>
      <c r="AY117" s="293"/>
      <c r="AZ117" s="293"/>
      <c r="BA117" s="293"/>
      <c r="BB117" s="293"/>
      <c r="BC117" s="293"/>
      <c r="BD117" s="293"/>
      <c r="BE117" s="293"/>
      <c r="BF117" s="314"/>
      <c r="BG117" s="314"/>
      <c r="BH117" s="314"/>
      <c r="BI117" s="329"/>
      <c r="BJ117" s="329"/>
      <c r="BK117" s="570"/>
      <c r="BL117" s="570"/>
    </row>
    <row r="118" spans="1:88" ht="11.1" customHeight="1">
      <c r="A118" s="126" t="s">
        <v>42</v>
      </c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633"/>
      <c r="BG118" s="633"/>
      <c r="BH118" s="633"/>
      <c r="BI118" s="329"/>
      <c r="BJ118" s="329"/>
      <c r="BK118" s="570"/>
      <c r="BL118" s="570"/>
    </row>
    <row r="119" spans="1:88" ht="11.1" customHeight="1">
      <c r="A119" s="129" t="s">
        <v>133</v>
      </c>
      <c r="B119" s="51" t="s">
        <v>3</v>
      </c>
      <c r="C119" s="51" t="s">
        <v>3</v>
      </c>
      <c r="D119" s="51" t="s">
        <v>3</v>
      </c>
      <c r="E119" s="224" t="s">
        <v>3</v>
      </c>
      <c r="F119" s="224" t="s">
        <v>3</v>
      </c>
      <c r="G119" s="224" t="s">
        <v>3</v>
      </c>
      <c r="H119" s="224" t="s">
        <v>3</v>
      </c>
      <c r="I119" s="224" t="s">
        <v>3</v>
      </c>
      <c r="J119" s="224" t="s">
        <v>3</v>
      </c>
      <c r="K119" s="224" t="s">
        <v>3</v>
      </c>
      <c r="L119" s="224" t="s">
        <v>3</v>
      </c>
      <c r="M119" s="224" t="s">
        <v>3</v>
      </c>
      <c r="N119" s="224" t="s">
        <v>3</v>
      </c>
      <c r="O119" s="224" t="s">
        <v>3</v>
      </c>
      <c r="P119" s="224" t="s">
        <v>3</v>
      </c>
      <c r="Q119" s="342" t="s">
        <v>3</v>
      </c>
      <c r="R119" s="342" t="s">
        <v>3</v>
      </c>
      <c r="S119" s="342" t="s">
        <v>3</v>
      </c>
      <c r="T119" s="342" t="s">
        <v>3</v>
      </c>
      <c r="U119" s="342" t="s">
        <v>3</v>
      </c>
      <c r="V119" s="342" t="s">
        <v>3</v>
      </c>
      <c r="W119" s="33">
        <f>SUM('MasterA1(current$)'!W120)/0.4852</f>
        <v>142.20939818631493</v>
      </c>
      <c r="X119" s="33">
        <f>SUM('MasterA1(current$)'!X120)/0.5153</f>
        <v>31.049873859887445</v>
      </c>
      <c r="Y119" s="33">
        <f>SUM('MasterA1(current$)'!Y120)/0.53565</f>
        <v>24.269579016148608</v>
      </c>
      <c r="Z119" s="33">
        <f>SUM('MasterA1(current$)'!Z120)/0.55466</f>
        <v>23.437781704107017</v>
      </c>
      <c r="AA119" s="33">
        <f>SUM('MasterA1(current$)'!AA120)/0.5724</f>
        <v>20.964360587002094</v>
      </c>
      <c r="AB119" s="33">
        <f>SUM('MasterA1(current$)'!AB120)/0.58395</f>
        <v>15.412278448497304</v>
      </c>
      <c r="AC119" s="33">
        <f>SUM('MasterA1(current$)'!AC120)/0.59885</f>
        <v>16.698672455539786</v>
      </c>
      <c r="AD119" s="33">
        <f>SUM('MasterA1(current$)'!AD120)/0.61982</f>
        <v>17.747087864218642</v>
      </c>
      <c r="AE119" s="33">
        <f>SUM('MasterA1(current$)'!AE120)/0.64392</f>
        <v>17.082867436948689</v>
      </c>
      <c r="AF119" s="33">
        <f>SUM('MasterA1(current$)'!AF120)/0.66773</f>
        <v>20.966558339448579</v>
      </c>
      <c r="AG119" s="33">
        <f>SUM('MasterA1(current$)'!AG120)/0.68996</f>
        <v>20.291031364137051</v>
      </c>
      <c r="AH119" s="33">
        <f>SUM('MasterA1(current$)'!AH120)/0.70569</f>
        <v>24.089897830492141</v>
      </c>
      <c r="AI119" s="33">
        <f>SUM('MasterA1(current$)'!AI120)/0.72248</f>
        <v>23.530063115934006</v>
      </c>
      <c r="AJ119" s="33">
        <f>SUM('MasterA1(current$)'!AJ120)/0.73785</f>
        <v>24.395202276885545</v>
      </c>
      <c r="AK119" s="33">
        <f>SUM('MasterA1(current$)'!AK120)/0.75324</f>
        <v>25.224364080505548</v>
      </c>
      <c r="AL119" s="33">
        <f>SUM('MasterA1(current$)'!AL120)/0.76699</f>
        <v>23.46836334241646</v>
      </c>
      <c r="AM119" s="33">
        <f>SUM('MasterA1(current$)'!AM120)/0.78012</f>
        <v>29.482643695841663</v>
      </c>
      <c r="AN119" s="33">
        <f>SUM('MasterA1(current$)'!AN120)/0.78859</f>
        <v>26.629807631342015</v>
      </c>
      <c r="AO119" s="33">
        <f>SUM('MasterA1(current$)'!AO120)/0.80065</f>
        <v>26.228689190033098</v>
      </c>
      <c r="AP119" s="339">
        <f>SUM('MasterA1(current$)'!AP120)/0.81887</f>
        <v>29.308681475692111</v>
      </c>
      <c r="AQ119" s="339">
        <f>SUM('MasterA1(current$)'!AQ120)/0.83754</f>
        <v>29.849320629462476</v>
      </c>
      <c r="AR119" s="339">
        <f>SUM('MasterA1(current$)'!AR120)/0.85039</f>
        <v>27.046413998283143</v>
      </c>
      <c r="AS119" s="339">
        <f>SUM('MasterA1(current$)'!AS120)/0.86735</f>
        <v>26.517553467458352</v>
      </c>
      <c r="AT119" s="339">
        <f>SUM('MasterA1(current$)'!AT120)/0.8912</f>
        <v>25.807899461400361</v>
      </c>
      <c r="AU119" s="339">
        <f>SUM('MasterA1(current$)'!AU120)/0.91988</f>
        <v>23.91616297777971</v>
      </c>
      <c r="AV119" s="339">
        <f>SUM('MasterA1(current$)'!AV120)/0.94814</f>
        <v>25.312717531166285</v>
      </c>
      <c r="AW119" s="339">
        <f>SUM('MasterA1(current$)'!AW120)/0.97337</f>
        <v>25.04536594685505</v>
      </c>
      <c r="AX119" s="342">
        <f>('MasterA1(current$)'!AX120*100)/99.246</f>
        <v>27.698429491700761</v>
      </c>
      <c r="AY119" s="293">
        <f>('MasterA1(current$)'!AY120)</f>
        <v>28</v>
      </c>
      <c r="AZ119" s="293">
        <f>SUM('MasterA1(current$)'!AZ120*100)/101.221</f>
        <v>29.638118572233033</v>
      </c>
      <c r="BA119" s="293">
        <f>SUM('MasterA1(current$)'!BA120*100)/103.311</f>
        <v>30.97443641045</v>
      </c>
      <c r="BB119" s="293">
        <f>SUM('MasterA1(current$)'!BB120*100)/105.214</f>
        <v>29.463759575721863</v>
      </c>
      <c r="BC119" s="293">
        <f>SUM('MasterA1(current$)'!BC120*100)/106.913</f>
        <v>17.771459036786922</v>
      </c>
      <c r="BD119" s="293">
        <f>SUM('MasterA1(current$)'!BD120*100)/108.828</f>
        <v>29.404197449185869</v>
      </c>
      <c r="BE119" s="293">
        <f>SUM('MasterA1(current$)'!BE120*100)/109.998</f>
        <v>28.182330587828869</v>
      </c>
      <c r="BF119" s="314">
        <f>SUM('MasterA1(current$)'!BF120*100)/111.298</f>
        <v>26.056173516145844</v>
      </c>
      <c r="BG119" s="314">
        <f>SUM('MasterA1(current$)'!BG120*100)/113.198</f>
        <v>35.3363133624269</v>
      </c>
      <c r="BH119" s="314">
        <f>SUM('MasterA1(current$)'!BH120*100)/115.198</f>
        <v>31.250542544141393</v>
      </c>
      <c r="BI119" s="385">
        <f t="shared" ref="BI119:BI121" si="13">(BG119-BF119)/BF119</f>
        <v>0.35615896710737549</v>
      </c>
      <c r="BJ119" s="385">
        <f t="shared" ref="BJ119:BJ121" si="14">(BH119-BG119)/BG119</f>
        <v>-0.1156252712720707</v>
      </c>
      <c r="BK119" s="569">
        <f t="shared" ref="BK119:BK121" si="15">BG119-BF119</f>
        <v>9.280139846281056</v>
      </c>
      <c r="BL119" s="569">
        <f t="shared" ref="BL119:BL121" si="16">BH119-BG119</f>
        <v>-4.085770818285507</v>
      </c>
    </row>
    <row r="120" spans="1:88" ht="11.1" customHeight="1">
      <c r="A120" s="295" t="s">
        <v>135</v>
      </c>
      <c r="B120" s="120" t="s">
        <v>3</v>
      </c>
      <c r="C120" s="120" t="s">
        <v>3</v>
      </c>
      <c r="D120" s="120" t="s">
        <v>3</v>
      </c>
      <c r="E120" s="349" t="s">
        <v>3</v>
      </c>
      <c r="F120" s="349" t="s">
        <v>3</v>
      </c>
      <c r="G120" s="349" t="s">
        <v>3</v>
      </c>
      <c r="H120" s="349" t="s">
        <v>3</v>
      </c>
      <c r="I120" s="349" t="s">
        <v>3</v>
      </c>
      <c r="J120" s="349" t="s">
        <v>3</v>
      </c>
      <c r="K120" s="349" t="s">
        <v>3</v>
      </c>
      <c r="L120" s="349" t="s">
        <v>3</v>
      </c>
      <c r="M120" s="349" t="s">
        <v>3</v>
      </c>
      <c r="N120" s="349" t="s">
        <v>3</v>
      </c>
      <c r="O120" s="349" t="s">
        <v>3</v>
      </c>
      <c r="P120" s="349" t="s">
        <v>3</v>
      </c>
      <c r="Q120" s="349" t="s">
        <v>3</v>
      </c>
      <c r="R120" s="349" t="s">
        <v>3</v>
      </c>
      <c r="S120" s="349" t="s">
        <v>3</v>
      </c>
      <c r="T120" s="349" t="s">
        <v>3</v>
      </c>
      <c r="U120" s="349" t="s">
        <v>3</v>
      </c>
      <c r="V120" s="344">
        <f>SUM('MasterA1(current$)'!V121)/0.44377</f>
        <v>11.267097820943281</v>
      </c>
      <c r="W120" s="344">
        <f>SUM('MasterA1(current$)'!W121)/0.4852</f>
        <v>32.976092333058531</v>
      </c>
      <c r="X120" s="344">
        <f>SUM('MasterA1(current$)'!X121)/0.5153</f>
        <v>31.049873859887445</v>
      </c>
      <c r="Y120" s="344">
        <f>SUM('MasterA1(current$)'!Y121)/0.53565</f>
        <v>14.935125548399142</v>
      </c>
      <c r="Z120" s="344">
        <f>SUM('MasterA1(current$)'!Z121)/0.55466</f>
        <v>5.4087188547939276</v>
      </c>
      <c r="AA120" s="349" t="s">
        <v>3</v>
      </c>
      <c r="AB120" s="170" t="s">
        <v>3</v>
      </c>
      <c r="AC120" s="170" t="s">
        <v>3</v>
      </c>
      <c r="AD120" s="170" t="s">
        <v>3</v>
      </c>
      <c r="AE120" s="170" t="s">
        <v>3</v>
      </c>
      <c r="AF120" s="170" t="s">
        <v>3</v>
      </c>
      <c r="AG120" s="170" t="s">
        <v>3</v>
      </c>
      <c r="AH120" s="170" t="s">
        <v>3</v>
      </c>
      <c r="AI120" s="170" t="s">
        <v>3</v>
      </c>
      <c r="AJ120" s="170" t="s">
        <v>3</v>
      </c>
      <c r="AK120" s="170" t="s">
        <v>3</v>
      </c>
      <c r="AL120" s="170" t="s">
        <v>3</v>
      </c>
      <c r="AM120" s="170" t="s">
        <v>3</v>
      </c>
      <c r="AN120" s="170" t="s">
        <v>3</v>
      </c>
      <c r="AO120" s="170" t="s">
        <v>3</v>
      </c>
      <c r="AP120" s="170" t="s">
        <v>3</v>
      </c>
      <c r="AQ120" s="170" t="s">
        <v>3</v>
      </c>
      <c r="AR120" s="170" t="s">
        <v>3</v>
      </c>
      <c r="AS120" s="170" t="s">
        <v>3</v>
      </c>
      <c r="AT120" s="170" t="s">
        <v>3</v>
      </c>
      <c r="AU120" s="170" t="s">
        <v>3</v>
      </c>
      <c r="AV120" s="170" t="s">
        <v>3</v>
      </c>
      <c r="AW120" s="339">
        <f>SUM('MasterA1(current$)'!AW121)/0.97337</f>
        <v>1.027358558410471</v>
      </c>
      <c r="AX120" s="342">
        <f>('MasterA1(current$)'!AX121*100)/99.246</f>
        <v>1.0075972835177236</v>
      </c>
      <c r="AY120" s="293">
        <f>('MasterA1(current$)'!AY121)</f>
        <v>3</v>
      </c>
      <c r="AZ120" s="293">
        <f>SUM('MasterA1(current$)'!AZ121*100)/101.221</f>
        <v>3.9517491429644043</v>
      </c>
      <c r="BA120" s="293">
        <f>SUM('MasterA1(current$)'!BA121*100)/103.311</f>
        <v>3.87180455130625</v>
      </c>
      <c r="BB120" s="293">
        <f>SUM('MasterA1(current$)'!BB121*100)/105.214</f>
        <v>1.9008877145627008</v>
      </c>
      <c r="BC120" s="293">
        <f>SUM('MasterA1(current$)'!BC121*100)/106.913</f>
        <v>0.93533994930457476</v>
      </c>
      <c r="BD120" s="293">
        <f>SUM('MasterA1(current$)'!BD121*100)/108.828</f>
        <v>0.9188811702870584</v>
      </c>
      <c r="BE120" s="293">
        <f>SUM('MasterA1(current$)'!BE121*100)/109.998</f>
        <v>0.90910743831706031</v>
      </c>
      <c r="BF120" s="314" t="s">
        <v>3</v>
      </c>
      <c r="BG120" s="314" t="s">
        <v>3</v>
      </c>
      <c r="BH120" s="314" t="s">
        <v>3</v>
      </c>
      <c r="BI120" s="419" t="s">
        <v>9</v>
      </c>
      <c r="BJ120" s="419" t="s">
        <v>9</v>
      </c>
      <c r="BK120" s="573" t="s">
        <v>9</v>
      </c>
      <c r="BL120" s="573" t="s">
        <v>9</v>
      </c>
    </row>
    <row r="121" spans="1:88" ht="11.1" customHeight="1">
      <c r="A121" s="129" t="s">
        <v>134</v>
      </c>
      <c r="B121" s="120" t="s">
        <v>3</v>
      </c>
      <c r="C121" s="120" t="s">
        <v>3</v>
      </c>
      <c r="D121" s="120" t="s">
        <v>3</v>
      </c>
      <c r="E121" s="349" t="s">
        <v>3</v>
      </c>
      <c r="F121" s="349" t="s">
        <v>3</v>
      </c>
      <c r="G121" s="349" t="s">
        <v>3</v>
      </c>
      <c r="H121" s="349" t="s">
        <v>3</v>
      </c>
      <c r="I121" s="349" t="s">
        <v>3</v>
      </c>
      <c r="J121" s="349" t="s">
        <v>3</v>
      </c>
      <c r="K121" s="349" t="s">
        <v>3</v>
      </c>
      <c r="L121" s="349" t="s">
        <v>3</v>
      </c>
      <c r="M121" s="349" t="s">
        <v>3</v>
      </c>
      <c r="N121" s="349" t="s">
        <v>3</v>
      </c>
      <c r="O121" s="349" t="s">
        <v>3</v>
      </c>
      <c r="P121" s="349" t="s">
        <v>3</v>
      </c>
      <c r="Q121" s="349" t="s">
        <v>3</v>
      </c>
      <c r="R121" s="349" t="s">
        <v>3</v>
      </c>
      <c r="S121" s="349" t="s">
        <v>3</v>
      </c>
      <c r="T121" s="214">
        <f>SUM('MasterA1(current$)'!T122)/0.37602</f>
        <v>95.73958831977022</v>
      </c>
      <c r="U121" s="344">
        <f>SUM('MasterA1(current$)'!U122)/0.40706</f>
        <v>71.24256866309635</v>
      </c>
      <c r="V121" s="214">
        <f>SUM('MasterA1(current$)'!V122)/0.44377</f>
        <v>121.68465646618743</v>
      </c>
      <c r="W121" s="214">
        <f>SUM('MasterA1(current$)'!W122)/0.4852</f>
        <v>201.97856553998349</v>
      </c>
      <c r="X121" s="214">
        <f>SUM('MasterA1(current$)'!X122)/0.5153</f>
        <v>128.08072967203572</v>
      </c>
      <c r="Y121" s="214">
        <f>SUM('MasterA1(current$)'!Y122)/0.53565</f>
        <v>65.341174274246242</v>
      </c>
      <c r="Z121" s="214">
        <f>SUM('MasterA1(current$)'!Z122)/0.55466</f>
        <v>91.948220531496773</v>
      </c>
      <c r="AA121" s="214">
        <f>SUM('MasterA1(current$)'!AA122)/0.5724</f>
        <v>69.88120195667365</v>
      </c>
      <c r="AB121" s="214">
        <f>SUM('MasterA1(current$)'!AB122)/0.58395</f>
        <v>70.211490709821049</v>
      </c>
      <c r="AC121" s="214">
        <f>SUM('MasterA1(current$)'!AC122)/0.59885</f>
        <v>56.775486348835265</v>
      </c>
      <c r="AD121" s="214">
        <f>SUM('MasterA1(current$)'!AD122)/0.61982</f>
        <v>59.694750088735432</v>
      </c>
      <c r="AE121" s="214">
        <f>SUM('MasterA1(current$)'!AE122)/0.64392</f>
        <v>48.142626413219027</v>
      </c>
      <c r="AF121" s="214">
        <f>SUM('MasterA1(current$)'!AF122)/0.66773</f>
        <v>56.909229778503281</v>
      </c>
      <c r="AG121" s="214">
        <f>SUM('MasterA1(current$)'!AG122)/0.68996</f>
        <v>62.322453475563798</v>
      </c>
      <c r="AH121" s="214">
        <f>SUM('MasterA1(current$)'!AH122)/0.70569</f>
        <v>60.933270983009535</v>
      </c>
      <c r="AI121" s="214">
        <f>SUM('MasterA1(current$)'!AI122)/0.72248</f>
        <v>69.206067988041184</v>
      </c>
      <c r="AJ121" s="214">
        <f>SUM('MasterA1(current$)'!AJ122)/0.73785</f>
        <v>90.804364030629529</v>
      </c>
      <c r="AK121" s="214">
        <f>SUM('MasterA1(current$)'!AK122)/0.75324</f>
        <v>132.75981095002919</v>
      </c>
      <c r="AL121" s="214">
        <f>SUM('MasterA1(current$)'!AL122)/0.76699</f>
        <v>132.98739227369327</v>
      </c>
      <c r="AM121" s="214">
        <f>SUM('MasterA1(current$)'!AM122)/0.78012</f>
        <v>116.6487207096344</v>
      </c>
      <c r="AN121" s="214">
        <f>SUM('MasterA1(current$)'!AN122)/0.78859</f>
        <v>102.7149722923192</v>
      </c>
      <c r="AO121" s="214">
        <f>SUM('MasterA1(current$)'!AO122)/0.80065</f>
        <v>111.15968275775933</v>
      </c>
      <c r="AP121" s="339">
        <f>SUM('MasterA1(current$)'!AP122)/0.81887</f>
        <v>125.78309133317865</v>
      </c>
      <c r="AQ121" s="339">
        <f>SUM('MasterA1(current$)'!AQ122)/0.83754</f>
        <v>134.91892924517037</v>
      </c>
      <c r="AR121" s="339">
        <f>SUM('MasterA1(current$)'!AR122)/0.85039</f>
        <v>118.7690353837651</v>
      </c>
      <c r="AS121" s="339">
        <f>SUM('MasterA1(current$)'!AS122)/0.86735</f>
        <v>111.8348994062374</v>
      </c>
      <c r="AT121" s="339">
        <f>SUM('MasterA1(current$)'!AT122)/0.8912</f>
        <v>67.324955116696586</v>
      </c>
      <c r="AU121" s="339">
        <f>SUM('MasterA1(current$)'!AU122)/0.91988</f>
        <v>72.83558725051094</v>
      </c>
      <c r="AV121" s="192">
        <f>SUM('MasterA1(current$)'!AV122)/0.94814</f>
        <v>61.172400700318519</v>
      </c>
      <c r="AW121" s="192">
        <f>SUM('MasterA1(current$)'!AW122)/0.97337</f>
        <v>91.434911698531906</v>
      </c>
      <c r="AX121" s="342">
        <f>('MasterA1(current$)'!AX122*100)/99.246</f>
        <v>49.372266892368458</v>
      </c>
      <c r="AY121" s="293">
        <f>('MasterA1(current$)'!AY122)</f>
        <v>144</v>
      </c>
      <c r="AZ121" s="293">
        <f>SUM('MasterA1(current$)'!AZ122*100)/101.221</f>
        <v>422.83715829719125</v>
      </c>
      <c r="BA121" s="293">
        <f>SUM('MasterA1(current$)'!BA122*100)/103.311</f>
        <v>834.3738808064968</v>
      </c>
      <c r="BB121" s="293">
        <f>SUM('MasterA1(current$)'!BB122*100)/105.214</f>
        <v>725.18866310567034</v>
      </c>
      <c r="BC121" s="293">
        <f>SUM('MasterA1(current$)'!BC122*100)/106.913</f>
        <v>306.79150337190055</v>
      </c>
      <c r="BD121" s="293">
        <f>SUM('MasterA1(current$)'!BD122*100)/108.828</f>
        <v>207.66714448487522</v>
      </c>
      <c r="BE121" s="293">
        <f>SUM('MasterA1(current$)'!BE122*100)/109.998</f>
        <v>170.91219840360733</v>
      </c>
      <c r="BF121" s="314">
        <f>SUM('MasterA1(current$)'!BF122*100)/111.298</f>
        <v>159.93099606461931</v>
      </c>
      <c r="BG121" s="314">
        <f>SUM('MasterA1(current$)'!BG122*100)/113.198</f>
        <v>108.65916358946272</v>
      </c>
      <c r="BH121" s="314">
        <f>SUM('MasterA1(current$)'!BH122*100)/115.198</f>
        <v>144.09972395354086</v>
      </c>
      <c r="BI121" s="385">
        <f t="shared" si="13"/>
        <v>-0.32058721409100999</v>
      </c>
      <c r="BJ121" s="385">
        <f t="shared" si="14"/>
        <v>0.32616264651161925</v>
      </c>
      <c r="BK121" s="569">
        <f t="shared" si="15"/>
        <v>-51.271832475156586</v>
      </c>
      <c r="BL121" s="569">
        <f t="shared" si="16"/>
        <v>35.440560364078138</v>
      </c>
    </row>
    <row r="122" spans="1:88" ht="11.1" customHeight="1">
      <c r="A122" s="128" t="s">
        <v>32</v>
      </c>
      <c r="B122" s="142" t="s">
        <v>3</v>
      </c>
      <c r="C122" s="142" t="s">
        <v>3</v>
      </c>
      <c r="D122" s="142" t="s">
        <v>3</v>
      </c>
      <c r="E122" s="222" t="s">
        <v>3</v>
      </c>
      <c r="F122" s="222" t="s">
        <v>3</v>
      </c>
      <c r="G122" s="222" t="s">
        <v>3</v>
      </c>
      <c r="H122" s="222" t="s">
        <v>3</v>
      </c>
      <c r="I122" s="222" t="s">
        <v>3</v>
      </c>
      <c r="J122" s="222" t="s">
        <v>3</v>
      </c>
      <c r="K122" s="222" t="s">
        <v>3</v>
      </c>
      <c r="L122" s="222" t="s">
        <v>3</v>
      </c>
      <c r="M122" s="222" t="s">
        <v>3</v>
      </c>
      <c r="N122" s="222" t="s">
        <v>3</v>
      </c>
      <c r="O122" s="222" t="s">
        <v>3</v>
      </c>
      <c r="P122" s="222" t="s">
        <v>3</v>
      </c>
      <c r="Q122" s="222" t="s">
        <v>3</v>
      </c>
      <c r="R122" s="222" t="s">
        <v>3</v>
      </c>
      <c r="S122" s="222" t="s">
        <v>3</v>
      </c>
      <c r="T122" s="484">
        <f>SUM('MasterA1(current$)'!T123)/0.37602</f>
        <v>95.73958831977022</v>
      </c>
      <c r="U122" s="484">
        <f>SUM('MasterA1(current$)'!U123)/0.40709</f>
        <v>71.237318529072198</v>
      </c>
      <c r="V122" s="484">
        <f>SUM('MasterA1(current$)'!V123)/0.44377</f>
        <v>132.95175428713071</v>
      </c>
      <c r="W122" s="484">
        <f>SUM('MasterA1(current$)'!W123)/0.4852</f>
        <v>377.16405605935694</v>
      </c>
      <c r="X122" s="484">
        <f>SUM('MasterA1(current$)'!X123)/0.5153</f>
        <v>190.1804773918106</v>
      </c>
      <c r="Y122" s="484">
        <f>SUM('MasterA1(current$)'!Y123)/0.53565</f>
        <v>104.545878838794</v>
      </c>
      <c r="Z122" s="484">
        <f>SUM('MasterA1(current$)'!Z123)/0.55466</f>
        <v>120.79472109039772</v>
      </c>
      <c r="AA122" s="484">
        <f>SUM('MasterA1(current$)'!AA123)/0.5724</f>
        <v>90.845562543675754</v>
      </c>
      <c r="AB122" s="484">
        <f>SUM('MasterA1(current$)'!AB123)/0.58395</f>
        <v>85.623769158318353</v>
      </c>
      <c r="AC122" s="484">
        <f>SUM('MasterA1(current$)'!AC123)/0.59885</f>
        <v>73.474158804375051</v>
      </c>
      <c r="AD122" s="484">
        <f>SUM('MasterA1(current$)'!AD123)/0.61982</f>
        <v>77.441837952954074</v>
      </c>
      <c r="AE122" s="484">
        <f>SUM('MasterA1(current$)'!AE123)/0.64392</f>
        <v>65.225493850167723</v>
      </c>
      <c r="AF122" s="484">
        <f>SUM('MasterA1(current$)'!AF123)/0.66773</f>
        <v>77.875788117951856</v>
      </c>
      <c r="AG122" s="484">
        <f>SUM('MasterA1(current$)'!AG123)/0.68996</f>
        <v>82.613484839700845</v>
      </c>
      <c r="AH122" s="484">
        <f>SUM('MasterA1(current$)'!AH123)/0.70569</f>
        <v>85.02316881350167</v>
      </c>
      <c r="AI122" s="484">
        <f>SUM('MasterA1(current$)'!AI123)/0.72248</f>
        <v>92.736131103975197</v>
      </c>
      <c r="AJ122" s="484">
        <f>SUM('MasterA1(current$)'!AJ123)/0.73785</f>
        <v>115.19956630751507</v>
      </c>
      <c r="AK122" s="484">
        <f>SUM('MasterA1(current$)'!AK123)/0.75324</f>
        <v>157.98417503053474</v>
      </c>
      <c r="AL122" s="484">
        <f>SUM('MasterA1(current$)'!AL123)/0.76699</f>
        <v>156.45575561610974</v>
      </c>
      <c r="AM122" s="484">
        <f>SUM('MasterA1(current$)'!AM123)/0.78012</f>
        <v>146.13136440547606</v>
      </c>
      <c r="AN122" s="484">
        <f>SUM('MasterA1(current$)'!AN123)/0.78859</f>
        <v>129.34477992366121</v>
      </c>
      <c r="AO122" s="484">
        <f>SUM('MasterA1(current$)'!AO123)/0.80065</f>
        <v>137.38837194779242</v>
      </c>
      <c r="AP122" s="133">
        <f>SUM('MasterA1(current$)'!AP123)/0.81887</f>
        <v>155.09177280887076</v>
      </c>
      <c r="AQ122" s="133">
        <f>SUM('MasterA1(current$)'!AQ123)/0.83754</f>
        <v>164.76824987463286</v>
      </c>
      <c r="AR122" s="133">
        <f>SUM('MasterA1(current$)'!AR123)/0.85039</f>
        <v>145.81544938204823</v>
      </c>
      <c r="AS122" s="133">
        <f>SUM('MasterA1(current$)'!AS123)/0.86735</f>
        <v>138.35245287369574</v>
      </c>
      <c r="AT122" s="133">
        <f>SUM('MasterA1(current$)'!AT123)/0.8912</f>
        <v>93.132854578096953</v>
      </c>
      <c r="AU122" s="133">
        <f>SUM('MasterA1(current$)'!AU123)/0.91988</f>
        <v>96.751750228290646</v>
      </c>
      <c r="AV122" s="138">
        <f>SUM('MasterA1(current$)'!AV123)/0.94814</f>
        <v>86.485118231484805</v>
      </c>
      <c r="AW122" s="138">
        <f>SUM('MasterA1(current$)'!AW123)/0.97337</f>
        <v>117.50763620379743</v>
      </c>
      <c r="AX122" s="672">
        <f>('MasterA1(current$)'!AX123*100)/99.246</f>
        <v>78.078293667586948</v>
      </c>
      <c r="AY122" s="398">
        <f>('MasterA1(current$)'!AY123)</f>
        <v>175</v>
      </c>
      <c r="AZ122" s="377">
        <f>SUM('MasterA1(current$)'!AZ123*100)/101.221</f>
        <v>456.42702601238869</v>
      </c>
      <c r="BA122" s="377">
        <f>SUM('MasterA1(current$)'!BA123*100)/103.311</f>
        <v>869.22012176825308</v>
      </c>
      <c r="BB122" s="377">
        <f>SUM('MasterA1(current$)'!BB123*100)/105.214</f>
        <v>756.5533103959549</v>
      </c>
      <c r="BC122" s="377">
        <f>SUM('MasterA1(current$)'!BC123*100)/106.913</f>
        <v>325.49830235799203</v>
      </c>
      <c r="BD122" s="377">
        <f>SUM('MasterA1(current$)'!BD123*100)/108.828</f>
        <v>237.99022310434813</v>
      </c>
      <c r="BE122" s="377">
        <f>SUM('MasterA1(current$)'!BE123*100)/109.998</f>
        <v>200.00363642975327</v>
      </c>
      <c r="BF122" s="376">
        <f>SUM('MasterA1(current$)'!BF123*100)/111.298</f>
        <v>185.98716958076514</v>
      </c>
      <c r="BG122" s="376">
        <f>SUM('MasterA1(current$)'!BG123*100)/113.198</f>
        <v>143.99547695188963</v>
      </c>
      <c r="BH122" s="376">
        <f>SUM('MasterA1(current$)'!BH123*100)/115.198</f>
        <v>175.35026649768227</v>
      </c>
      <c r="BI122" s="415">
        <f>(BG122-BF122)/BF122</f>
        <v>-0.22577736261877232</v>
      </c>
      <c r="BJ122" s="415">
        <f>(BH122-BG122)/BG122</f>
        <v>0.21774843355856657</v>
      </c>
      <c r="BK122" s="572">
        <f>BG122-BF122</f>
        <v>-41.991692628875512</v>
      </c>
      <c r="BL122" s="572">
        <f>BH122-BG122</f>
        <v>31.354789545792642</v>
      </c>
    </row>
    <row r="123" spans="1:88" ht="11.1" customHeight="1">
      <c r="A123" s="128"/>
      <c r="B123" s="120"/>
      <c r="C123" s="120"/>
      <c r="D123" s="120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49"/>
      <c r="P123" s="344"/>
      <c r="Q123" s="344"/>
      <c r="R123" s="344"/>
      <c r="S123" s="344"/>
      <c r="T123" s="344"/>
      <c r="U123" s="344"/>
      <c r="V123" s="344"/>
      <c r="W123" s="344"/>
      <c r="X123" s="344"/>
      <c r="Y123" s="344"/>
      <c r="Z123" s="344"/>
      <c r="AA123" s="344"/>
      <c r="AB123" s="344"/>
      <c r="AC123" s="344"/>
      <c r="AD123" s="344"/>
      <c r="AE123" s="344"/>
      <c r="AF123" s="344"/>
      <c r="AG123" s="344"/>
      <c r="AH123" s="344"/>
      <c r="AI123" s="344"/>
      <c r="AJ123" s="344"/>
      <c r="AK123" s="344"/>
      <c r="AL123" s="344"/>
      <c r="AM123" s="344"/>
      <c r="AN123" s="344"/>
      <c r="AO123" s="344"/>
      <c r="AP123" s="344"/>
      <c r="AQ123" s="344"/>
      <c r="AR123" s="344"/>
      <c r="AS123" s="344"/>
      <c r="AT123" s="344"/>
      <c r="AU123" s="344"/>
      <c r="AV123" s="344"/>
      <c r="AW123" s="344"/>
      <c r="AX123" s="344"/>
      <c r="AY123" s="344"/>
      <c r="AZ123" s="344"/>
      <c r="BA123" s="344"/>
      <c r="BB123" s="344"/>
      <c r="BC123" s="344"/>
      <c r="BD123" s="344"/>
      <c r="BE123" s="344"/>
      <c r="BF123" s="277"/>
      <c r="BG123" s="277"/>
      <c r="BH123" s="277"/>
      <c r="BI123" s="391"/>
      <c r="BJ123" s="391"/>
      <c r="BK123" s="576"/>
      <c r="BL123" s="576"/>
    </row>
    <row r="124" spans="1:88" ht="11.1" customHeight="1">
      <c r="A124" s="129" t="s">
        <v>136</v>
      </c>
      <c r="B124" s="148">
        <f>SUM('MasterA1(current$)'!B125)/0.1756</f>
        <v>68.337129840546694</v>
      </c>
      <c r="C124" s="65">
        <f>SUM('MasterA1(current$)'!C125)/0.178</f>
        <v>78.651685393258433</v>
      </c>
      <c r="D124" s="65">
        <f>SUM('MasterA1(current$)'!D125)/0.1798</f>
        <v>111.23470522803116</v>
      </c>
      <c r="E124" s="344">
        <f>SUM('MasterA1(current$)'!E125)/0.182</f>
        <v>186.81318681318683</v>
      </c>
      <c r="F124" s="344">
        <f>SUM('MasterA1(current$)'!F125)/0.1842</f>
        <v>190.01085776330075</v>
      </c>
      <c r="G124" s="344">
        <f>SUM('MasterA1(current$)'!G125)/0.18702</f>
        <v>171.10469468506042</v>
      </c>
      <c r="H124" s="344">
        <f>SUM('MasterA1(current$)'!H125)/0.19227</f>
        <v>135.22650439486139</v>
      </c>
      <c r="I124" s="344">
        <f>SUM('MasterA1(current$)'!I125)/0.19786</f>
        <v>166.78459516830083</v>
      </c>
      <c r="J124" s="344">
        <f>SUM('MasterA1(current$)'!J125)/0.20627</f>
        <v>193.92058951859212</v>
      </c>
      <c r="K124" s="344">
        <f>SUM('MasterA1(current$)'!K125)/0.21642</f>
        <v>244.89418722853711</v>
      </c>
      <c r="L124" s="344">
        <f>SUM('MasterA1(current$)'!L125)/0.22784</f>
        <v>285.28792134831463</v>
      </c>
      <c r="M124" s="344">
        <f>SUM('MasterA1(current$)'!M125)/0.23941</f>
        <v>284.03157762833632</v>
      </c>
      <c r="N124" s="344">
        <f>SUM('MasterA1(current$)'!N125)/0.24978</f>
        <v>340.29946352790455</v>
      </c>
      <c r="O124" s="344">
        <f>SUM('MasterA1(current$)'!O125)/0.26337</f>
        <v>660.66750199339333</v>
      </c>
      <c r="P124" s="344">
        <f>SUM('MasterA1(current$)'!P125)/0.28703</f>
        <v>365.81541999094168</v>
      </c>
      <c r="Q124" s="344">
        <f>SUM('MasterA1(current$)'!Q125)/0.31361</f>
        <v>331.62207837760275</v>
      </c>
      <c r="R124" s="344">
        <f>SUM('MasterA1(current$)'!R125)/0.33083</f>
        <v>544.08608650968779</v>
      </c>
      <c r="S124" s="344">
        <f>SUM('MasterA1(current$)'!S125)/0.35135</f>
        <v>657.46406716948911</v>
      </c>
      <c r="T124" s="344">
        <f>SUM('MasterA1(current$)'!T125)/0.37602</f>
        <v>720.70634540715912</v>
      </c>
      <c r="U124" s="344">
        <f>SUM('MasterA1(current$)'!U125)/0.40706</f>
        <v>761.5584926055127</v>
      </c>
      <c r="V124" s="344">
        <f>SUM('MasterA1(current$)'!V125)/0.44377</f>
        <v>851.79259526331214</v>
      </c>
      <c r="W124" s="344">
        <f>SUM('MasterA1(current$)'!W125)/0.4852</f>
        <v>859.43940643033795</v>
      </c>
      <c r="X124" s="344">
        <f>SUM('MasterA1(current$)'!X125)/0.5153</f>
        <v>857.75276537939067</v>
      </c>
      <c r="Y124" s="344">
        <f>SUM('MasterA1(current$)'!Y125)/0.53565</f>
        <v>961.44870717819481</v>
      </c>
      <c r="Z124" s="344">
        <f>SUM('MasterA1(current$)'!Z125)/0.55466</f>
        <v>832.94270363826479</v>
      </c>
      <c r="AA124" s="344">
        <f>SUM('MasterA1(current$)'!AA125)/0.5724</f>
        <v>817.6100628930817</v>
      </c>
      <c r="AB124" s="344">
        <f>SUM('MasterA1(current$)'!AB125)/0.58395</f>
        <v>720.95213631304057</v>
      </c>
      <c r="AC124" s="344">
        <f>SUM('MasterA1(current$)'!AC125)/0.59885</f>
        <v>657.92769474826753</v>
      </c>
      <c r="AD124" s="344">
        <f>SUM('MasterA1(current$)'!AD125)/0.61982</f>
        <v>375.91558839663128</v>
      </c>
      <c r="AE124" s="344">
        <f>SUM('MasterA1(current$)'!AE125)/0.64392</f>
        <v>608.77127593489865</v>
      </c>
      <c r="AF124" s="344">
        <f>SUM('MasterA1(current$)'!AF125)/0.66773</f>
        <v>585.56602219459955</v>
      </c>
      <c r="AG124" s="344">
        <f>SUM('MasterA1(current$)'!AG125)/0.68996</f>
        <v>631.92069105455391</v>
      </c>
      <c r="AH124" s="344">
        <f>SUM('MasterA1(current$)'!AH125)/0.70569</f>
        <v>765.20851932151504</v>
      </c>
      <c r="AI124" s="344">
        <f>SUM('MasterA1(current$)'!AI125)/0.72248</f>
        <v>678.21946628280364</v>
      </c>
      <c r="AJ124" s="344">
        <f>SUM('MasterA1(current$)'!AJ125)/0.73785</f>
        <v>737.27722436809654</v>
      </c>
      <c r="AK124" s="344">
        <f>SUM('MasterA1(current$)'!AK125)/0.75324</f>
        <v>719.55817534915832</v>
      </c>
      <c r="AL124" s="344">
        <f>SUM('MasterA1(current$)'!AL125)/0.76699</f>
        <v>667.54455729540155</v>
      </c>
      <c r="AM124" s="344">
        <f>SUM('MasterA1(current$)'!AM125)/0.78012</f>
        <v>653.74557760344555</v>
      </c>
      <c r="AN124" s="344">
        <f>SUM('MasterA1(current$)'!AN125)/0.78859</f>
        <v>623.89835022001296</v>
      </c>
      <c r="AO124" s="344">
        <f>SUM('MasterA1(current$)'!AO125)/0.80065</f>
        <v>597.01492537313436</v>
      </c>
      <c r="AP124" s="332">
        <f>SUM('MasterA1(current$)'!AP125)/0.81887</f>
        <v>586.17362951384223</v>
      </c>
      <c r="AQ124" s="332">
        <f>SUM('MasterA1(current$)'!AQ125)/0.83754</f>
        <v>598.18038541442797</v>
      </c>
      <c r="AR124" s="332">
        <f>SUM('MasterA1(current$)'!AR125)/0.85039</f>
        <v>606.7804183962653</v>
      </c>
      <c r="AS124" s="332">
        <f>SUM('MasterA1(current$)'!AS125)/0.86735</f>
        <v>662.93883668645879</v>
      </c>
      <c r="AT124" s="332">
        <f>SUM('MasterA1(current$)'!AT125)/0.8912</f>
        <v>690.08078994614004</v>
      </c>
      <c r="AU124" s="332">
        <f>SUM('MasterA1(current$)'!AU125)/0.91988</f>
        <v>700.09131625864245</v>
      </c>
      <c r="AV124" s="332">
        <f>SUM('MasterA1(current$)'!AV125)/0.94814</f>
        <v>716.13896681924609</v>
      </c>
      <c r="AW124" s="332">
        <f>SUM('MasterA1(current$)'!AW125)/0.97337</f>
        <v>776.68307015831601</v>
      </c>
      <c r="AX124" s="170">
        <f>('MasterA1(current$)'!AX125*100)/99.246</f>
        <v>881.64762307800822</v>
      </c>
      <c r="AY124" s="293">
        <f>('MasterA1(current$)'!AY125)</f>
        <v>989</v>
      </c>
      <c r="AZ124" s="293">
        <f>SUM('MasterA1(current$)'!AZ125*100)/101.221</f>
        <v>1064.0084567431659</v>
      </c>
      <c r="BA124" s="293">
        <f>SUM('MasterA1(current$)'!BA125*100)/103.311</f>
        <v>1041.5154243013812</v>
      </c>
      <c r="BB124" s="293">
        <f>SUM('MasterA1(current$)'!BB125*100)/105.214</f>
        <v>1023.6280342920144</v>
      </c>
      <c r="BC124" s="293">
        <f>SUM('MasterA1(current$)'!BC125*100)/106.913</f>
        <v>960.59412793579827</v>
      </c>
      <c r="BD124" s="293">
        <f>SUM('MasterA1(current$)'!BD125*100)/108.828</f>
        <v>917.04340794648431</v>
      </c>
      <c r="BE124" s="293">
        <f>SUM('MasterA1(current$)'!BE125*100)/109.998</f>
        <v>940.92619865815743</v>
      </c>
      <c r="BF124" s="314">
        <f>SUM('MasterA1(current$)'!BF125*100)/111.298</f>
        <v>880.51896709734228</v>
      </c>
      <c r="BG124" s="314">
        <f>SUM('MasterA1(current$)'!BG125*100)/113.198</f>
        <v>916.0939239209174</v>
      </c>
      <c r="BH124" s="314">
        <f>SUM('MasterA1(current$)'!BH125*100)/115.198</f>
        <v>835.08394242955615</v>
      </c>
      <c r="BI124" s="385">
        <f t="shared" ref="BI124" si="17">(BG124-BF124)/BF124</f>
        <v>4.0402260658676158E-2</v>
      </c>
      <c r="BJ124" s="385">
        <f t="shared" ref="BJ124" si="18">(BH124-BG124)/BG124</f>
        <v>-8.8429777096037721E-2</v>
      </c>
      <c r="BK124" s="569">
        <f t="shared" ref="BK124" si="19">BG124-BF124</f>
        <v>35.574956823575121</v>
      </c>
      <c r="BL124" s="569">
        <f t="shared" ref="BL124" si="20">BH124-BG124</f>
        <v>-81.009981491361259</v>
      </c>
    </row>
    <row r="125" spans="1:88" ht="11.1" customHeight="1">
      <c r="A125" s="129"/>
      <c r="B125" s="148"/>
      <c r="C125" s="65"/>
      <c r="D125" s="65"/>
      <c r="E125" s="344"/>
      <c r="F125" s="344"/>
      <c r="G125" s="344"/>
      <c r="H125" s="344"/>
      <c r="I125" s="344"/>
      <c r="J125" s="344"/>
      <c r="K125" s="344"/>
      <c r="L125" s="344"/>
      <c r="M125" s="344"/>
      <c r="N125" s="344"/>
      <c r="O125" s="344"/>
      <c r="P125" s="344"/>
      <c r="Q125" s="344"/>
      <c r="R125" s="344"/>
      <c r="S125" s="344"/>
      <c r="T125" s="344"/>
      <c r="U125" s="344"/>
      <c r="V125" s="344"/>
      <c r="W125" s="344"/>
      <c r="X125" s="344"/>
      <c r="Y125" s="344"/>
      <c r="Z125" s="344"/>
      <c r="AA125" s="344"/>
      <c r="AB125" s="344"/>
      <c r="AC125" s="344"/>
      <c r="AD125" s="344"/>
      <c r="AE125" s="344"/>
      <c r="AF125" s="344"/>
      <c r="AG125" s="344"/>
      <c r="AH125" s="344"/>
      <c r="AI125" s="344"/>
      <c r="AJ125" s="344"/>
      <c r="AK125" s="344"/>
      <c r="AL125" s="344"/>
      <c r="AM125" s="344"/>
      <c r="AN125" s="344"/>
      <c r="AO125" s="344"/>
      <c r="AP125" s="332"/>
      <c r="AQ125" s="332"/>
      <c r="AR125" s="332"/>
      <c r="AS125" s="332"/>
      <c r="AT125" s="332"/>
      <c r="AU125" s="332"/>
      <c r="AV125" s="332"/>
      <c r="AW125" s="332"/>
      <c r="AX125" s="170"/>
      <c r="AY125" s="293"/>
      <c r="AZ125" s="293"/>
      <c r="BA125" s="293"/>
      <c r="BB125" s="293"/>
      <c r="BC125" s="293"/>
      <c r="BD125" s="293"/>
      <c r="BE125" s="293"/>
      <c r="BF125" s="314"/>
      <c r="BG125" s="314"/>
      <c r="BH125" s="314"/>
      <c r="BI125" s="385"/>
      <c r="BJ125" s="385"/>
      <c r="BK125" s="569"/>
      <c r="BL125" s="569"/>
    </row>
    <row r="126" spans="1:88" ht="10.95" customHeight="1">
      <c r="A126" s="121" t="s">
        <v>137</v>
      </c>
      <c r="B126" s="148">
        <f>SUM('MasterA1(current$)'!B127)/0.1756</f>
        <v>74.031890660592254</v>
      </c>
      <c r="C126" s="65">
        <f>SUM('MasterA1(current$)'!C127)/0.178</f>
        <v>151.68539325842698</v>
      </c>
      <c r="D126" s="65">
        <f>SUM('MasterA1(current$)'!D127)/0.1798</f>
        <v>216.90767519466075</v>
      </c>
      <c r="E126" s="344">
        <f>SUM('MasterA1(current$)'!E127)/0.182</f>
        <v>241.75824175824175</v>
      </c>
      <c r="F126" s="344">
        <f>SUM('MasterA1(current$)'!F127)/0.1842</f>
        <v>287.73072747014112</v>
      </c>
      <c r="G126" s="344">
        <f>SUM('MasterA1(current$)'!G127)/0.18702</f>
        <v>320.82130253448832</v>
      </c>
      <c r="H126" s="344">
        <f>SUM('MasterA1(current$)'!H127)/0.19227</f>
        <v>353.66931918656059</v>
      </c>
      <c r="I126" s="344">
        <f>SUM('MasterA1(current$)'!I127)/0.19786</f>
        <v>414.43444860002018</v>
      </c>
      <c r="J126" s="344">
        <f>SUM('MasterA1(current$)'!J127)/0.20627</f>
        <v>562.36970960391716</v>
      </c>
      <c r="K126" s="344">
        <f>SUM('MasterA1(current$)'!K127)/0.21642</f>
        <v>767.0270769799464</v>
      </c>
      <c r="L126" s="344">
        <f>SUM('MasterA1(current$)'!L127)/0.22784</f>
        <v>763.69382022471916</v>
      </c>
      <c r="M126" s="344">
        <f>SUM('MasterA1(current$)'!M127)/0.23941</f>
        <v>931.45649722233816</v>
      </c>
      <c r="N126" s="344">
        <f>SUM('MasterA1(current$)'!N127)/0.24978</f>
        <v>1373.208423412603</v>
      </c>
      <c r="O126" s="344">
        <f>SUM('MasterA1(current$)'!O127)/0.26337</f>
        <v>1628.8871169837112</v>
      </c>
      <c r="P126" s="344">
        <f>SUM('MasterA1(current$)'!P127)/0.28703</f>
        <v>1529.4568512002229</v>
      </c>
      <c r="Q126" s="344">
        <f>SUM('MasterA1(current$)'!Q127)/0.31361</f>
        <v>1922.7703198239851</v>
      </c>
      <c r="R126" s="344">
        <f>SUM('MasterA1(current$)'!R127)/0.33083</f>
        <v>2082.6406311398605</v>
      </c>
      <c r="S126" s="344">
        <f>SUM('MasterA1(current$)'!S127)/0.35135</f>
        <v>2373.7014373132206</v>
      </c>
      <c r="T126" s="344">
        <f>SUM('MasterA1(current$)'!T127)/0.37602</f>
        <v>2350.9387798521352</v>
      </c>
      <c r="U126" s="344">
        <f>SUM('MasterA1(current$)'!U127)/0.40706</f>
        <v>2567.189112170196</v>
      </c>
      <c r="V126" s="344">
        <f>SUM('MasterA1(current$)'!V127)/0.44377</f>
        <v>2884.3770421614799</v>
      </c>
      <c r="W126" s="344">
        <f>SUM('MasterA1(current$)'!W127)/0.4852</f>
        <v>2864.7980214344598</v>
      </c>
      <c r="X126" s="344">
        <f>SUM('MasterA1(current$)'!X127)/0.5153</f>
        <v>2645.061129439162</v>
      </c>
      <c r="Y126" s="344">
        <f>SUM('MasterA1(current$)'!Y127)/0.53565</f>
        <v>2583.7767198730517</v>
      </c>
      <c r="Z126" s="344">
        <f>SUM('MasterA1(current$)'!Z127)/0.55466</f>
        <v>2648.4693325640933</v>
      </c>
      <c r="AA126" s="344">
        <f>SUM('MasterA1(current$)'!AA127)/0.5724</f>
        <v>2901.8169112508735</v>
      </c>
      <c r="AB126" s="344">
        <f>SUM('MasterA1(current$)'!AB127)/0.58395</f>
        <v>3051.6311328024663</v>
      </c>
      <c r="AC126" s="344">
        <f>SUM('MasterA1(current$)'!AC127)/0.59885</f>
        <v>3381.4811722468066</v>
      </c>
      <c r="AD126" s="344">
        <f>SUM('MasterA1(current$)'!AD127)/0.61982</f>
        <v>3930.1732761124194</v>
      </c>
      <c r="AE126" s="344">
        <f>SUM('MasterA1(current$)'!AE127)/0.64392</f>
        <v>4115.4180643558202</v>
      </c>
      <c r="AF126" s="344">
        <f>SUM('MasterA1(current$)'!AF127)/0.66773</f>
        <v>4395.4891947343986</v>
      </c>
      <c r="AG126" s="344">
        <f>SUM('MasterA1(current$)'!AG127)/0.68996</f>
        <v>4985.7962780451044</v>
      </c>
      <c r="AH126" s="344">
        <f>SUM('MasterA1(current$)'!AH127)/0.70569</f>
        <v>5421.6440646742903</v>
      </c>
      <c r="AI126" s="344">
        <f>SUM('MasterA1(current$)'!AI127)/0.72248</f>
        <v>5572.472594397077</v>
      </c>
      <c r="AJ126" s="344">
        <f>SUM('MasterA1(current$)'!AJ127)/0.73785</f>
        <v>5587.8566104221727</v>
      </c>
      <c r="AK126" s="344">
        <f>SUM('MasterA1(current$)'!AK127)/0.75324</f>
        <v>5740.5342254792631</v>
      </c>
      <c r="AL126" s="344">
        <f>SUM('MasterA1(current$)'!AL127)/0.76699</f>
        <v>5109.5842188294509</v>
      </c>
      <c r="AM126" s="344">
        <f>SUM('MasterA1(current$)'!AM127)/0.78012</f>
        <v>5409.4241911500794</v>
      </c>
      <c r="AN126" s="344">
        <f>SUM('MasterA1(current$)'!AN127)/0.78859</f>
        <v>5176.3273691018148</v>
      </c>
      <c r="AO126" s="344">
        <f>SUM('MasterA1(current$)'!AO127)/0.80065</f>
        <v>5424.3427215387501</v>
      </c>
      <c r="AP126" s="332">
        <f>SUM('MasterA1(current$)'!AP127)/0.81887</f>
        <v>5335.4012236374519</v>
      </c>
      <c r="AQ126" s="332">
        <f>SUM('MasterA1(current$)'!AQ127)/0.83754</f>
        <v>5302.4333166177139</v>
      </c>
      <c r="AR126" s="332">
        <f>SUM('MasterA1(current$)'!AR127)/0.85039</f>
        <v>5338.7269370524118</v>
      </c>
      <c r="AS126" s="332">
        <f>SUM('MasterA1(current$)'!AS127)/0.86735</f>
        <v>5258.546146307719</v>
      </c>
      <c r="AT126" s="332">
        <f>SUM('MasterA1(current$)'!AT127)/0.8912</f>
        <v>5127.9174147217236</v>
      </c>
      <c r="AU126" s="332">
        <f>SUM('MasterA1(current$)'!AU127)/0.91988</f>
        <v>5200.6783493499152</v>
      </c>
      <c r="AV126" s="192">
        <f>SUM('MasterA1(current$)'!AV127)/0.94814</f>
        <v>5441.1795726369528</v>
      </c>
      <c r="AW126" s="192">
        <f>SUM('MasterA1(current$)'!AW127)/0.97337</f>
        <v>4997.0720281085305</v>
      </c>
      <c r="AX126" s="170">
        <f>('MasterA1(current$)'!AX127*100)/99.246</f>
        <v>4809.2618342300948</v>
      </c>
      <c r="AY126" s="293">
        <f>('MasterA1(current$)'!AY127)</f>
        <v>5092</v>
      </c>
      <c r="AZ126" s="293">
        <f>SUM('MasterA1(current$)'!AZ127*100)/101.221</f>
        <v>5326.9578447160175</v>
      </c>
      <c r="BA126" s="293">
        <f>SUM('MasterA1(current$)'!BA127*100)/103.311</f>
        <v>5389.5519354182998</v>
      </c>
      <c r="BB126" s="293">
        <f>SUM('MasterA1(current$)'!BB127*100)/105.214</f>
        <v>5443.191970650294</v>
      </c>
      <c r="BC126" s="293">
        <f>SUM('MasterA1(current$)'!BC127*100)/106.913</f>
        <v>4948.8836717705053</v>
      </c>
      <c r="BD126" s="293">
        <f>SUM('MasterA1(current$)'!BD127*100)/108.828</f>
        <v>5789.8702539787555</v>
      </c>
      <c r="BE126" s="293">
        <f>SUM('MasterA1(current$)'!BE127*100)/109.998</f>
        <v>4706.4492081674207</v>
      </c>
      <c r="BF126" s="314">
        <f>SUM('MasterA1(current$)'!BF127*100)/111.298</f>
        <v>4834.7679203579582</v>
      </c>
      <c r="BG126" s="314">
        <f>SUM('MasterA1(current$)'!BG127*100)/113.198</f>
        <v>4827.8238131415756</v>
      </c>
      <c r="BH126" s="314">
        <f>SUM('MasterA1(current$)'!BH127*100)/115.198</f>
        <v>3562.5618500321189</v>
      </c>
      <c r="BI126" s="385">
        <f t="shared" ref="BI126" si="21">(BG126-BF126)/BF126</f>
        <v>-1.4362855323712333E-3</v>
      </c>
      <c r="BJ126" s="385">
        <f t="shared" ref="BJ126" si="22">(BH126-BG126)/BG126</f>
        <v>-0.262077079048608</v>
      </c>
      <c r="BK126" s="569">
        <f t="shared" ref="BK126" si="23">BG126-BF126</f>
        <v>-6.9441072163826902</v>
      </c>
      <c r="BL126" s="569">
        <f t="shared" ref="BL126" si="24">BH126-BG126</f>
        <v>-1265.2619631094567</v>
      </c>
    </row>
    <row r="127" spans="1:88" ht="14.25" customHeight="1" thickBot="1">
      <c r="A127" s="128" t="s">
        <v>116</v>
      </c>
      <c r="B127" s="145">
        <f>SUM('MasterA1(current$)'!B128)/0.1756</f>
        <v>165.14806378132118</v>
      </c>
      <c r="C127" s="145">
        <f>SUM('MasterA1(current$)'!C128)/0.178</f>
        <v>252.80898876404495</v>
      </c>
      <c r="D127" s="146">
        <f>SUM('MasterA1(current$)'!D128)/0.1798</f>
        <v>355.9510567296997</v>
      </c>
      <c r="E127" s="485">
        <f>SUM('MasterA1(current$)'!E128)/0.182</f>
        <v>461.53846153846155</v>
      </c>
      <c r="F127" s="485">
        <f>SUM('MasterA1(current$)'!F128)/0.1842</f>
        <v>510.31487513572205</v>
      </c>
      <c r="G127" s="485">
        <f>SUM('MasterA1(current$)'!G128)/0.18702</f>
        <v>518.66110576408937</v>
      </c>
      <c r="H127" s="485">
        <f>SUM('MasterA1(current$)'!H128)/0.19227</f>
        <v>520.10193998023612</v>
      </c>
      <c r="I127" s="485">
        <f>SUM('MasterA1(current$)'!I128)/0.19786</f>
        <v>611.54351561710303</v>
      </c>
      <c r="J127" s="485">
        <f>SUM('MasterA1(current$)'!J128)/0.20627</f>
        <v>790.22640228826288</v>
      </c>
      <c r="K127" s="485">
        <f>SUM('MasterA1(current$)'!K128)/0.21642</f>
        <v>1048.8864245448665</v>
      </c>
      <c r="L127" s="485">
        <f>SUM('MasterA1(current$)'!L128)/0.22784</f>
        <v>1088.4831460674159</v>
      </c>
      <c r="M127" s="485">
        <f>SUM('MasterA1(current$)'!M128)/0.23941</f>
        <v>1286.4959692577586</v>
      </c>
      <c r="N127" s="485">
        <f>SUM('MasterA1(current$)'!N128)/0.24978</f>
        <v>1813.5959644487148</v>
      </c>
      <c r="O127" s="485">
        <f>SUM('MasterA1(current$)'!O128)/0.26337</f>
        <v>2418.6505676424804</v>
      </c>
      <c r="P127" s="485">
        <f>SUM('MasterA1(current$)'!P128)/0.28703</f>
        <v>2013.7267881406124</v>
      </c>
      <c r="Q127" s="485">
        <f>SUM('MasterA1(current$)'!Q128)/0.31361</f>
        <v>2401.0713944070662</v>
      </c>
      <c r="R127" s="485">
        <f>SUM('MasterA1(current$)'!R128)/0.33083</f>
        <v>2823.2022488891575</v>
      </c>
      <c r="S127" s="485">
        <f>SUM('MasterA1(current$)'!S128)/0.35135</f>
        <v>3219.0123808168491</v>
      </c>
      <c r="T127" s="485">
        <f>SUM('MasterA1(current$)'!T128)/0.37602</f>
        <v>3425.3497154406678</v>
      </c>
      <c r="U127" s="485">
        <f>SUM('MasterA1(current$)'!U128)/0.40706</f>
        <v>3778.3127794428342</v>
      </c>
      <c r="V127" s="485">
        <f>SUM('MasterA1(current$)'!V128)/0.44377</f>
        <v>4319.8053045496545</v>
      </c>
      <c r="W127" s="485">
        <f>SUM('MasterA1(current$)'!W128)/0.4852</f>
        <v>4629.0189612530912</v>
      </c>
      <c r="X127" s="485">
        <f>SUM('MasterA1(current$)'!X128)/0.5153</f>
        <v>4185.9111197360762</v>
      </c>
      <c r="Y127" s="485">
        <f>SUM('MasterA1(current$)'!Y128)/0.53565</f>
        <v>4402.1282553906476</v>
      </c>
      <c r="Z127" s="485">
        <f>SUM('MasterA1(current$)'!Z128)/0.55466</f>
        <v>4491.0395557638913</v>
      </c>
      <c r="AA127" s="485">
        <f>SUM('MasterA1(current$)'!AA128)/0.5724</f>
        <v>4818.1114605171206</v>
      </c>
      <c r="AB127" s="485">
        <f>SUM('MasterA1(current$)'!AB128)/0.58395</f>
        <v>4973.0285127151301</v>
      </c>
      <c r="AC127" s="485">
        <f>SUM('MasterA1(current$)'!AC128)/0.59885</f>
        <v>5216.6652751106285</v>
      </c>
      <c r="AD127" s="485">
        <f>SUM('MasterA1(current$)'!AD128)/0.61982</f>
        <v>5509.6640960278792</v>
      </c>
      <c r="AE127" s="485">
        <f>SUM('MasterA1(current$)'!AE128)/0.64392</f>
        <v>5871.847434463908</v>
      </c>
      <c r="AF127" s="485">
        <f>SUM('MasterA1(current$)'!AF128)/0.66773</f>
        <v>6144.6992047683943</v>
      </c>
      <c r="AG127" s="485">
        <f>SUM('MasterA1(current$)'!AG128)/0.68996</f>
        <v>6830.8307727984229</v>
      </c>
      <c r="AH127" s="485">
        <f>SUM('MasterA1(current$)'!AH128)/0.70569</f>
        <v>7414.0203205373464</v>
      </c>
      <c r="AI127" s="485">
        <f>SUM('MasterA1(current$)'!AI128)/0.72248</f>
        <v>7546.2296534160114</v>
      </c>
      <c r="AJ127" s="485">
        <f>SUM('MasterA1(current$)'!AJ128)/0.73785</f>
        <v>7645.1853357728533</v>
      </c>
      <c r="AK127" s="485">
        <f>SUM('MasterA1(current$)'!AK128)/0.75324</f>
        <v>7944.3470872497473</v>
      </c>
      <c r="AL127" s="485">
        <f>SUM('MasterA1(current$)'!AL128)/0.76699</f>
        <v>7196.9647583410479</v>
      </c>
      <c r="AM127" s="485">
        <f>SUM('MasterA1(current$)'!AM128)/0.78012</f>
        <v>7486.0277905963185</v>
      </c>
      <c r="AN127" s="485">
        <f>SUM('MasterA1(current$)'!AN128)/0.78859</f>
        <v>7242.0395896473456</v>
      </c>
      <c r="AO127" s="485">
        <f>SUM('MasterA1(current$)'!AO128)/0.80065</f>
        <v>7828.6392306251173</v>
      </c>
      <c r="AP127" s="147">
        <f>SUM('MasterA1(current$)'!AP128)/0.81887</f>
        <v>8015.9243836017931</v>
      </c>
      <c r="AQ127" s="147">
        <f>SUM('MasterA1(current$)'!AQ128)/0.83754</f>
        <v>8197.8174176755747</v>
      </c>
      <c r="AR127" s="147">
        <f>SUM('MasterA1(current$)'!AR128)/0.85039</f>
        <v>8573.713237455755</v>
      </c>
      <c r="AS127" s="147">
        <f>SUM('MasterA1(current$)'!AS128)/0.86735</f>
        <v>8977.9212543955728</v>
      </c>
      <c r="AT127" s="147">
        <f>SUM('MasterA1(current$)'!AT128)/0.8912</f>
        <v>7790.6193895870738</v>
      </c>
      <c r="AU127" s="147">
        <f>SUM('MasterA1(current$)'!AU128)/0.91988</f>
        <v>7927.120928816802</v>
      </c>
      <c r="AV127" s="147">
        <f>SUM('MasterA1(current$)'!AV128)/0.94814</f>
        <v>8155.9685278545367</v>
      </c>
      <c r="AW127" s="147">
        <f>SUM('MasterA1(current$)'!AW128)/0.97337</f>
        <v>7759.4880279901372</v>
      </c>
      <c r="AX127" s="671">
        <f>('MasterA1(current$)'!AX128*100)/99.246</f>
        <v>7713.3588352670376</v>
      </c>
      <c r="AY127" s="399">
        <f>('MasterA1(current$)'!AY128)</f>
        <v>8007</v>
      </c>
      <c r="AZ127" s="438">
        <f>SUM('MasterA1(current$)'!AZ128*100)/101.221</f>
        <v>8599.9940723762847</v>
      </c>
      <c r="BA127" s="438">
        <f>SUM('MasterA1(current$)'!BA128*100)/103.311</f>
        <v>9068.7342102970633</v>
      </c>
      <c r="BB127" s="438">
        <f>SUM('MasterA1(current$)'!BB128*100)/105.214</f>
        <v>8884.7491778660642</v>
      </c>
      <c r="BC127" s="438">
        <f>SUM('MasterA1(current$)'!BC128*100)/106.913</f>
        <v>7930.7474301534894</v>
      </c>
      <c r="BD127" s="438">
        <f>SUM('MasterA1(current$)'!BD128*100)/108.828</f>
        <v>8594.2955856948574</v>
      </c>
      <c r="BE127" s="438">
        <f>SUM('MasterA1(current$)'!BE128*100)/109.998</f>
        <v>7420.1156743602596</v>
      </c>
      <c r="BF127" s="653">
        <f>SUM('MasterA1(current$)'!BF128*100)/111.298</f>
        <v>7543.7114772951891</v>
      </c>
      <c r="BG127" s="653">
        <f>SUM('MasterA1(current$)'!BG128*100)/113.198</f>
        <v>7504.5495503454131</v>
      </c>
      <c r="BH127" s="653">
        <f>SUM('MasterA1(current$)'!BH128*100)/115.198</f>
        <v>6076.4943835830491</v>
      </c>
      <c r="BI127" s="422">
        <f>(BG127-BF127)/BF127</f>
        <v>-5.1913341420392663E-3</v>
      </c>
      <c r="BJ127" s="422">
        <f>(BH127-BG127)/BG127</f>
        <v>-0.1902919232103191</v>
      </c>
      <c r="BK127" s="574">
        <f>BG127-BF127</f>
        <v>-39.161926949775989</v>
      </c>
      <c r="BL127" s="574">
        <f>BH127-BG127</f>
        <v>-1428.055166762364</v>
      </c>
    </row>
    <row r="128" spans="1:88" ht="11.1" customHeight="1">
      <c r="A128" s="125"/>
      <c r="B128" s="35"/>
      <c r="C128" s="36"/>
      <c r="D128" s="36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161"/>
      <c r="AN128" s="161"/>
      <c r="AO128" s="161"/>
      <c r="AP128" s="161"/>
      <c r="AQ128" s="161"/>
      <c r="AR128" s="161"/>
      <c r="AS128" s="161"/>
      <c r="AT128" s="161"/>
      <c r="AU128" s="161"/>
      <c r="AV128" s="161"/>
      <c r="AW128" s="161"/>
      <c r="AX128" s="161"/>
      <c r="AY128" s="320"/>
      <c r="AZ128" s="320"/>
      <c r="BA128" s="320"/>
      <c r="BB128" s="320"/>
      <c r="BC128" s="320"/>
      <c r="BD128" s="320"/>
      <c r="BE128" s="320"/>
      <c r="BF128" s="374"/>
      <c r="BG128" s="374"/>
      <c r="BH128" s="374"/>
      <c r="BI128" s="329"/>
      <c r="BJ128" s="329"/>
      <c r="BK128" s="577"/>
      <c r="BL128" s="577"/>
    </row>
    <row r="129" spans="1:88" ht="13.5" customHeight="1" thickBot="1">
      <c r="A129" s="410" t="s">
        <v>43</v>
      </c>
      <c r="B129" s="145">
        <f>'MasterA1(current$)'!B130/0.1756</f>
        <v>2015.9453302961274</v>
      </c>
      <c r="C129" s="145">
        <f>SUM('MasterA1(current$)'!C130)/0.178</f>
        <v>2365.1685393258426</v>
      </c>
      <c r="D129" s="146">
        <f>SUM('MasterA1(current$)'!D130)/0.1798</f>
        <v>2686.3181312569523</v>
      </c>
      <c r="E129" s="485">
        <f>SUM('MasterA1(current$)'!E130)/0.182</f>
        <v>3032.967032967033</v>
      </c>
      <c r="F129" s="485">
        <f>SUM('MasterA1(current$)'!F130)/0.1842</f>
        <v>3203.0401737242128</v>
      </c>
      <c r="G129" s="485">
        <f>SUM('MasterA1(current$)'!G130)/0.18702</f>
        <v>3229.6011121805154</v>
      </c>
      <c r="H129" s="485">
        <f>SUM('MasterA1(current$)'!H130)/0.19227</f>
        <v>3359.0263691683572</v>
      </c>
      <c r="I129" s="485">
        <f>SUM('MasterA1(current$)'!I130)/0.19786</f>
        <v>3547.9632063074901</v>
      </c>
      <c r="J129" s="485">
        <f>SUM('MasterA1(current$)'!J130)/0.20627</f>
        <v>3972.9480777621561</v>
      </c>
      <c r="K129" s="485">
        <f>SUM('MasterA1(current$)'!K130)/0.21642</f>
        <v>4421.9573052398118</v>
      </c>
      <c r="L129" s="485">
        <f>SUM('MasterA1(current$)'!L130)/0.22784</f>
        <v>4816.5291432584281</v>
      </c>
      <c r="M129" s="485">
        <f>SUM('MasterA1(current$)'!M130)/0.23941</f>
        <v>5964.8051459838771</v>
      </c>
      <c r="N129" s="485">
        <f>SUM('MasterA1(current$)'!N130)/0.24978</f>
        <v>7307.6747537833289</v>
      </c>
      <c r="O129" s="485">
        <f>SUM('MasterA1(current$)'!O130)/0.26337</f>
        <v>9599.4418498690047</v>
      </c>
      <c r="P129" s="485">
        <f>SUM('MasterA1(current$)'!P130)/0.28703</f>
        <v>9069.5606731003718</v>
      </c>
      <c r="Q129" s="485">
        <f>SUM('MasterA1(current$)'!Q130)/0.31361</f>
        <v>9970.8013137336184</v>
      </c>
      <c r="R129" s="485">
        <f>SUM('MasterA1(current$)'!R130)/0.33083</f>
        <v>11187.631109633345</v>
      </c>
      <c r="S129" s="485">
        <f>SUM('MasterA1(current$)'!S130)/0.35135</f>
        <v>11828.40757079835</v>
      </c>
      <c r="T129" s="485">
        <f>SUM('MasterA1(current$)'!T130)/0.37602</f>
        <v>12177.471942981756</v>
      </c>
      <c r="U129" s="485">
        <f>SUM('MasterA1(current$)'!U130)/0.40706</f>
        <v>12682.125485186461</v>
      </c>
      <c r="V129" s="485">
        <f>SUM('MasterA1(current$)'!V130)/0.44377</f>
        <v>13645.717376118258</v>
      </c>
      <c r="W129" s="485">
        <f>SUM('MasterA1(current$)'!W130)/0.4852</f>
        <v>13263.307914262159</v>
      </c>
      <c r="X129" s="485">
        <f>SUM('MasterA1(current$)'!X130)/0.5153</f>
        <v>12041.812536386571</v>
      </c>
      <c r="Y129" s="485">
        <f>SUM('MasterA1(current$)'!Y130)/0.53565</f>
        <v>12107.956688135911</v>
      </c>
      <c r="Z129" s="485">
        <f>SUM('MasterA1(current$)'!Z130)/0.55466</f>
        <v>12339.999278837486</v>
      </c>
      <c r="AA129" s="485">
        <f>SUM('MasterA1(current$)'!AA130)/0.5724</f>
        <v>12603.02935010482</v>
      </c>
      <c r="AB129" s="485">
        <f>SUM('MasterA1(current$)'!AB130)/0.58395</f>
        <v>12867.081085709393</v>
      </c>
      <c r="AC129" s="485">
        <f>SUM('MasterA1(current$)'!AC130)/0.59885</f>
        <v>13774.394255656676</v>
      </c>
      <c r="AD129" s="485">
        <f>SUM('MasterA1(current$)'!AD130)/0.61982</f>
        <v>14766.683875963989</v>
      </c>
      <c r="AE129" s="485">
        <f>SUM('MasterA1(current$)'!AE130)/0.64392</f>
        <v>15690.702261150453</v>
      </c>
      <c r="AF129" s="485">
        <f>SUM('MasterA1(current$)'!AF130)/0.66773</f>
        <v>16658.182199391969</v>
      </c>
      <c r="AG129" s="485">
        <f>SUM('MasterA1(current$)'!AG130)/0.68996</f>
        <v>18235.112180416254</v>
      </c>
      <c r="AH129" s="485">
        <f>SUM('MasterA1(current$)'!AH130)/0.70569</f>
        <v>19965.635052218393</v>
      </c>
      <c r="AI129" s="485">
        <f>SUM('MasterA1(current$)'!AI130)/0.72248</f>
        <v>20067.3568818514</v>
      </c>
      <c r="AJ129" s="485">
        <f>SUM('MasterA1(current$)'!AJ130)/0.73785</f>
        <v>20361.382394795692</v>
      </c>
      <c r="AK129" s="485">
        <f>SUM('MasterA1(current$)'!AK130)/0.75324</f>
        <v>20847.273113483086</v>
      </c>
      <c r="AL129" s="485">
        <f>SUM('MasterA1(current$)'!AL130)/0.76699</f>
        <v>20673.020508741967</v>
      </c>
      <c r="AM129" s="485">
        <f>SUM('MasterA1(current$)'!AM130)/0.78012</f>
        <v>21686.407219402143</v>
      </c>
      <c r="AN129" s="485">
        <f>SUM('MasterA1(current$)'!AN130)/0.78859</f>
        <v>23626.979799388781</v>
      </c>
      <c r="AO129" s="485">
        <f>SUM('MasterA1(current$)'!AO130)/0.80065</f>
        <v>24435.146443514644</v>
      </c>
      <c r="AP129" s="147">
        <f>SUM('MasterA1(current$)'!AP130)/0.81887</f>
        <v>25655.610419396307</v>
      </c>
      <c r="AQ129" s="147">
        <f>SUM('MasterA1(current$)'!AQ130)/0.83754</f>
        <v>26825.666973430485</v>
      </c>
      <c r="AR129" s="147">
        <f>SUM('MasterA1(current$)'!AR130)/0.85039</f>
        <v>31814.549735329481</v>
      </c>
      <c r="AS129" s="147">
        <f>SUM('MasterA1(current$)'!AS130)/0.86735</f>
        <v>40864.702830460599</v>
      </c>
      <c r="AT129" s="147">
        <f>SUM('MasterA1(current$)'!AT130)/0.8912</f>
        <v>35970.601436265708</v>
      </c>
      <c r="AU129" s="147">
        <f>SUM('MasterA1(current$)'!AU130)/0.91988</f>
        <v>36317.780580075661</v>
      </c>
      <c r="AV129" s="147">
        <f>SUM('MasterA1(current$)'!AV130)/0.94814</f>
        <v>37582.002657835343</v>
      </c>
      <c r="AW129" s="147">
        <f>SUM('MasterA1(current$)'!AW130)/0.97337</f>
        <v>38045.246055843629</v>
      </c>
      <c r="AX129" s="671">
        <f>('MasterA1(current$)'!AX130*100)/99.246</f>
        <v>40347.144600214684</v>
      </c>
      <c r="AY129" s="399">
        <f>('MasterA1(current$)'!AY130)</f>
        <v>43542</v>
      </c>
      <c r="AZ129" s="438">
        <f>SUM('MasterA1(current$)'!AZ130*100)/101.221</f>
        <v>45116.132027938867</v>
      </c>
      <c r="BA129" s="438">
        <f>SUM('MasterA1(current$)'!BA130*100)/103.311</f>
        <v>45579.851129114999</v>
      </c>
      <c r="BB129" s="438">
        <f>SUM('MasterA1(current$)'!BB130*100)/105.214</f>
        <v>45842.758568251375</v>
      </c>
      <c r="BC129" s="438">
        <f>SUM('MasterA1(current$)'!BC130*100)/106.913</f>
        <v>44219.13144332308</v>
      </c>
      <c r="BD129" s="438">
        <f>SUM('MasterA1(current$)'!BD130*100)/108.828</f>
        <v>44424.229058698125</v>
      </c>
      <c r="BE129" s="438">
        <f>SUM('MasterA1(current$)'!BE130*100)/109.998</f>
        <v>45136.255967820136</v>
      </c>
      <c r="BF129" s="653">
        <f>SUM('MasterA1(current$)'!BF130*100)/111.298</f>
        <v>46244.317058707253</v>
      </c>
      <c r="BG129" s="653">
        <f>SUM('MasterA1(current$)'!BG130*100)/113.198</f>
        <v>47154.54336649058</v>
      </c>
      <c r="BH129" s="653">
        <f>SUM('MasterA1(current$)'!BH130*100)/115.198</f>
        <v>49032.969322384073</v>
      </c>
      <c r="BI129" s="422">
        <f>(BG129-BF129)/BF129</f>
        <v>1.9682987352322507E-2</v>
      </c>
      <c r="BJ129" s="422">
        <f>(BH129-BG129)/BG129</f>
        <v>3.9835524252544434E-2</v>
      </c>
      <c r="BK129" s="574">
        <f>BG129-BF129</f>
        <v>910.22630778332677</v>
      </c>
      <c r="BL129" s="574">
        <f>BH129-BG129</f>
        <v>1878.4259558934937</v>
      </c>
    </row>
    <row r="130" spans="1:88" ht="13.5" customHeight="1">
      <c r="A130" s="410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633"/>
      <c r="BG130" s="633"/>
      <c r="BH130" s="633"/>
      <c r="BI130" s="329"/>
      <c r="BJ130" s="329"/>
      <c r="BK130" s="570"/>
      <c r="BL130" s="570"/>
    </row>
    <row r="131" spans="1:88" ht="15.75" customHeight="1">
      <c r="A131" s="125"/>
      <c r="B131" s="452"/>
      <c r="C131" s="452"/>
      <c r="D131" s="452"/>
      <c r="E131" s="452"/>
      <c r="F131" s="452"/>
      <c r="G131" s="452"/>
      <c r="H131" s="452"/>
      <c r="I131" s="452"/>
      <c r="J131" s="452"/>
      <c r="K131" s="452"/>
      <c r="L131" s="452"/>
      <c r="M131" s="452"/>
      <c r="N131" s="452"/>
      <c r="O131" s="452"/>
      <c r="P131" s="452"/>
      <c r="Q131" s="452"/>
      <c r="R131" s="452"/>
      <c r="S131" s="452"/>
      <c r="T131" s="452"/>
      <c r="U131" s="452"/>
      <c r="V131" s="452"/>
      <c r="W131" s="452"/>
      <c r="X131" s="452"/>
      <c r="Y131" s="452"/>
      <c r="Z131" s="452"/>
      <c r="AA131" s="452"/>
      <c r="AB131" s="452"/>
      <c r="AC131" s="452"/>
      <c r="AD131" s="452"/>
      <c r="AE131" s="452"/>
      <c r="AF131" s="452"/>
      <c r="AG131" s="452"/>
      <c r="AH131" s="452"/>
      <c r="AI131" s="452"/>
      <c r="AJ131" s="452"/>
      <c r="AK131" s="452"/>
      <c r="AL131" s="452"/>
      <c r="AM131" s="452"/>
      <c r="AN131" s="452"/>
      <c r="AO131" s="452"/>
      <c r="AP131" s="452"/>
      <c r="AQ131" s="452"/>
      <c r="AR131" s="452"/>
      <c r="AS131" s="452"/>
      <c r="AT131" s="452"/>
      <c r="AU131" s="452"/>
      <c r="AV131" s="452"/>
      <c r="AW131" s="452"/>
      <c r="AX131" s="452"/>
      <c r="AY131" s="452"/>
      <c r="AZ131" s="452"/>
      <c r="BA131" s="452"/>
      <c r="BB131" s="452"/>
      <c r="BC131" s="452"/>
      <c r="BD131" s="452"/>
      <c r="BE131" s="452"/>
      <c r="BF131" s="657"/>
      <c r="BG131" s="657"/>
      <c r="BH131" s="657"/>
      <c r="BI131" s="329"/>
      <c r="BJ131" s="329"/>
      <c r="BK131" s="570"/>
      <c r="BL131" s="570"/>
    </row>
    <row r="132" spans="1:88" ht="15.75" customHeight="1">
      <c r="A132" s="168" t="s">
        <v>44</v>
      </c>
      <c r="B132" s="35"/>
      <c r="C132" s="36"/>
      <c r="D132" s="36"/>
      <c r="E132" s="53"/>
      <c r="F132" s="53"/>
      <c r="G132" s="53"/>
      <c r="H132" s="53"/>
      <c r="I132" s="53"/>
      <c r="J132" s="53"/>
      <c r="K132" s="53"/>
      <c r="L132" s="53">
        <f>L129-B129</f>
        <v>2800.5838129623007</v>
      </c>
      <c r="M132" s="53"/>
      <c r="N132" s="53"/>
      <c r="O132" s="53"/>
      <c r="P132" s="53"/>
      <c r="Q132" s="53"/>
      <c r="R132" s="53"/>
      <c r="S132" s="53"/>
      <c r="T132" s="53"/>
      <c r="U132" s="53"/>
      <c r="V132" s="53">
        <f>V129-L129</f>
        <v>8829.1882328598294</v>
      </c>
      <c r="W132" s="53"/>
      <c r="X132" s="53"/>
      <c r="Y132" s="53"/>
      <c r="Z132" s="53"/>
      <c r="AA132" s="53"/>
      <c r="AB132" s="53"/>
      <c r="AC132" s="53"/>
      <c r="AD132" s="53"/>
      <c r="AE132" s="53"/>
      <c r="AF132" s="53">
        <f>AF129-V129</f>
        <v>3012.4648232737109</v>
      </c>
      <c r="AG132" s="53"/>
      <c r="AH132" s="53"/>
      <c r="AI132" s="53"/>
      <c r="AJ132" s="53"/>
      <c r="AK132" s="53"/>
      <c r="AL132" s="53"/>
      <c r="AM132" s="161"/>
      <c r="AN132" s="161"/>
      <c r="AO132" s="161"/>
      <c r="AP132" s="53">
        <f>AP129-AF129</f>
        <v>8997.4282200043381</v>
      </c>
      <c r="AQ132" s="339"/>
      <c r="AR132" s="339"/>
      <c r="AS132" s="339"/>
      <c r="AT132" s="194"/>
      <c r="AU132" s="194"/>
      <c r="AV132" s="194"/>
      <c r="AW132" s="194"/>
      <c r="AX132" s="194"/>
      <c r="AY132" s="416"/>
      <c r="AZ132" s="448">
        <f>AZ129-AP129</f>
        <v>19460.52160854256</v>
      </c>
      <c r="BA132" s="416"/>
      <c r="BB132" s="416"/>
      <c r="BC132" s="416"/>
      <c r="BD132" s="416"/>
      <c r="BE132" s="416"/>
      <c r="BF132" s="631"/>
      <c r="BG132" s="631"/>
      <c r="BH132" s="631"/>
      <c r="BI132" s="329"/>
      <c r="BJ132" s="329"/>
      <c r="BK132" s="570"/>
      <c r="BL132" s="570"/>
    </row>
    <row r="133" spans="1:88" ht="15.75" customHeight="1">
      <c r="A133" s="168"/>
      <c r="B133" s="35"/>
      <c r="C133" s="36"/>
      <c r="D133" s="36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161"/>
      <c r="AN133" s="161"/>
      <c r="AO133" s="161"/>
      <c r="AP133" s="339"/>
      <c r="AQ133" s="339"/>
      <c r="AR133" s="339"/>
      <c r="AS133" s="339"/>
      <c r="AT133" s="339"/>
      <c r="AU133" s="339"/>
      <c r="AV133" s="339"/>
      <c r="AX133" s="98"/>
      <c r="AY133" s="416"/>
      <c r="AZ133" s="416"/>
      <c r="BA133" s="416"/>
      <c r="BB133" s="416"/>
      <c r="BC133" s="416"/>
      <c r="BD133" s="416"/>
      <c r="BE133" s="416"/>
      <c r="BF133" s="631"/>
      <c r="BG133" s="631"/>
      <c r="BH133" s="631"/>
      <c r="BI133" s="329"/>
      <c r="BJ133" s="329"/>
      <c r="BK133" s="570"/>
      <c r="BL133" s="570"/>
    </row>
    <row r="134" spans="1:88" ht="11.1" customHeight="1">
      <c r="A134" s="130" t="s">
        <v>68</v>
      </c>
      <c r="B134" s="35"/>
      <c r="C134" s="36"/>
      <c r="D134" s="36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161"/>
      <c r="AN134" s="161"/>
      <c r="AO134" s="161"/>
      <c r="AP134" s="339"/>
      <c r="AQ134" s="339"/>
      <c r="AR134" s="339"/>
      <c r="AS134" s="339"/>
      <c r="AT134" s="339"/>
      <c r="AU134" s="339"/>
      <c r="AV134" s="339"/>
      <c r="AX134" s="98"/>
      <c r="AY134" s="416"/>
      <c r="AZ134" s="416"/>
      <c r="BA134" s="416"/>
      <c r="BB134" s="416"/>
      <c r="BC134" s="416"/>
      <c r="BD134" s="416"/>
      <c r="BE134" s="416"/>
      <c r="BF134" s="631"/>
      <c r="BG134" s="631"/>
      <c r="BH134" s="631"/>
      <c r="BI134" s="329"/>
      <c r="BJ134" s="329"/>
      <c r="BK134" s="570"/>
      <c r="BL134" s="570"/>
    </row>
    <row r="135" spans="1:88" ht="12" customHeight="1">
      <c r="A135" s="123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 s="182"/>
      <c r="BG135" s="182"/>
      <c r="BH135" s="182"/>
      <c r="BI135" s="329"/>
      <c r="BJ135" s="329"/>
      <c r="BK135" s="570"/>
      <c r="BL135" s="570"/>
    </row>
    <row r="136" spans="1:88" ht="11.1" customHeight="1">
      <c r="A136" s="126" t="s">
        <v>45</v>
      </c>
      <c r="B136"/>
      <c r="C136"/>
      <c r="D136"/>
      <c r="AP136" s="339"/>
      <c r="AQ136" s="339"/>
      <c r="AR136" s="339"/>
      <c r="AS136" s="339"/>
      <c r="AT136" s="339"/>
      <c r="AU136" s="339"/>
      <c r="AV136" s="339"/>
      <c r="AX136" s="98"/>
      <c r="AY136" s="416"/>
      <c r="AZ136" s="416"/>
      <c r="BA136" s="416"/>
      <c r="BB136" s="416"/>
      <c r="BC136" s="416"/>
      <c r="BD136" s="416"/>
      <c r="BE136" s="416"/>
      <c r="BF136" s="631"/>
      <c r="BG136" s="631"/>
      <c r="BH136" s="631"/>
      <c r="BI136" s="329"/>
      <c r="BJ136" s="329"/>
      <c r="BK136" s="570"/>
      <c r="BL136" s="570"/>
    </row>
    <row r="137" spans="1:88" ht="11.1" customHeight="1">
      <c r="A137" s="296" t="s">
        <v>138</v>
      </c>
      <c r="B137" s="54">
        <f>SUM('MasterA1(current$)'!B137)/0.1756</f>
        <v>62.642369020501135</v>
      </c>
      <c r="C137" s="55">
        <f>SUM('MasterA1(current$)'!C137)/0.178</f>
        <v>67.415730337078656</v>
      </c>
      <c r="D137" s="55">
        <f>SUM('MasterA1(current$)'!D137)/0.1798</f>
        <v>77.864293659621808</v>
      </c>
      <c r="E137" s="33">
        <f>SUM('MasterA1(current$)'!E137)/0.182</f>
        <v>87.912087912087912</v>
      </c>
      <c r="F137" s="33">
        <f>SUM('MasterA1(current$)'!F137)/0.1842</f>
        <v>86.862106406080343</v>
      </c>
      <c r="G137" s="33">
        <f>SUM('MasterA1(current$)'!G137)/0.18702</f>
        <v>90.899369051438356</v>
      </c>
      <c r="H137" s="33">
        <f>SUM('MasterA1(current$)'!H137)/0.19227</f>
        <v>98.819368596244871</v>
      </c>
      <c r="I137" s="33">
        <f>SUM('MasterA1(current$)'!I137)/0.19786</f>
        <v>106.13565147073687</v>
      </c>
      <c r="J137" s="33">
        <f>SUM('MasterA1(current$)'!J137)/0.20627</f>
        <v>106.65632423522567</v>
      </c>
      <c r="K137" s="33">
        <f>SUM('MasterA1(current$)'!K137)/0.21642</f>
        <v>124.75741613529249</v>
      </c>
      <c r="L137" s="33">
        <f>SUM('MasterA1(current$)'!L137)/0.22784</f>
        <v>140.44943820224719</v>
      </c>
      <c r="M137" s="33">
        <f>SUM('MasterA1(current$)'!M137)/0.23941</f>
        <v>154.54659370953593</v>
      </c>
      <c r="N137" s="33">
        <f>SUM('MasterA1(current$)'!N137)/0.24978</f>
        <v>156.13740091280326</v>
      </c>
      <c r="O137" s="33">
        <f>SUM('MasterA1(current$)'!O137)/0.26337</f>
        <v>163.26840566503398</v>
      </c>
      <c r="P137" s="33">
        <f>SUM('MasterA1(current$)'!P137)/0.28703</f>
        <v>170.71386266243945</v>
      </c>
      <c r="Q137" s="33">
        <f>SUM('MasterA1(current$)'!Q137)/0.31361</f>
        <v>197.6977774943401</v>
      </c>
      <c r="R137" s="33">
        <f>SUM('MasterA1(current$)'!R137)/0.33083</f>
        <v>226.70253604570323</v>
      </c>
      <c r="S137" s="33">
        <f>SUM('MasterA1(current$)'!S137)/0.35135</f>
        <v>236.23167781414543</v>
      </c>
      <c r="T137" s="33">
        <f>SUM('MasterA1(current$)'!T137)/0.37602</f>
        <v>242.00840380830806</v>
      </c>
      <c r="U137" s="33">
        <f>SUM('MasterA1(current$)'!U137)/0.40706</f>
        <v>235.8374686778362</v>
      </c>
      <c r="V137" s="33">
        <f>SUM('MasterA1(current$)'!V137)/0.44377</f>
        <v>254.63641075331816</v>
      </c>
      <c r="W137" s="33">
        <f>SUM('MasterA1(current$)'!W137)/0.4852</f>
        <v>247.32069249793898</v>
      </c>
      <c r="X137" s="33">
        <f>SUM('MasterA1(current$)'!X137)/0.5153</f>
        <v>248.39899087909956</v>
      </c>
      <c r="Y137" s="33">
        <f>SUM('MasterA1(current$)'!Y137)/0.53565</f>
        <v>270.69915056473445</v>
      </c>
      <c r="Z137" s="33">
        <f>SUM('MasterA1(current$)'!Z137)/0.55466</f>
        <v>295.67663072873472</v>
      </c>
      <c r="AA137" s="33">
        <f>SUM('MasterA1(current$)'!AA137)/0.5724</f>
        <v>295.24807826694621</v>
      </c>
      <c r="AB137" s="33">
        <f>SUM('MasterA1(current$)'!AB137)/0.58395</f>
        <v>315.09547050261153</v>
      </c>
      <c r="AC137" s="33">
        <f>SUM('MasterA1(current$)'!AC137)/0.59885</f>
        <v>322.28437839191787</v>
      </c>
      <c r="AD137" s="33">
        <f>SUM('MasterA1(current$)'!AD137)/0.61982</f>
        <v>351.71501403633312</v>
      </c>
      <c r="AE137" s="33">
        <f>SUM('MasterA1(current$)'!AE137)/0.64392</f>
        <v>364.95216797117649</v>
      </c>
      <c r="AF137" s="33">
        <f>SUM('MasterA1(current$)'!AF137)/0.66773</f>
        <v>383.38849534991687</v>
      </c>
      <c r="AG137" s="33">
        <f>SUM('MasterA1(current$)'!AG137)/0.68996</f>
        <v>413.06742419850423</v>
      </c>
      <c r="AH137" s="33">
        <f>SUM('MasterA1(current$)'!AH137)/0.70569</f>
        <v>388.272470914991</v>
      </c>
      <c r="AI137" s="33">
        <f>SUM('MasterA1(current$)'!AI137)/0.72248</f>
        <v>480.29011183700584</v>
      </c>
      <c r="AJ137" s="33">
        <f>SUM('MasterA1(current$)'!AJ137)/0.73785</f>
        <v>485.19346750694586</v>
      </c>
      <c r="AK137" s="33">
        <f>SUM('MasterA1(current$)'!AK137)/0.75324</f>
        <v>515.10806648611333</v>
      </c>
      <c r="AL137" s="33">
        <f>SUM('MasterA1(current$)'!AL137)/0.76699</f>
        <v>465.45587295792649</v>
      </c>
      <c r="AM137" s="33">
        <f>SUM('MasterA1(current$)'!AM137)/0.78012</f>
        <v>442.23965543762495</v>
      </c>
      <c r="AN137" s="33">
        <f>SUM('MasterA1(current$)'!AN137)/0.78859</f>
        <v>447.63438542208246</v>
      </c>
      <c r="AO137" s="33">
        <f>SUM('MasterA1(current$)'!AO137)/0.80065</f>
        <v>503.34103540873042</v>
      </c>
      <c r="AP137" s="339">
        <f>SUM('MasterA1(current$)'!AP137)/0.81887</f>
        <v>466.49651348809948</v>
      </c>
      <c r="AQ137" s="339">
        <f>SUM('MasterA1(current$)'!AQ137)/0.83754</f>
        <v>497.88666809943408</v>
      </c>
      <c r="AR137" s="339">
        <f>SUM('MasterA1(current$)'!AR137)/0.85039</f>
        <v>485.6595209256929</v>
      </c>
      <c r="AS137" s="339">
        <f>SUM('MasterA1(current$)'!AS137)/0.86735</f>
        <v>494.61001902346231</v>
      </c>
      <c r="AT137" s="339">
        <f>SUM('MasterA1(current$)'!AT137)/0.8912</f>
        <v>506.05924596050272</v>
      </c>
      <c r="AU137" s="339">
        <f>SUM('MasterA1(current$)'!AU137)/0.91988</f>
        <v>515.28460233943554</v>
      </c>
      <c r="AV137" s="339">
        <f>SUM('MasterA1(current$)'!AV137)/0.94814</f>
        <v>567.42675132364423</v>
      </c>
      <c r="AW137" s="339">
        <f>SUM('MasterA1(current$)'!AW137)/0.97337</f>
        <v>621.5519278383349</v>
      </c>
      <c r="AX137" s="339">
        <f>('MasterA1(current$)'!AX137*100)/99.246</f>
        <v>665.01420712169761</v>
      </c>
      <c r="AY137" s="293">
        <f>('MasterA1(current$)'!AY137)</f>
        <v>704</v>
      </c>
      <c r="AZ137" s="417">
        <f>SUM('MasterA1(current$)'!AZ137*100)/101.221</f>
        <v>724.15803044822712</v>
      </c>
      <c r="BA137" s="417">
        <f>SUM('MasterA1(current$)'!BA137*100)/103.311</f>
        <v>716.28384199165623</v>
      </c>
      <c r="BB137" s="417">
        <f>SUM('MasterA1(current$)'!BB137*100)/105.214</f>
        <v>776.51263139886328</v>
      </c>
      <c r="BC137" s="417">
        <f>SUM('MasterA1(current$)'!BC137*100)/106.913</f>
        <v>1007.361125401027</v>
      </c>
      <c r="BD137" s="417">
        <f>SUM('MasterA1(current$)'!BD137*100)/108.828</f>
        <v>922.55669496820667</v>
      </c>
      <c r="BE137" s="417">
        <f>SUM('MasterA1(current$)'!BE137*100)/109.998</f>
        <v>900.92547137220674</v>
      </c>
      <c r="BF137" s="539">
        <f>SUM('MasterA1(current$)'!BF137*100)/111.298</f>
        <v>936.22526909737815</v>
      </c>
      <c r="BG137" s="539">
        <f>SUM('MasterA1(current$)'!BG137*100)/113.198</f>
        <v>999.13426032262055</v>
      </c>
      <c r="BH137" s="539">
        <f>SUM('MasterA1(current$)'!BH137*100)/115.198</f>
        <v>1046.8931752287367</v>
      </c>
      <c r="BI137" s="385">
        <f t="shared" ref="BI137:BI138" si="25">(BG137-BF137)/BF137</f>
        <v>6.7194288919261325E-2</v>
      </c>
      <c r="BJ137" s="385">
        <f t="shared" ref="BJ137:BJ138" si="26">(BH137-BG137)/BG137</f>
        <v>4.7800297520269999E-2</v>
      </c>
      <c r="BK137" s="569">
        <f t="shared" ref="BK137:BK138" si="27">BG137-BF137</f>
        <v>62.908991225242403</v>
      </c>
      <c r="BL137" s="569">
        <f t="shared" ref="BL137:BL138" si="28">BH137-BG137</f>
        <v>47.758914906116161</v>
      </c>
    </row>
    <row r="138" spans="1:88" ht="11.1" customHeight="1">
      <c r="A138" s="125" t="s">
        <v>78</v>
      </c>
      <c r="B138" s="51" t="s">
        <v>3</v>
      </c>
      <c r="C138" s="51" t="s">
        <v>3</v>
      </c>
      <c r="D138" s="51" t="s">
        <v>3</v>
      </c>
      <c r="E138" s="224" t="s">
        <v>3</v>
      </c>
      <c r="F138" s="224" t="s">
        <v>3</v>
      </c>
      <c r="G138" s="224" t="s">
        <v>3</v>
      </c>
      <c r="H138" s="224" t="s">
        <v>3</v>
      </c>
      <c r="I138" s="224" t="s">
        <v>3</v>
      </c>
      <c r="J138" s="224" t="s">
        <v>3</v>
      </c>
      <c r="K138" s="224" t="s">
        <v>3</v>
      </c>
      <c r="L138" s="224" t="s">
        <v>3</v>
      </c>
      <c r="M138" s="224" t="s">
        <v>3</v>
      </c>
      <c r="N138" s="224" t="s">
        <v>3</v>
      </c>
      <c r="O138" s="224" t="s">
        <v>3</v>
      </c>
      <c r="P138" s="224" t="s">
        <v>3</v>
      </c>
      <c r="Q138" s="224" t="s">
        <v>3</v>
      </c>
      <c r="R138" s="224" t="s">
        <v>3</v>
      </c>
      <c r="S138" s="224" t="s">
        <v>3</v>
      </c>
      <c r="T138" s="224" t="s">
        <v>3</v>
      </c>
      <c r="U138" s="224" t="s">
        <v>3</v>
      </c>
      <c r="V138" s="224" t="s">
        <v>3</v>
      </c>
      <c r="W138" s="224" t="s">
        <v>3</v>
      </c>
      <c r="X138" s="224" t="s">
        <v>3</v>
      </c>
      <c r="Y138" s="224" t="s">
        <v>3</v>
      </c>
      <c r="Z138" s="224" t="s">
        <v>3</v>
      </c>
      <c r="AA138" s="224" t="s">
        <v>3</v>
      </c>
      <c r="AB138" s="224" t="s">
        <v>3</v>
      </c>
      <c r="AC138" s="224" t="s">
        <v>3</v>
      </c>
      <c r="AD138" s="224" t="s">
        <v>3</v>
      </c>
      <c r="AE138" s="224" t="s">
        <v>3</v>
      </c>
      <c r="AF138" s="224" t="s">
        <v>3</v>
      </c>
      <c r="AG138" s="33">
        <f>SUM('MasterA1(current$)'!AG138)/0.68996</f>
        <v>27.537828279900282</v>
      </c>
      <c r="AH138" s="33">
        <f>SUM('MasterA1(current$)'!AH138)/0.70569</f>
        <v>22.672845016933781</v>
      </c>
      <c r="AI138" s="33">
        <f>SUM('MasterA1(current$)'!AI138)/0.72248</f>
        <v>29.066548554977299</v>
      </c>
      <c r="AJ138" s="33">
        <f>SUM('MasterA1(current$)'!AJ138)/0.73785</f>
        <v>27.105780307650605</v>
      </c>
      <c r="AK138" s="33">
        <f>SUM('MasterA1(current$)'!AK138)/0.75324</f>
        <v>29.207158409006425</v>
      </c>
      <c r="AL138" s="33">
        <f>SUM('MasterA1(current$)'!AL138)/0.76699</f>
        <v>28.683555196286786</v>
      </c>
      <c r="AM138" s="33">
        <f>SUM('MasterA1(current$)'!AM138)/0.78012</f>
        <v>32.046351843306155</v>
      </c>
      <c r="AN138" s="33">
        <f>SUM('MasterA1(current$)'!AN138)/0.78859</f>
        <v>32.970238019756778</v>
      </c>
      <c r="AO138" s="33">
        <f>SUM('MasterA1(current$)'!AO138)/0.80065</f>
        <v>32.47361518766003</v>
      </c>
      <c r="AP138" s="339">
        <f>SUM('MasterA1(current$)'!AP138)/0.81887</f>
        <v>35.414656783127967</v>
      </c>
      <c r="AQ138" s="339">
        <f>SUM('MasterA1(current$)'!AQ138)/0.83754</f>
        <v>39.40110323089047</v>
      </c>
      <c r="AR138" s="339">
        <f>SUM('MasterA1(current$)'!AR138)/0.85039</f>
        <v>54.092827996566285</v>
      </c>
      <c r="AS138" s="339">
        <f>SUM('MasterA1(current$)'!AS138)/0.86735</f>
        <v>63.411540900443882</v>
      </c>
      <c r="AT138" s="339">
        <f>SUM('MasterA1(current$)'!AT138)/0.8912</f>
        <v>62.836624775583481</v>
      </c>
      <c r="AU138" s="339">
        <f>SUM('MasterA1(current$)'!AU138)/0.91988</f>
        <v>71.748488933339132</v>
      </c>
      <c r="AV138" s="339">
        <f>SUM('MasterA1(current$)'!AV138)/0.94814</f>
        <v>79.102242284894643</v>
      </c>
      <c r="AW138" s="339">
        <f>SUM('MasterA1(current$)'!AW138)/0.97337</f>
        <v>82.188684672837667</v>
      </c>
      <c r="AX138" s="341">
        <f>('MasterA1(current$)'!AX138*100)/99.246</f>
        <v>85.645769099006515</v>
      </c>
      <c r="AY138" s="293">
        <f>('MasterA1(current$)'!AY138)</f>
        <v>100</v>
      </c>
      <c r="AZ138" s="420">
        <f>SUM('MasterA1(current$)'!AZ138*100)/101.221</f>
        <v>100.76960314559231</v>
      </c>
      <c r="BA138" s="420">
        <f>SUM('MasterA1(current$)'!BA138*100)/103.311</f>
        <v>115.18618540136093</v>
      </c>
      <c r="BB138" s="420">
        <f>SUM('MasterA1(current$)'!BB138*100)/105.214</f>
        <v>103.5983804436672</v>
      </c>
      <c r="BC138" s="420">
        <f>SUM('MasterA1(current$)'!BC138*100)/106.913</f>
        <v>101.95205447419865</v>
      </c>
      <c r="BD138" s="420">
        <f>SUM('MasterA1(current$)'!BD138*100)/108.828</f>
        <v>87.293711177270552</v>
      </c>
      <c r="BE138" s="420">
        <f>SUM('MasterA1(current$)'!BE138*100)/109.998</f>
        <v>92.728958708340144</v>
      </c>
      <c r="BF138" s="634">
        <f>SUM('MasterA1(current$)'!BF138*100)/111.298</f>
        <v>98.833761612966981</v>
      </c>
      <c r="BG138" s="634">
        <f>SUM('MasterA1(current$)'!BG138*100)/113.198</f>
        <v>111.30938709164474</v>
      </c>
      <c r="BH138" s="634">
        <f>SUM('MasterA1(current$)'!BH138*100)/115.198</f>
        <v>105.90461639959028</v>
      </c>
      <c r="BI138" s="385">
        <f t="shared" si="25"/>
        <v>0.12622837859326155</v>
      </c>
      <c r="BJ138" s="385">
        <f t="shared" si="26"/>
        <v>-4.8556288317395252E-2</v>
      </c>
      <c r="BK138" s="569">
        <f t="shared" si="27"/>
        <v>12.475625478677756</v>
      </c>
      <c r="BL138" s="569">
        <f t="shared" si="28"/>
        <v>-5.4047706920544556</v>
      </c>
    </row>
    <row r="139" spans="1:88" ht="11.1" customHeight="1">
      <c r="A139" s="129" t="s">
        <v>139</v>
      </c>
      <c r="B139" s="54">
        <f>SUM('MasterA1(current$)'!B139)/0.1756</f>
        <v>51.252847380410024</v>
      </c>
      <c r="C139" s="55">
        <f>SUM('MasterA1(current$)'!C139)/0.178</f>
        <v>61.797752808988768</v>
      </c>
      <c r="D139" s="55">
        <f>SUM('MasterA1(current$)'!D139)/0.1798</f>
        <v>66.74082313681869</v>
      </c>
      <c r="E139" s="33">
        <f>SUM('MasterA1(current$)'!E139)/0.182</f>
        <v>76.92307692307692</v>
      </c>
      <c r="F139" s="33">
        <f>SUM('MasterA1(current$)'!F139)/0.1842</f>
        <v>81.433224755700323</v>
      </c>
      <c r="G139" s="33">
        <f>SUM('MasterA1(current$)'!G139)/0.18702</f>
        <v>85.552347342530211</v>
      </c>
      <c r="H139" s="33">
        <f>SUM('MasterA1(current$)'!H139)/0.19227</f>
        <v>83.216310396837784</v>
      </c>
      <c r="I139" s="33">
        <f>SUM('MasterA1(current$)'!I139)/0.19786</f>
        <v>85.919336904882243</v>
      </c>
      <c r="J139" s="33">
        <f>SUM('MasterA1(current$)'!J139)/0.20627</f>
        <v>92.112280021331259</v>
      </c>
      <c r="K139" s="33">
        <f>SUM('MasterA1(current$)'!K139)/0.21642</f>
        <v>83.171610756861654</v>
      </c>
      <c r="L139" s="33">
        <f>SUM('MasterA1(current$)'!L139)/0.22784</f>
        <v>92.169943820224731</v>
      </c>
      <c r="M139" s="33">
        <f>SUM('MasterA1(current$)'!M139)/0.23941</f>
        <v>104.42337412806482</v>
      </c>
      <c r="N139" s="33">
        <f>SUM('MasterA1(current$)'!N139)/0.24978</f>
        <v>108.0951237088638</v>
      </c>
      <c r="O139" s="33">
        <f>SUM('MasterA1(current$)'!O139)/0.26337</f>
        <v>117.70512966548962</v>
      </c>
      <c r="P139" s="33">
        <f>SUM('MasterA1(current$)'!P139)/0.28703</f>
        <v>97.550778664251126</v>
      </c>
      <c r="Q139" s="33">
        <f>SUM('MasterA1(current$)'!Q139)/0.31361</f>
        <v>105.2262364082778</v>
      </c>
      <c r="R139" s="33">
        <f>SUM('MasterA1(current$)'!R139)/0.33083</f>
        <v>102.7718163407188</v>
      </c>
      <c r="S139" s="33">
        <f>SUM('MasterA1(current$)'!S139)/0.35135</f>
        <v>116.69275651060197</v>
      </c>
      <c r="T139" s="33">
        <f>SUM('MasterA1(current$)'!T139)/0.37602</f>
        <v>117.01505239083026</v>
      </c>
      <c r="U139" s="33">
        <f>SUM('MasterA1(current$)'!U139)/0.40706</f>
        <v>120.37537463764556</v>
      </c>
      <c r="V139" s="33">
        <f>SUM('MasterA1(current$)'!V139)/0.44377</f>
        <v>45.068391283773124</v>
      </c>
      <c r="W139" s="33">
        <f>SUM('MasterA1(current$)'!W139)/0.4852</f>
        <v>115.41632316570485</v>
      </c>
      <c r="X139" s="33">
        <f>SUM('MasterA1(current$)'!X139)/0.5153</f>
        <v>128.08072967203572</v>
      </c>
      <c r="Y139" s="33">
        <f>SUM('MasterA1(current$)'!Y139)/0.53565</f>
        <v>123.21478577429292</v>
      </c>
      <c r="Z139" s="33">
        <f>SUM('MasterA1(current$)'!Z139)/0.55466</f>
        <v>122.59762737532903</v>
      </c>
      <c r="AA139" s="33">
        <f>SUM('MasterA1(current$)'!AA139)/0.5724</f>
        <v>106.56883298392732</v>
      </c>
      <c r="AB139" s="33">
        <f>SUM('MasterA1(current$)'!AB139)/0.58395</f>
        <v>92.473670690983823</v>
      </c>
      <c r="AC139" s="33">
        <f>SUM('MasterA1(current$)'!AC139)/0.59885</f>
        <v>35.067212156633545</v>
      </c>
      <c r="AD139" s="33">
        <f>SUM('MasterA1(current$)'!AD139)/0.61982</f>
        <v>64.534864960795062</v>
      </c>
      <c r="AE139" s="33">
        <f>SUM('MasterA1(current$)'!AE139)/0.64392</f>
        <v>62.119517952540683</v>
      </c>
      <c r="AF139" s="33">
        <f>SUM('MasterA1(current$)'!AF139)/0.66773</f>
        <v>372.90521618019255</v>
      </c>
      <c r="AG139" s="33">
        <f>SUM('MasterA1(current$)'!AG139)/0.68996</f>
        <v>327.55522059249813</v>
      </c>
      <c r="AH139" s="33">
        <f>SUM('MasterA1(current$)'!AH139)/0.70569</f>
        <v>334.42446399977325</v>
      </c>
      <c r="AI139" s="33">
        <f>SUM('MasterA1(current$)'!AI139)/0.72248</f>
        <v>276.82427195216474</v>
      </c>
      <c r="AJ139" s="33">
        <f>SUM('MasterA1(current$)'!AJ139)/0.73785</f>
        <v>143.6606356305482</v>
      </c>
      <c r="AK139" s="33">
        <f>SUM('MasterA1(current$)'!AK139)/0.75324</f>
        <v>256.22643513355638</v>
      </c>
      <c r="AL139" s="33">
        <f>SUM('MasterA1(current$)'!AL139)/0.76699</f>
        <v>187.74690673933168</v>
      </c>
      <c r="AM139" s="33">
        <f>SUM('MasterA1(current$)'!AM139)/0.78012</f>
        <v>175.61400810131775</v>
      </c>
      <c r="AN139" s="33">
        <f>SUM('MasterA1(current$)'!AN139)/0.78859</f>
        <v>173.72779264256457</v>
      </c>
      <c r="AO139" s="33">
        <f>SUM('MasterA1(current$)'!AO139)/0.80065</f>
        <v>177.35589833260477</v>
      </c>
      <c r="AP139" s="339">
        <f>SUM('MasterA1(current$)'!AP139)/0.81887</f>
        <v>194.17001477646025</v>
      </c>
      <c r="AQ139" s="339">
        <f>SUM('MasterA1(current$)'!AQ139)/0.83754</f>
        <v>188.64770637820286</v>
      </c>
      <c r="AR139" s="339">
        <f>SUM('MasterA1(current$)'!AR139)/0.85039</f>
        <v>179.91744964075306</v>
      </c>
      <c r="AS139" s="339">
        <f>SUM('MasterA1(current$)'!AS139)/0.86735</f>
        <v>174.09350319940049</v>
      </c>
      <c r="AT139" s="339">
        <f>SUM('MasterA1(current$)'!AT139)/0.8912</f>
        <v>191.87612208258528</v>
      </c>
      <c r="AU139" s="339">
        <f>SUM('MasterA1(current$)'!AU139)/0.91988</f>
        <v>190.24220550506587</v>
      </c>
      <c r="AV139" s="192">
        <f>SUM('MasterA1(current$)'!AV139)/0.94814</f>
        <v>208.82991963212183</v>
      </c>
      <c r="AW139" s="192">
        <f>SUM('MasterA1(current$)'!AW139)/0.97337</f>
        <v>221.90944861666171</v>
      </c>
      <c r="AX139" s="236">
        <f>('MasterA1(current$)'!AX139*100)/99.246</f>
        <v>242.83094532777142</v>
      </c>
      <c r="AY139" s="293">
        <f>('MasterA1(current$)'!AY139)</f>
        <v>232</v>
      </c>
      <c r="AZ139" s="420">
        <f>SUM('MasterA1(current$)'!AZ139*100)/101.221</f>
        <v>227.22557572045326</v>
      </c>
      <c r="BA139" s="420">
        <f>SUM('MasterA1(current$)'!BA139*100)/103.311</f>
        <v>187.78252073835313</v>
      </c>
      <c r="BB139" s="293" t="s">
        <v>3</v>
      </c>
      <c r="BC139" s="293" t="s">
        <v>3</v>
      </c>
      <c r="BD139" s="293" t="s">
        <v>3</v>
      </c>
      <c r="BE139" s="293" t="s">
        <v>3</v>
      </c>
      <c r="BF139" s="314" t="s">
        <v>3</v>
      </c>
      <c r="BG139" s="314" t="s">
        <v>3</v>
      </c>
      <c r="BH139" s="314" t="s">
        <v>3</v>
      </c>
      <c r="BI139" s="419" t="s">
        <v>9</v>
      </c>
      <c r="BJ139" s="419" t="s">
        <v>9</v>
      </c>
      <c r="BK139" s="573" t="s">
        <v>9</v>
      </c>
      <c r="BL139" s="573" t="s">
        <v>9</v>
      </c>
    </row>
    <row r="140" spans="1:88" ht="12.75" customHeight="1">
      <c r="A140" s="128" t="s">
        <v>32</v>
      </c>
      <c r="B140" s="291">
        <f>SUM('MasterA1(current$)'!B140)/0.1756</f>
        <v>113.89521640091115</v>
      </c>
      <c r="C140" s="462">
        <f>SUM('MasterA1(current$)'!C140)/0.178</f>
        <v>129.21348314606743</v>
      </c>
      <c r="D140" s="462">
        <f>SUM('MasterA1(current$)'!D140)/0.1798</f>
        <v>144.60511679644051</v>
      </c>
      <c r="E140" s="487">
        <f>SUM('MasterA1(current$)'!E140)/0.182</f>
        <v>164.83516483516485</v>
      </c>
      <c r="F140" s="487">
        <f>SUM('MasterA1(current$)'!F140)/0.1842</f>
        <v>168.29533116178067</v>
      </c>
      <c r="G140" s="487">
        <f>SUM('MasterA1(current$)'!G140)/0.18702</f>
        <v>176.45171639396855</v>
      </c>
      <c r="H140" s="487">
        <f>SUM('MasterA1(current$)'!H140)/0.19227</f>
        <v>182.03567899308266</v>
      </c>
      <c r="I140" s="487">
        <f>SUM('MasterA1(current$)'!I140)/0.19786</f>
        <v>192.0549883756191</v>
      </c>
      <c r="J140" s="487">
        <f>SUM('MasterA1(current$)'!J140)/0.20627</f>
        <v>198.76860425655693</v>
      </c>
      <c r="K140" s="487">
        <f>SUM('MasterA1(current$)'!K140)/0.21642</f>
        <v>207.92902689215416</v>
      </c>
      <c r="L140" s="487">
        <f>SUM('MasterA1(current$)'!L140)/0.22784</f>
        <v>232.61938202247191</v>
      </c>
      <c r="M140" s="487">
        <f>SUM('MasterA1(current$)'!M140)/0.23941</f>
        <v>258.96996783760073</v>
      </c>
      <c r="N140" s="487">
        <f>SUM('MasterA1(current$)'!N140)/0.24978</f>
        <v>264.23252462166704</v>
      </c>
      <c r="O140" s="487">
        <f>SUM('MasterA1(current$)'!O140)/0.26337</f>
        <v>280.97353533052359</v>
      </c>
      <c r="P140" s="487">
        <f>SUM('MasterA1(current$)'!P140)/0.28703</f>
        <v>268.26464132669059</v>
      </c>
      <c r="Q140" s="487">
        <f>SUM('MasterA1(current$)'!Q140)/0.31361</f>
        <v>302.9240139026179</v>
      </c>
      <c r="R140" s="487">
        <f>SUM('MasterA1(current$)'!R140)/0.33083</f>
        <v>329.47435238642203</v>
      </c>
      <c r="S140" s="487">
        <f>SUM('MasterA1(current$)'!S140)/0.35135</f>
        <v>352.92443432474738</v>
      </c>
      <c r="T140" s="487">
        <f>SUM('MasterA1(current$)'!T140)/0.37602</f>
        <v>359.02345619913831</v>
      </c>
      <c r="U140" s="487">
        <f>SUM('MasterA1(current$)'!U140)/0.40706</f>
        <v>356.21284331548179</v>
      </c>
      <c r="V140" s="487">
        <f>SUM('MasterA1(current$)'!V140)/0.44377</f>
        <v>299.70480203709127</v>
      </c>
      <c r="W140" s="487">
        <f>SUM('MasterA1(current$)'!W140)/0.4852</f>
        <v>362.73701566364383</v>
      </c>
      <c r="X140" s="487">
        <f>SUM('MasterA1(current$)'!X140)/0.5153</f>
        <v>376.4797205511353</v>
      </c>
      <c r="Y140" s="487">
        <f>SUM('MasterA1(current$)'!Y140)/0.53565</f>
        <v>393.91393633902737</v>
      </c>
      <c r="Z140" s="487">
        <f>SUM('MasterA1(current$)'!Z140)/0.55466</f>
        <v>418.27425810406373</v>
      </c>
      <c r="AA140" s="487">
        <f>SUM('MasterA1(current$)'!AA140)/0.5724</f>
        <v>401.81691125087349</v>
      </c>
      <c r="AB140" s="487">
        <f>SUM('MasterA1(current$)'!AB140)/0.58395</f>
        <v>407.56914119359539</v>
      </c>
      <c r="AC140" s="487">
        <f>SUM('MasterA1(current$)'!AC140)/0.59885</f>
        <v>357.35159054855137</v>
      </c>
      <c r="AD140" s="487">
        <f>SUM('MasterA1(current$)'!AD140)/0.61982</f>
        <v>416.24987899712818</v>
      </c>
      <c r="AE140" s="487">
        <f>SUM('MasterA1(current$)'!AE140)/0.64392</f>
        <v>427.07168592371721</v>
      </c>
      <c r="AF140" s="487">
        <f>SUM('MasterA1(current$)'!AF140)/0.66773</f>
        <v>756.29371153010948</v>
      </c>
      <c r="AG140" s="487">
        <f>SUM('MasterA1(current$)'!AG140)/0.68996</f>
        <v>768.16047307090264</v>
      </c>
      <c r="AH140" s="487">
        <f>SUM('MasterA1(current$)'!AH140)/0.70569</f>
        <v>745.36977993169796</v>
      </c>
      <c r="AI140" s="487">
        <f>SUM('MasterA1(current$)'!AI140)/0.72248</f>
        <v>786.18093234414789</v>
      </c>
      <c r="AJ140" s="487">
        <f>SUM('MasterA1(current$)'!AJ140)/0.73785</f>
        <v>655.95988344514467</v>
      </c>
      <c r="AK140" s="487">
        <f>SUM('MasterA1(current$)'!AK140)/0.75324</f>
        <v>800.54166002867612</v>
      </c>
      <c r="AL140" s="487">
        <f>SUM('MasterA1(current$)'!AL140)/0.76699</f>
        <v>681.88633489354493</v>
      </c>
      <c r="AM140" s="487">
        <f>SUM('MasterA1(current$)'!AM140)/0.78012</f>
        <v>649.90001538224885</v>
      </c>
      <c r="AN140" s="487">
        <f>SUM('MasterA1(current$)'!AN140)/0.78859</f>
        <v>654.3324160844038</v>
      </c>
      <c r="AO140" s="487">
        <f>SUM('MasterA1(current$)'!AO140)/0.80065</f>
        <v>713.17054892899523</v>
      </c>
      <c r="AP140" s="463">
        <f>SUM('MasterA1(current$)'!AP140)/0.81887</f>
        <v>696.08118504768765</v>
      </c>
      <c r="AQ140" s="463">
        <f>SUM('MasterA1(current$)'!AQ140)/0.83754</f>
        <v>725.9354777085274</v>
      </c>
      <c r="AR140" s="463">
        <f>SUM('MasterA1(current$)'!AR140)/0.85039</f>
        <v>719.66979856301225</v>
      </c>
      <c r="AS140" s="463">
        <f>SUM('MasterA1(current$)'!AS140)/0.86735</f>
        <v>732.11506312330664</v>
      </c>
      <c r="AT140" s="463">
        <f>SUM('MasterA1(current$)'!AT140)/0.8912</f>
        <v>760.77199281867149</v>
      </c>
      <c r="AU140" s="463">
        <f>SUM('MasterA1(current$)'!AU140)/0.91988</f>
        <v>777.27529677784059</v>
      </c>
      <c r="AV140" s="138">
        <f>SUM('MasterA1(current$)'!AV140)/0.94814</f>
        <v>855.35891324066063</v>
      </c>
      <c r="AW140" s="138">
        <f>SUM('MasterA1(current$)'!AW140)/0.97337</f>
        <v>925.65006112783431</v>
      </c>
      <c r="AX140" s="669">
        <f>('MasterA1(current$)'!AX140*100)/99.246</f>
        <v>993.49092154847551</v>
      </c>
      <c r="AY140" s="418">
        <f>SUM('MasterA1(current$)'!AY140)</f>
        <v>1036</v>
      </c>
      <c r="AZ140" s="418">
        <f>SUM('MasterA1(current$)'!AZ140*100)/101.221</f>
        <v>1052.1532093142728</v>
      </c>
      <c r="BA140" s="418">
        <f>SUM('MasterA1(current$)'!BA140*100)/103.311</f>
        <v>1019.2525481313703</v>
      </c>
      <c r="BB140" s="418">
        <f>SUM('MasterA1(current$)'!BB140*100)/105.214</f>
        <v>880.1110118425305</v>
      </c>
      <c r="BC140" s="418">
        <f>SUM('MasterA1(current$)'!BC140*100)/106.913</f>
        <v>1109.3131798752256</v>
      </c>
      <c r="BD140" s="418">
        <f>SUM('MasterA1(current$)'!BD140*100)/108.828</f>
        <v>1009.8504061454772</v>
      </c>
      <c r="BE140" s="418">
        <f>SUM('MasterA1(current$)'!BE140*100)/109.998</f>
        <v>993.65443008054683</v>
      </c>
      <c r="BF140" s="632">
        <f>SUM('MasterA1(current$)'!BF140*100)/111.298</f>
        <v>1035.0590307103453</v>
      </c>
      <c r="BG140" s="632">
        <f>SUM('MasterA1(current$)'!BG140*100)/113.198</f>
        <v>1110.4436474142653</v>
      </c>
      <c r="BH140" s="632">
        <f>SUM('MasterA1(current$)'!BH140*100)/115.198</f>
        <v>1152.7977916283269</v>
      </c>
      <c r="BI140" s="415">
        <f>(BG140-BF140)/BF140</f>
        <v>7.283122456521611E-2</v>
      </c>
      <c r="BJ140" s="415">
        <f>(BH140-BG140)/BG140</f>
        <v>3.8141642137974045E-2</v>
      </c>
      <c r="BK140" s="572">
        <f>BG140-BF140</f>
        <v>75.384616703920074</v>
      </c>
      <c r="BL140" s="572">
        <f>BH140-BG140</f>
        <v>42.354144214061535</v>
      </c>
    </row>
    <row r="141" spans="1:88" ht="6" customHeight="1">
      <c r="A141" s="125"/>
      <c r="B141" s="148"/>
      <c r="C141" s="65"/>
      <c r="D141" s="65"/>
      <c r="E141" s="344"/>
      <c r="F141" s="344"/>
      <c r="G141" s="344"/>
      <c r="H141" s="344"/>
      <c r="I141" s="344"/>
      <c r="J141" s="344"/>
      <c r="K141" s="344"/>
      <c r="L141" s="344"/>
      <c r="M141" s="344"/>
      <c r="N141" s="344"/>
      <c r="O141" s="344"/>
      <c r="P141" s="344"/>
      <c r="Q141" s="344"/>
      <c r="R141" s="344"/>
      <c r="S141" s="344"/>
      <c r="T141" s="344"/>
      <c r="U141" s="344"/>
      <c r="V141" s="344"/>
      <c r="W141" s="344"/>
      <c r="X141" s="344"/>
      <c r="Y141" s="344"/>
      <c r="Z141" s="344"/>
      <c r="AA141" s="344"/>
      <c r="AB141" s="344"/>
      <c r="AC141" s="344"/>
      <c r="AD141" s="344"/>
      <c r="AE141" s="344"/>
      <c r="AF141" s="344"/>
      <c r="AG141" s="344"/>
      <c r="AH141" s="344"/>
      <c r="AI141" s="344"/>
      <c r="AJ141" s="344"/>
      <c r="AK141" s="344"/>
      <c r="AL141" s="344"/>
      <c r="AM141" s="344"/>
      <c r="AN141" s="344"/>
      <c r="AO141" s="344"/>
      <c r="AP141" s="332"/>
      <c r="AQ141" s="332"/>
      <c r="AR141" s="332"/>
      <c r="AS141" s="332"/>
      <c r="AT141" s="332"/>
      <c r="AU141" s="332"/>
      <c r="AV141" s="172"/>
      <c r="AW141" s="172"/>
      <c r="AX141" s="172"/>
      <c r="AY141" s="451"/>
      <c r="AZ141" s="451"/>
      <c r="BA141" s="451"/>
      <c r="BB141" s="451"/>
      <c r="BC141" s="451"/>
      <c r="BD141" s="451"/>
      <c r="BE141" s="451"/>
      <c r="BF141" s="658"/>
      <c r="BG141" s="658"/>
      <c r="BH141" s="658"/>
      <c r="BI141" s="329"/>
      <c r="BJ141" s="329"/>
      <c r="BK141" s="570"/>
      <c r="BL141" s="570"/>
    </row>
    <row r="142" spans="1:88" s="350" customFormat="1" ht="10.5" customHeight="1">
      <c r="A142" s="426" t="s">
        <v>111</v>
      </c>
      <c r="B142" s="365" t="s">
        <v>3</v>
      </c>
      <c r="C142" s="365" t="s">
        <v>3</v>
      </c>
      <c r="D142" s="365" t="s">
        <v>3</v>
      </c>
      <c r="E142" s="102" t="s">
        <v>3</v>
      </c>
      <c r="F142" s="102" t="s">
        <v>3</v>
      </c>
      <c r="G142" s="102" t="s">
        <v>3</v>
      </c>
      <c r="H142" s="102" t="s">
        <v>3</v>
      </c>
      <c r="I142" s="102" t="s">
        <v>3</v>
      </c>
      <c r="J142" s="102" t="s">
        <v>3</v>
      </c>
      <c r="K142" s="102" t="s">
        <v>3</v>
      </c>
      <c r="L142" s="102" t="s">
        <v>3</v>
      </c>
      <c r="M142" s="102" t="s">
        <v>3</v>
      </c>
      <c r="N142" s="102" t="s">
        <v>3</v>
      </c>
      <c r="O142" s="102" t="s">
        <v>3</v>
      </c>
      <c r="P142" s="102" t="s">
        <v>3</v>
      </c>
      <c r="Q142" s="102" t="s">
        <v>3</v>
      </c>
      <c r="R142" s="102" t="s">
        <v>3</v>
      </c>
      <c r="S142" s="102" t="s">
        <v>3</v>
      </c>
      <c r="T142" s="102" t="s">
        <v>3</v>
      </c>
      <c r="U142" s="102" t="s">
        <v>3</v>
      </c>
      <c r="V142" s="102" t="s">
        <v>3</v>
      </c>
      <c r="W142" s="102" t="s">
        <v>3</v>
      </c>
      <c r="X142" s="102" t="s">
        <v>3</v>
      </c>
      <c r="Y142" s="102" t="s">
        <v>3</v>
      </c>
      <c r="Z142" s="102" t="s">
        <v>3</v>
      </c>
      <c r="AA142" s="102" t="s">
        <v>3</v>
      </c>
      <c r="AB142" s="102" t="s">
        <v>3</v>
      </c>
      <c r="AC142" s="102" t="s">
        <v>3</v>
      </c>
      <c r="AD142" s="102" t="s">
        <v>3</v>
      </c>
      <c r="AE142" s="102" t="s">
        <v>3</v>
      </c>
      <c r="AF142" s="102" t="s">
        <v>3</v>
      </c>
      <c r="AG142" s="102" t="s">
        <v>3</v>
      </c>
      <c r="AH142" s="102" t="s">
        <v>3</v>
      </c>
      <c r="AI142" s="102" t="s">
        <v>3</v>
      </c>
      <c r="AJ142" s="102" t="s">
        <v>3</v>
      </c>
      <c r="AK142" s="102" t="s">
        <v>3</v>
      </c>
      <c r="AL142" s="102" t="s">
        <v>3</v>
      </c>
      <c r="AM142" s="102" t="s">
        <v>3</v>
      </c>
      <c r="AN142" s="102" t="s">
        <v>3</v>
      </c>
      <c r="AO142" s="102" t="s">
        <v>3</v>
      </c>
      <c r="AP142" s="102" t="s">
        <v>3</v>
      </c>
      <c r="AQ142" s="102" t="s">
        <v>3</v>
      </c>
      <c r="AR142" s="102" t="s">
        <v>3</v>
      </c>
      <c r="AS142" s="102" t="s">
        <v>3</v>
      </c>
      <c r="AT142" s="102" t="s">
        <v>3</v>
      </c>
      <c r="AU142" s="102" t="s">
        <v>3</v>
      </c>
      <c r="AV142" s="102" t="s">
        <v>3</v>
      </c>
      <c r="AW142" s="102" t="s">
        <v>3</v>
      </c>
      <c r="AX142" s="102" t="s">
        <v>3</v>
      </c>
      <c r="AY142" s="365" t="s">
        <v>3</v>
      </c>
      <c r="AZ142" s="365" t="s">
        <v>3</v>
      </c>
      <c r="BA142" s="420">
        <f>SUM('MasterA1(current$)'!BA142*100)/103.311</f>
        <v>51.30141030480781</v>
      </c>
      <c r="BB142" s="420">
        <f>SUM('MasterA1(current$)'!BB142*100)/105.214</f>
        <v>222.40386260383599</v>
      </c>
      <c r="BC142" s="420">
        <f>SUM('MasterA1(current$)'!BC142*100)/106.913</f>
        <v>333.91636190173318</v>
      </c>
      <c r="BD142" s="420">
        <f>SUM('MasterA1(current$)'!BD142*100)/108.828</f>
        <v>396.03778439372218</v>
      </c>
      <c r="BE142" s="420">
        <f>SUM('MasterA1(current$)'!BE142*100)/109.998</f>
        <v>439.09889270714012</v>
      </c>
      <c r="BF142" s="634">
        <f>SUM('MasterA1(current$)'!BF142*100)/111.298</f>
        <v>526.51440277453321</v>
      </c>
      <c r="BG142" s="634">
        <f>SUM('MasterA1(current$)'!BG142*100)/113.198</f>
        <v>601.60073499531802</v>
      </c>
      <c r="BH142" s="634">
        <f>SUM('MasterA1(current$)'!BH142*100)/115.198</f>
        <v>546.88449452247437</v>
      </c>
      <c r="BI142" s="385">
        <f t="shared" ref="BI142" si="29">(BG142-BF142)/BF142</f>
        <v>0.14261021507694382</v>
      </c>
      <c r="BJ142" s="385">
        <f t="shared" ref="BJ142" si="30">(BH142-BG142)/BG142</f>
        <v>-9.0951086476431048E-2</v>
      </c>
      <c r="BK142" s="569">
        <f t="shared" ref="BK142" si="31">BG142-BF142</f>
        <v>75.086332220784811</v>
      </c>
      <c r="BL142" s="569">
        <f t="shared" ref="BL142" si="32">BH142-BG142</f>
        <v>-54.716240472843651</v>
      </c>
      <c r="BM142" s="331"/>
      <c r="BN142" s="331"/>
      <c r="BO142" s="331"/>
      <c r="BP142" s="331"/>
      <c r="BQ142" s="331"/>
      <c r="BR142" s="331"/>
      <c r="BS142" s="331"/>
      <c r="BT142" s="331"/>
      <c r="BU142" s="331"/>
      <c r="BV142" s="331"/>
      <c r="BW142" s="331"/>
      <c r="BX142" s="331"/>
      <c r="BY142" s="331"/>
      <c r="BZ142" s="331"/>
      <c r="CA142" s="331"/>
      <c r="CB142" s="331"/>
      <c r="CC142" s="331"/>
      <c r="CD142" s="331"/>
      <c r="CE142" s="331"/>
      <c r="CF142" s="331"/>
      <c r="CG142" s="331"/>
      <c r="CH142" s="331"/>
      <c r="CI142" s="331"/>
      <c r="CJ142" s="331"/>
    </row>
    <row r="143" spans="1:88" ht="6" customHeight="1">
      <c r="A143" s="125"/>
      <c r="B143" s="54"/>
      <c r="C143" s="55"/>
      <c r="D143" s="55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9"/>
      <c r="AQ143" s="339"/>
      <c r="AR143" s="339"/>
      <c r="AS143" s="339"/>
      <c r="AT143" s="339"/>
      <c r="AU143" s="339"/>
      <c r="AV143" s="339"/>
      <c r="AW143" s="339"/>
      <c r="AX143" s="98"/>
      <c r="AY143" s="416"/>
      <c r="AZ143" s="416"/>
      <c r="BA143" s="416"/>
      <c r="BB143" s="416"/>
      <c r="BC143" s="416"/>
      <c r="BD143" s="416"/>
      <c r="BE143" s="416"/>
      <c r="BF143" s="631"/>
      <c r="BG143" s="631"/>
      <c r="BH143" s="631"/>
      <c r="BI143" s="329"/>
      <c r="BJ143" s="329"/>
      <c r="BK143" s="570"/>
      <c r="BL143" s="570"/>
    </row>
    <row r="144" spans="1:88" ht="11.1" customHeight="1">
      <c r="A144" s="125" t="s">
        <v>22</v>
      </c>
      <c r="B144" s="54">
        <f>SUM('MasterA1(current$)'!B144)/0.1756</f>
        <v>11.389521640091116</v>
      </c>
      <c r="C144" s="55">
        <f>SUM('MasterA1(current$)'!C144)/0.178</f>
        <v>16.853932584269664</v>
      </c>
      <c r="D144" s="55">
        <f>SUM('MasterA1(current$)'!D144)/0.1798</f>
        <v>11.123470522803116</v>
      </c>
      <c r="E144" s="33">
        <f>SUM('MasterA1(current$)'!E144)/0.182</f>
        <v>16.483516483516485</v>
      </c>
      <c r="F144" s="33">
        <f>SUM('MasterA1(current$)'!F144)/0.1842</f>
        <v>16.286644951140065</v>
      </c>
      <c r="G144" s="33">
        <f>SUM('MasterA1(current$)'!G144)/0.18702</f>
        <v>16.041065126724416</v>
      </c>
      <c r="H144" s="33">
        <f>SUM('MasterA1(current$)'!H144)/0.19227</f>
        <v>15.603058199407084</v>
      </c>
      <c r="I144" s="33">
        <f>SUM('MasterA1(current$)'!I144)/0.19786</f>
        <v>15.162235924390982</v>
      </c>
      <c r="J144" s="33">
        <f>SUM('MasterA1(current$)'!J144)/0.20627</f>
        <v>14.544044213894409</v>
      </c>
      <c r="K144" s="33">
        <f>SUM('MasterA1(current$)'!K144)/0.21642</f>
        <v>18.482580168191479</v>
      </c>
      <c r="L144" s="33">
        <f>SUM('MasterA1(current$)'!L144)/0.22784</f>
        <v>17.556179775280899</v>
      </c>
      <c r="M144" s="33">
        <f>SUM('MasterA1(current$)'!M144)/0.23941</f>
        <v>16.707739860490371</v>
      </c>
      <c r="N144" s="33">
        <f>SUM('MasterA1(current$)'!N144)/0.24978</f>
        <v>20.017615501641444</v>
      </c>
      <c r="O144" s="33">
        <f>SUM('MasterA1(current$)'!O144)/0.26337</f>
        <v>22.781637999772183</v>
      </c>
      <c r="P144" s="33">
        <f>SUM('MasterA1(current$)'!P144)/0.28703</f>
        <v>20.90373828519667</v>
      </c>
      <c r="Q144" s="33">
        <f>SUM('MasterA1(current$)'!Q144)/0.31361</f>
        <v>22.320716813877109</v>
      </c>
      <c r="R144" s="33">
        <f>SUM('MasterA1(current$)'!R144)/0.33083</f>
        <v>24.18160384487501</v>
      </c>
      <c r="S144" s="33">
        <f>SUM('MasterA1(current$)'!S144)/0.35135</f>
        <v>22.769318343532092</v>
      </c>
      <c r="T144" s="33">
        <f>SUM('MasterA1(current$)'!T144)/0.37602</f>
        <v>23.934897079942555</v>
      </c>
      <c r="U144" s="33">
        <f>SUM('MasterA1(current$)'!U144)/0.40706</f>
        <v>24.566402987274603</v>
      </c>
      <c r="V144" s="33">
        <f>SUM('MasterA1(current$)'!V144)/0.44377</f>
        <v>27.041034770263874</v>
      </c>
      <c r="W144" s="33">
        <f>SUM('MasterA1(current$)'!W144)/0.4852</f>
        <v>28.854080791426213</v>
      </c>
      <c r="X144" s="33">
        <f>SUM('MasterA1(current$)'!X144)/0.5153</f>
        <v>29.10925674364448</v>
      </c>
      <c r="Y144" s="33">
        <f>SUM('MasterA1(current$)'!Y144)/0.53565</f>
        <v>28.003360403248394</v>
      </c>
      <c r="Z144" s="33">
        <f>SUM('MasterA1(current$)'!Z144)/0.55466</f>
        <v>32.452313128763564</v>
      </c>
      <c r="AA144" s="33">
        <f>SUM('MasterA1(current$)'!AA144)/0.5724</f>
        <v>38.434661076170507</v>
      </c>
      <c r="AB144" s="33">
        <f>SUM('MasterA1(current$)'!AB144)/0.58395</f>
        <v>44.524359962325541</v>
      </c>
      <c r="AC144" s="33">
        <f>SUM('MasterA1(current$)'!AC144)/0.59885</f>
        <v>45.086415629957422</v>
      </c>
      <c r="AD144" s="33">
        <f>SUM('MasterA1(current$)'!AD144)/0.61982</f>
        <v>53.241263592655926</v>
      </c>
      <c r="AE144" s="33">
        <f>SUM('MasterA1(current$)'!AE144)/0.64392</f>
        <v>52.801590259659584</v>
      </c>
      <c r="AF144" s="33">
        <f>SUM('MasterA1(current$)'!AF144)/0.66773</f>
        <v>53.914007158582059</v>
      </c>
      <c r="AG144" s="33">
        <f>SUM('MasterA1(current$)'!AG144)/0.68996</f>
        <v>53.626297176647917</v>
      </c>
      <c r="AH144" s="33">
        <f>SUM('MasterA1(current$)'!AH144)/0.70569</f>
        <v>55.265059728776087</v>
      </c>
      <c r="AI144" s="33">
        <f>SUM('MasterA1(current$)'!AI144)/0.72248</f>
        <v>52.596611670911308</v>
      </c>
      <c r="AJ144" s="33">
        <f>SUM('MasterA1(current$)'!AJ144)/0.73785</f>
        <v>47.435115538388558</v>
      </c>
      <c r="AK144" s="33">
        <f>SUM('MasterA1(current$)'!AK144)/0.75324</f>
        <v>53.103924380011684</v>
      </c>
      <c r="AL144" s="33">
        <f>SUM('MasterA1(current$)'!AL144)/0.76699</f>
        <v>52.151918538703249</v>
      </c>
      <c r="AM144" s="33">
        <f>SUM('MasterA1(current$)'!AM144)/0.78012</f>
        <v>42.301184433164124</v>
      </c>
      <c r="AN144" s="33">
        <f>SUM('MasterA1(current$)'!AN144)/0.78859</f>
        <v>40.578754485854496</v>
      </c>
      <c r="AO144" s="33">
        <f>SUM('MasterA1(current$)'!AO144)/0.80065</f>
        <v>42.465496783863109</v>
      </c>
      <c r="AP144" s="339">
        <f>SUM('MasterA1(current$)'!AP144)/0.81887</f>
        <v>39.078241967589484</v>
      </c>
      <c r="AQ144" s="339">
        <f>SUM('MasterA1(current$)'!AQ144)/0.83754</f>
        <v>45.370967356782963</v>
      </c>
      <c r="AR144" s="339">
        <f>SUM('MasterA1(current$)'!AR144)/0.85039</f>
        <v>42.333517562530133</v>
      </c>
      <c r="AS144" s="339">
        <f>SUM('MasterA1(current$)'!AS144)/0.86735</f>
        <v>42.658672969389521</v>
      </c>
      <c r="AT144" s="339">
        <f>SUM('MasterA1(current$)'!AT144)/0.8912</f>
        <v>43.761220825852782</v>
      </c>
      <c r="AU144" s="339">
        <f>SUM('MasterA1(current$)'!AU144)/0.91988</f>
        <v>43.483932686872201</v>
      </c>
      <c r="AV144" s="339">
        <f>SUM('MasterA1(current$)'!AV144)/0.94814</f>
        <v>41.133165988145208</v>
      </c>
      <c r="AW144" s="339">
        <f>SUM('MasterA1(current$)'!AW144)/0.97337</f>
        <v>41.094342336418833</v>
      </c>
      <c r="AX144" s="341">
        <f>('MasterA1(current$)'!AX144*100)/99.246</f>
        <v>42.319085907744395</v>
      </c>
      <c r="AY144" s="420">
        <f>SUM('MasterA1(current$)'!AY144)</f>
        <v>45</v>
      </c>
      <c r="AZ144" s="420">
        <f>SUM('MasterA1(current$)'!AZ144*100)/101.221</f>
        <v>49.396864287055053</v>
      </c>
      <c r="BA144" s="420">
        <f>SUM('MasterA1(current$)'!BA144*100)/103.311</f>
        <v>51.30141030480781</v>
      </c>
      <c r="BB144" s="420">
        <f>SUM('MasterA1(current$)'!BB144*100)/105.214</f>
        <v>50.37352443591157</v>
      </c>
      <c r="BC144" s="420">
        <f>SUM('MasterA1(current$)'!BC144*100)/106.913</f>
        <v>49.573017313142465</v>
      </c>
      <c r="BD144" s="420">
        <f>SUM('MasterA1(current$)'!BD144*100)/108.828</f>
        <v>48.700702025214099</v>
      </c>
      <c r="BE144" s="420">
        <f>SUM('MasterA1(current$)'!BE144*100)/109.998</f>
        <v>51.819123984072434</v>
      </c>
      <c r="BF144" s="634">
        <f>SUM('MasterA1(current$)'!BF144*100)/111.298</f>
        <v>56.604790741972003</v>
      </c>
      <c r="BG144" s="634">
        <f>SUM('MasterA1(current$)'!BG144*100)/113.198</f>
        <v>71.556034558914476</v>
      </c>
      <c r="BH144" s="634">
        <f>SUM('MasterA1(current$)'!BH144*100)/115.198</f>
        <v>63.369155714508935</v>
      </c>
      <c r="BI144" s="385">
        <f t="shared" ref="BI144" si="33">(BG144-BF144)/BF144</f>
        <v>0.26413389433937512</v>
      </c>
      <c r="BJ144" s="385">
        <f t="shared" ref="BJ144" si="34">(BH144-BG144)/BG144</f>
        <v>-0.11441213721345905</v>
      </c>
      <c r="BK144" s="569">
        <f t="shared" ref="BK144" si="35">BG144-BF144</f>
        <v>14.951243816942473</v>
      </c>
      <c r="BL144" s="569">
        <f t="shared" ref="BL144" si="36">BH144-BG144</f>
        <v>-8.1868788444055411</v>
      </c>
    </row>
    <row r="145" spans="1:64" ht="6" customHeight="1">
      <c r="A145" s="125"/>
      <c r="B145" s="54"/>
      <c r="C145" s="55"/>
      <c r="D145" s="55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9"/>
      <c r="AQ145" s="339"/>
      <c r="AR145" s="339"/>
      <c r="AS145" s="339"/>
      <c r="AT145" s="339"/>
      <c r="AU145" s="339"/>
      <c r="AV145" s="339"/>
      <c r="AW145" s="339"/>
      <c r="AX145" s="341"/>
      <c r="AY145" s="420"/>
      <c r="AZ145" s="420"/>
      <c r="BA145" s="420"/>
      <c r="BB145" s="420"/>
      <c r="BC145" s="420"/>
      <c r="BD145" s="420"/>
      <c r="BE145" s="420"/>
      <c r="BF145" s="634"/>
      <c r="BG145" s="634"/>
      <c r="BH145" s="634"/>
      <c r="BI145" s="329"/>
      <c r="BJ145" s="329"/>
      <c r="BK145" s="570"/>
      <c r="BL145" s="570"/>
    </row>
    <row r="146" spans="1:64" ht="10.5" customHeight="1">
      <c r="A146" s="125" t="s">
        <v>5</v>
      </c>
      <c r="B146" s="54">
        <f>SUM('MasterA1(current$)'!B146)/0.1756</f>
        <v>74.031890660592254</v>
      </c>
      <c r="C146" s="55">
        <f>SUM('MasterA1(current$)'!C146)/0.178</f>
        <v>78.651685393258433</v>
      </c>
      <c r="D146" s="55">
        <f>SUM('MasterA1(current$)'!D146)/0.1798</f>
        <v>77.864293659621808</v>
      </c>
      <c r="E146" s="33">
        <f>SUM('MasterA1(current$)'!E146)/0.182</f>
        <v>76.92307692307692</v>
      </c>
      <c r="F146" s="33">
        <f>SUM('MasterA1(current$)'!F146)/0.1842</f>
        <v>81.433224755700323</v>
      </c>
      <c r="G146" s="33">
        <f>SUM('MasterA1(current$)'!G146)/0.18702</f>
        <v>80.205325633622081</v>
      </c>
      <c r="H146" s="33">
        <f>SUM('MasterA1(current$)'!H146)/0.19227</f>
        <v>26.005096999011808</v>
      </c>
      <c r="I146" s="33">
        <f>SUM('MasterA1(current$)'!I146)/0.19786</f>
        <v>55.594865056100268</v>
      </c>
      <c r="J146" s="33">
        <f>SUM('MasterA1(current$)'!J146)/0.20627</f>
        <v>96.960294759296062</v>
      </c>
      <c r="K146" s="33">
        <f>SUM('MasterA1(current$)'!K146)/0.21642</f>
        <v>55.44774050457444</v>
      </c>
      <c r="L146" s="33">
        <f>SUM('MasterA1(current$)'!L146)/0.22784</f>
        <v>131.67134831460675</v>
      </c>
      <c r="M146" s="33">
        <f>SUM('MasterA1(current$)'!M146)/0.23941</f>
        <v>196.31594336076185</v>
      </c>
      <c r="N146" s="33">
        <f>SUM('MasterA1(current$)'!N146)/0.24978</f>
        <v>88.077508207222351</v>
      </c>
      <c r="O146" s="33">
        <f>SUM('MasterA1(current$)'!O146)/0.26337</f>
        <v>151.8775866651479</v>
      </c>
      <c r="P146" s="33">
        <f>SUM('MasterA1(current$)'!P146)/0.28703</f>
        <v>243.87694666062779</v>
      </c>
      <c r="Q146" s="33">
        <f>SUM('MasterA1(current$)'!Q146)/0.31361</f>
        <v>220.01849430821721</v>
      </c>
      <c r="R146" s="33">
        <f>SUM('MasterA1(current$)'!R146)/0.33083</f>
        <v>205.5436326814376</v>
      </c>
      <c r="S146" s="33">
        <f>SUM('MasterA1(current$)'!S146)/0.35135</f>
        <v>202.0777002988473</v>
      </c>
      <c r="T146" s="33">
        <f>SUM('MasterA1(current$)'!T146)/0.37602</f>
        <v>226.05180575501302</v>
      </c>
      <c r="U146" s="33">
        <f>SUM('MasterA1(current$)'!U146)/0.40706</f>
        <v>218.64098658674399</v>
      </c>
      <c r="V146" s="33">
        <f>SUM('MasterA1(current$)'!V146)/0.44377</f>
        <v>272.66376726682739</v>
      </c>
      <c r="W146" s="33">
        <f>SUM('MasterA1(current$)'!W146)/0.4852</f>
        <v>92.745259686727124</v>
      </c>
      <c r="X146" s="33">
        <f>SUM('MasterA1(current$)'!X146)/0.5153</f>
        <v>254.22084222782846</v>
      </c>
      <c r="Y146" s="33">
        <f>SUM('MasterA1(current$)'!Y146)/0.53565</f>
        <v>175.48772519368993</v>
      </c>
      <c r="Z146" s="33">
        <f>SUM('MasterA1(current$)'!Z146)/0.55466</f>
        <v>292.0708181588721</v>
      </c>
      <c r="AA146" s="33">
        <f>SUM('MasterA1(current$)'!AA146)/0.5724</f>
        <v>482.1802935010482</v>
      </c>
      <c r="AB146" s="33">
        <f>SUM('MasterA1(current$)'!AB146)/0.58395</f>
        <v>899.04957616234276</v>
      </c>
      <c r="AC146" s="33">
        <f>SUM('MasterA1(current$)'!AC146)/0.59885</f>
        <v>520.99858061284124</v>
      </c>
      <c r="AD146" s="33">
        <f>SUM('MasterA1(current$)'!AD146)/0.61982</f>
        <v>772.80500790552094</v>
      </c>
      <c r="AE146" s="33">
        <f>SUM('MasterA1(current$)'!AE146)/0.64392</f>
        <v>792.0238538948937</v>
      </c>
      <c r="AF146" s="33">
        <f>SUM('MasterA1(current$)'!AF146)/0.66773</f>
        <v>712.86298354125165</v>
      </c>
      <c r="AG146" s="33">
        <f>SUM('MasterA1(current$)'!AG146)/0.68996</f>
        <v>381.18151776914601</v>
      </c>
      <c r="AH146" s="33">
        <f>SUM('MasterA1(current$)'!AH146)/0.70569</f>
        <v>520.05838257591859</v>
      </c>
      <c r="AI146" s="33">
        <f>SUM('MasterA1(current$)'!AI146)/0.72248</f>
        <v>849.85051489314583</v>
      </c>
      <c r="AJ146" s="33">
        <f>SUM('MasterA1(current$)'!AJ146)/0.73785</f>
        <v>538.04973910686454</v>
      </c>
      <c r="AK146" s="33">
        <f>SUM('MasterA1(current$)'!AK146)/0.75324</f>
        <v>924.00828421220331</v>
      </c>
      <c r="AL146" s="33">
        <f>SUM('MasterA1(current$)'!AL146)/0.76699</f>
        <v>701.44330434555866</v>
      </c>
      <c r="AM146" s="33">
        <f>SUM('MasterA1(current$)'!AM146)/0.78012</f>
        <v>917.80751679228831</v>
      </c>
      <c r="AN146" s="33">
        <f>SUM('MasterA1(current$)'!AN146)/0.78859</f>
        <v>740.56226936684459</v>
      </c>
      <c r="AO146" s="33">
        <f>SUM('MasterA1(current$)'!AO146)/0.80065</f>
        <v>651.97027415225136</v>
      </c>
      <c r="AP146" s="339">
        <f>SUM('MasterA1(current$)'!AP146)/0.81887</f>
        <v>805.98874058153308</v>
      </c>
      <c r="AQ146" s="339">
        <f>SUM('MasterA1(current$)'!AQ146)/0.83754</f>
        <v>718.77164075745645</v>
      </c>
      <c r="AR146" s="339">
        <f>SUM('MasterA1(current$)'!AR146)/0.85039</f>
        <v>769.05890238596407</v>
      </c>
      <c r="AS146" s="339">
        <f>SUM('MasterA1(current$)'!AS146)/0.86735</f>
        <v>743.64443419611462</v>
      </c>
      <c r="AT146" s="339">
        <f>SUM('MasterA1(current$)'!AT146)/0.8912</f>
        <v>748.42908438061045</v>
      </c>
      <c r="AU146" s="339">
        <f>SUM('MasterA1(current$)'!AU146)/0.91988</f>
        <v>555.50724007479232</v>
      </c>
      <c r="AV146" s="339">
        <f>SUM('MasterA1(current$)'!AV146)/0.94814</f>
        <v>619.10688294977535</v>
      </c>
      <c r="AW146" s="339">
        <f>SUM('MasterA1(current$)'!AW146)/0.97337</f>
        <v>588.01400725535268</v>
      </c>
      <c r="AX146" s="341">
        <f>('MasterA1(current$)'!AX146*100)/99.246</f>
        <v>660.41832728875625</v>
      </c>
      <c r="AY146" s="420">
        <f>SUM('MasterA1(current$)'!AY146)</f>
        <v>759</v>
      </c>
      <c r="AZ146" s="420">
        <f>SUM('MasterA1(current$)'!AZ146*100)/101.221</f>
        <v>855.55368945179362</v>
      </c>
      <c r="BA146" s="420">
        <f>SUM('MasterA1(current$)'!BA146*100)/103.311</f>
        <v>953.43187075916398</v>
      </c>
      <c r="BB146" s="417">
        <f>SUM('MasterA1(current$)'!BB146*100)/105.214</f>
        <v>958.99785199688256</v>
      </c>
      <c r="BC146" s="417">
        <f>SUM('MasterA1(current$)'!BC146*100)/106.913</f>
        <v>949.3700485441434</v>
      </c>
      <c r="BD146" s="417">
        <f>SUM('MasterA1(current$)'!BD146*100)/108.828</f>
        <v>926.008348692759</v>
      </c>
      <c r="BE146" s="417">
        <f>SUM('MasterA1(current$)'!BE146*100)/109.998</f>
        <v>920.92583501518209</v>
      </c>
      <c r="BF146" s="539">
        <f>SUM('MasterA1(current$)'!BF146*100)/111.298</f>
        <v>1044.9424068716419</v>
      </c>
      <c r="BG146" s="539">
        <f>SUM('MasterA1(current$)'!BG146*100)/113.198</f>
        <v>936.41230410431285</v>
      </c>
      <c r="BH146" s="539">
        <f>SUM('MasterA1(current$)'!BH146*100)/115.198</f>
        <v>969.6348894946093</v>
      </c>
      <c r="BI146" s="385">
        <f t="shared" ref="BI146" si="37">(BG146-BF146)/BF146</f>
        <v>-0.1038622818383335</v>
      </c>
      <c r="BJ146" s="385">
        <f t="shared" ref="BJ146" si="38">(BH146-BG146)/BG146</f>
        <v>3.5478586990667707E-2</v>
      </c>
      <c r="BK146" s="569">
        <f t="shared" ref="BK146" si="39">BG146-BF146</f>
        <v>-108.53010276732903</v>
      </c>
      <c r="BL146" s="569">
        <f t="shared" ref="BL146" si="40">BH146-BG146</f>
        <v>33.222585390296445</v>
      </c>
    </row>
    <row r="147" spans="1:64" ht="6" customHeight="1">
      <c r="A147" s="125"/>
      <c r="B147" s="35"/>
      <c r="C147" s="36"/>
      <c r="D147" s="36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495"/>
      <c r="AN147" s="495"/>
      <c r="AO147" s="495"/>
      <c r="AP147" s="339"/>
      <c r="AQ147" s="339"/>
      <c r="AR147" s="339"/>
      <c r="AS147" s="339"/>
      <c r="AT147" s="339"/>
      <c r="AU147" s="339"/>
      <c r="AV147" s="339"/>
      <c r="AW147" s="339"/>
      <c r="AX147" s="341"/>
      <c r="AY147" s="420"/>
      <c r="AZ147" s="420"/>
      <c r="BA147" s="420"/>
      <c r="BB147" s="420"/>
      <c r="BC147" s="420"/>
      <c r="BD147" s="420"/>
      <c r="BE147" s="420"/>
      <c r="BF147" s="634"/>
      <c r="BG147" s="634"/>
      <c r="BH147" s="634"/>
      <c r="BI147" s="329"/>
      <c r="BJ147" s="329"/>
      <c r="BK147" s="570"/>
      <c r="BL147" s="570"/>
    </row>
    <row r="148" spans="1:64" ht="12" customHeight="1">
      <c r="A148" s="426" t="s">
        <v>114</v>
      </c>
      <c r="B148" s="338" t="s">
        <v>3</v>
      </c>
      <c r="C148" s="338" t="s">
        <v>3</v>
      </c>
      <c r="D148" s="338" t="s">
        <v>3</v>
      </c>
      <c r="E148" s="342" t="s">
        <v>3</v>
      </c>
      <c r="F148" s="342" t="s">
        <v>3</v>
      </c>
      <c r="G148" s="342" t="s">
        <v>3</v>
      </c>
      <c r="H148" s="342" t="s">
        <v>3</v>
      </c>
      <c r="I148" s="342" t="s">
        <v>3</v>
      </c>
      <c r="J148" s="342" t="s">
        <v>3</v>
      </c>
      <c r="K148" s="342" t="s">
        <v>3</v>
      </c>
      <c r="L148" s="342" t="s">
        <v>3</v>
      </c>
      <c r="M148" s="342" t="s">
        <v>3</v>
      </c>
      <c r="N148" s="342" t="s">
        <v>3</v>
      </c>
      <c r="O148" s="342" t="s">
        <v>3</v>
      </c>
      <c r="P148" s="342" t="s">
        <v>3</v>
      </c>
      <c r="Q148" s="342" t="s">
        <v>3</v>
      </c>
      <c r="R148" s="342" t="s">
        <v>3</v>
      </c>
      <c r="S148" s="342" t="s">
        <v>3</v>
      </c>
      <c r="T148" s="342" t="s">
        <v>3</v>
      </c>
      <c r="U148" s="342" t="s">
        <v>3</v>
      </c>
      <c r="V148" s="342" t="s">
        <v>3</v>
      </c>
      <c r="W148" s="342" t="s">
        <v>3</v>
      </c>
      <c r="X148" s="342" t="s">
        <v>3</v>
      </c>
      <c r="Y148" s="342" t="s">
        <v>3</v>
      </c>
      <c r="Z148" s="342" t="s">
        <v>3</v>
      </c>
      <c r="AA148" s="342" t="s">
        <v>3</v>
      </c>
      <c r="AB148" s="342" t="s">
        <v>3</v>
      </c>
      <c r="AC148" s="342" t="s">
        <v>3</v>
      </c>
      <c r="AD148" s="342" t="s">
        <v>3</v>
      </c>
      <c r="AE148" s="342" t="s">
        <v>3</v>
      </c>
      <c r="AF148" s="33">
        <f>SUM('MasterA1(current$)'!AF148)/0.66773</f>
        <v>7.4880565498030638</v>
      </c>
      <c r="AG148" s="33">
        <f>SUM('MasterA1(current$)'!AG148)/0.68996</f>
        <v>1.4493593831526466</v>
      </c>
      <c r="AH148" s="33">
        <f>SUM('MasterA1(current$)'!AH148)/0.70569</f>
        <v>1.4170528135583613</v>
      </c>
      <c r="AI148" s="33">
        <f>SUM('MasterA1(current$)'!AI148)/0.72248</f>
        <v>1.3841213597608237</v>
      </c>
      <c r="AJ148" s="33">
        <f>SUM('MasterA1(current$)'!AJ148)/0.73785</f>
        <v>1.3552890153825303</v>
      </c>
      <c r="AK148" s="33">
        <f>SUM('MasterA1(current$)'!AK148)/0.75324</f>
        <v>2.655196219000584</v>
      </c>
      <c r="AL148" s="33">
        <f>SUM('MasterA1(current$)'!AL148)/0.76699</f>
        <v>2.6075959269351623</v>
      </c>
      <c r="AM148" s="33">
        <f>SUM('MasterA1(current$)'!AM148)/0.78012</f>
        <v>1.2818540737322464</v>
      </c>
      <c r="AN148" s="33">
        <f>SUM('MasterA1(current$)'!AN148)/0.78859</f>
        <v>2.536172155365906</v>
      </c>
      <c r="AO148" s="33">
        <f>SUM('MasterA1(current$)'!AO148)/0.80065</f>
        <v>1.2489851995253856</v>
      </c>
      <c r="AP148" s="339">
        <f>SUM('MasterA1(current$)'!AP148)/0.81887</f>
        <v>3.6635851844615139</v>
      </c>
      <c r="AQ148" s="339">
        <f>SUM('MasterA1(current$)'!AQ148)/0.83754</f>
        <v>2.3879456503569978</v>
      </c>
      <c r="AR148" s="339">
        <f>SUM('MasterA1(current$)'!AR148)/0.85039</f>
        <v>2.3518620868072295</v>
      </c>
      <c r="AS148" s="339">
        <f>SUM('MasterA1(current$)'!AS148)/0.86735</f>
        <v>2.3058742145615958</v>
      </c>
      <c r="AT148" s="339">
        <f>SUM('MasterA1(current$)'!AT148)/0.8912</f>
        <v>2.2441651705565531</v>
      </c>
      <c r="AU148" s="339">
        <f>SUM('MasterA1(current$)'!AU148)/0.91988</f>
        <v>2.1741966343436099</v>
      </c>
      <c r="AV148" s="339">
        <f>SUM('MasterA1(current$)'!AV148)/0.94814</f>
        <v>2.1093931275971904</v>
      </c>
      <c r="AW148" s="339">
        <f>SUM('MasterA1(current$)'!AW148)/0.97337</f>
        <v>14.383019817746593</v>
      </c>
      <c r="AX148" s="341">
        <f>('MasterA1(current$)'!AX148*100)/99.246</f>
        <v>16.121556536283578</v>
      </c>
      <c r="AY148" s="420">
        <f>SUM('MasterA1(current$)'!AY148)</f>
        <v>16</v>
      </c>
      <c r="AZ148" s="420">
        <f>SUM('MasterA1(current$)'!AZ148*100)/101.221</f>
        <v>16.794933857598718</v>
      </c>
      <c r="BA148" s="420">
        <f>SUM('MasterA1(current$)'!BA148*100)/103.311</f>
        <v>16.455169343051562</v>
      </c>
      <c r="BB148" s="420">
        <f>SUM('MasterA1(current$)'!BB148*100)/105.214</f>
        <v>16.157545573782958</v>
      </c>
      <c r="BC148" s="420">
        <f>SUM('MasterA1(current$)'!BC148*100)/106.913</f>
        <v>16.836119087482345</v>
      </c>
      <c r="BD148" s="420">
        <f>SUM('MasterA1(current$)'!BD148*100)/108.828</f>
        <v>19.296504576028227</v>
      </c>
      <c r="BE148" s="420">
        <f>SUM('MasterA1(current$)'!BE148*100)/109.998</f>
        <v>16.363933889707084</v>
      </c>
      <c r="BF148" s="634">
        <f>SUM('MasterA1(current$)'!BF148*100)/111.298</f>
        <v>17.071286096785208</v>
      </c>
      <c r="BG148" s="634">
        <f>SUM('MasterA1(current$)'!BG148*100)/113.198</f>
        <v>16.784748847152777</v>
      </c>
      <c r="BH148" s="634">
        <f>SUM('MasterA1(current$)'!BH148*100)/115.198</f>
        <v>16.493341898296848</v>
      </c>
      <c r="BI148" s="385">
        <f t="shared" ref="BI148" si="41">(BG148-BF148)/BF148</f>
        <v>-1.6784748847152805E-2</v>
      </c>
      <c r="BJ148" s="385">
        <f t="shared" ref="BJ148" si="42">(BH148-BG148)/BG148</f>
        <v>-1.7361412524522883E-2</v>
      </c>
      <c r="BK148" s="569">
        <f t="shared" ref="BK148" si="43">BG148-BF148</f>
        <v>-0.28653724963243121</v>
      </c>
      <c r="BL148" s="569">
        <f t="shared" ref="BL148" si="44">BH148-BG148</f>
        <v>-0.29140694885592922</v>
      </c>
    </row>
    <row r="149" spans="1:64" ht="6" customHeight="1">
      <c r="A149" s="125"/>
      <c r="B149" s="35"/>
      <c r="C149" s="36"/>
      <c r="D149" s="36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495"/>
      <c r="AN149" s="495"/>
      <c r="AO149" s="495"/>
      <c r="AP149" s="339"/>
      <c r="AQ149" s="339"/>
      <c r="AR149" s="339"/>
      <c r="AS149" s="339"/>
      <c r="AT149" s="339"/>
      <c r="AU149" s="339"/>
      <c r="AV149" s="339"/>
      <c r="AW149" s="339"/>
      <c r="AX149" s="341"/>
      <c r="AY149" s="420"/>
      <c r="AZ149" s="420"/>
      <c r="BA149" s="420"/>
      <c r="BB149" s="420"/>
      <c r="BC149" s="420"/>
      <c r="BD149" s="420"/>
      <c r="BE149" s="420"/>
      <c r="BF149" s="634"/>
      <c r="BG149" s="634"/>
      <c r="BH149" s="634"/>
      <c r="BI149" s="329"/>
      <c r="BJ149" s="329"/>
      <c r="BK149" s="570"/>
      <c r="BL149" s="570"/>
    </row>
    <row r="150" spans="1:64" ht="11.25" customHeight="1">
      <c r="A150" s="129" t="s">
        <v>140</v>
      </c>
      <c r="B150" s="338" t="s">
        <v>3</v>
      </c>
      <c r="C150" s="338" t="s">
        <v>3</v>
      </c>
      <c r="D150" s="338" t="s">
        <v>3</v>
      </c>
      <c r="E150" s="342" t="s">
        <v>3</v>
      </c>
      <c r="F150" s="342" t="s">
        <v>3</v>
      </c>
      <c r="G150" s="342" t="s">
        <v>3</v>
      </c>
      <c r="H150" s="342" t="s">
        <v>3</v>
      </c>
      <c r="I150" s="342" t="s">
        <v>3</v>
      </c>
      <c r="J150" s="342" t="s">
        <v>3</v>
      </c>
      <c r="K150" s="342" t="s">
        <v>3</v>
      </c>
      <c r="L150" s="342" t="s">
        <v>3</v>
      </c>
      <c r="M150" s="342" t="s">
        <v>3</v>
      </c>
      <c r="N150" s="342" t="s">
        <v>3</v>
      </c>
      <c r="O150" s="342" t="s">
        <v>3</v>
      </c>
      <c r="P150" s="342" t="s">
        <v>3</v>
      </c>
      <c r="Q150" s="342" t="s">
        <v>3</v>
      </c>
      <c r="R150" s="342" t="s">
        <v>3</v>
      </c>
      <c r="S150" s="342" t="s">
        <v>3</v>
      </c>
      <c r="T150" s="342" t="s">
        <v>3</v>
      </c>
      <c r="U150" s="342" t="s">
        <v>3</v>
      </c>
      <c r="V150" s="342" t="s">
        <v>3</v>
      </c>
      <c r="W150" s="342" t="s">
        <v>3</v>
      </c>
      <c r="X150" s="342" t="s">
        <v>3</v>
      </c>
      <c r="Y150" s="342" t="s">
        <v>3</v>
      </c>
      <c r="Z150" s="342" t="s">
        <v>3</v>
      </c>
      <c r="AA150" s="342" t="s">
        <v>3</v>
      </c>
      <c r="AB150" s="342" t="s">
        <v>3</v>
      </c>
      <c r="AC150" s="342" t="s">
        <v>3</v>
      </c>
      <c r="AD150" s="342" t="s">
        <v>3</v>
      </c>
      <c r="AE150" s="342" t="s">
        <v>3</v>
      </c>
      <c r="AF150" s="33">
        <f>SUM('MasterA1(current$)'!AF150)/0.66773</f>
        <v>1.4976113099606128</v>
      </c>
      <c r="AG150" s="33">
        <f>SUM('MasterA1(current$)'!AG150)/0.68996</f>
        <v>15.942953214679111</v>
      </c>
      <c r="AH150" s="33">
        <f>SUM('MasterA1(current$)'!AH150)/0.70569</f>
        <v>18.421686576258697</v>
      </c>
      <c r="AI150" s="33">
        <f>SUM('MasterA1(current$)'!AI150)/0.72248</f>
        <v>22.14594175617318</v>
      </c>
      <c r="AJ150" s="33">
        <f>SUM('MasterA1(current$)'!AJ150)/0.73785</f>
        <v>18.974046215355425</v>
      </c>
      <c r="AK150" s="33">
        <f>SUM('MasterA1(current$)'!AK150)/0.75324</f>
        <v>17.258775423503796</v>
      </c>
      <c r="AL150" s="33">
        <f>SUM('MasterA1(current$)'!AL150)/0.76699</f>
        <v>18.253171488546137</v>
      </c>
      <c r="AM150" s="33">
        <f>SUM('MasterA1(current$)'!AM150)/0.78012</f>
        <v>19.227811105983694</v>
      </c>
      <c r="AN150" s="33">
        <f>SUM('MasterA1(current$)'!AN150)/0.78859</f>
        <v>21.557463320610204</v>
      </c>
      <c r="AO150" s="33">
        <f>SUM('MasterA1(current$)'!AO150)/0.80065</f>
        <v>22.481733591456941</v>
      </c>
      <c r="AP150" s="339">
        <f>SUM('MasterA1(current$)'!AP150)/0.81887</f>
        <v>21.981511106769084</v>
      </c>
      <c r="AQ150" s="339">
        <f>SUM('MasterA1(current$)'!AQ150)/0.83754</f>
        <v>22.685483678391481</v>
      </c>
      <c r="AR150" s="339">
        <f>SUM('MasterA1(current$)'!AR150)/0.85039</f>
        <v>27.046413998283143</v>
      </c>
      <c r="AS150" s="339">
        <f>SUM('MasterA1(current$)'!AS150)/0.86735</f>
        <v>26.517553467458352</v>
      </c>
      <c r="AT150" s="339">
        <f>SUM('MasterA1(current$)'!AT150)/0.8912</f>
        <v>25.807899461400361</v>
      </c>
      <c r="AU150" s="339">
        <f>SUM('MasterA1(current$)'!AU150)/0.91988</f>
        <v>34.787146149497758</v>
      </c>
      <c r="AV150" s="339">
        <f>SUM('MasterA1(current$)'!AV150)/0.94814</f>
        <v>32.695593477756447</v>
      </c>
      <c r="AW150" s="339">
        <f>SUM('MasterA1(current$)'!AW150)/0.97337</f>
        <v>33.90283242754554</v>
      </c>
      <c r="AX150" s="341">
        <f>('MasterA1(current$)'!AX150*100)/99.246</f>
        <v>37.281099490155775</v>
      </c>
      <c r="AY150" s="420">
        <f>SUM('MasterA1(current$)'!AY150)</f>
        <v>33</v>
      </c>
      <c r="AZ150" s="293" t="s">
        <v>3</v>
      </c>
      <c r="BA150" s="293" t="s">
        <v>3</v>
      </c>
      <c r="BB150" s="293" t="s">
        <v>3</v>
      </c>
      <c r="BC150" s="293" t="s">
        <v>3</v>
      </c>
      <c r="BD150" s="293" t="s">
        <v>3</v>
      </c>
      <c r="BE150" s="293" t="s">
        <v>3</v>
      </c>
      <c r="BF150" s="314" t="s">
        <v>3</v>
      </c>
      <c r="BG150" s="314" t="s">
        <v>3</v>
      </c>
      <c r="BH150" s="314" t="s">
        <v>3</v>
      </c>
      <c r="BI150" s="424"/>
      <c r="BJ150" s="424"/>
      <c r="BK150" s="573"/>
      <c r="BL150" s="573" t="s">
        <v>9</v>
      </c>
    </row>
    <row r="151" spans="1:64" ht="6" customHeight="1">
      <c r="A151" s="125"/>
      <c r="B151" s="35"/>
      <c r="C151" s="36"/>
      <c r="D151" s="36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495"/>
      <c r="AN151" s="495"/>
      <c r="AO151" s="495"/>
      <c r="AP151" s="339"/>
      <c r="AQ151" s="339"/>
      <c r="AR151" s="339"/>
      <c r="AS151" s="339"/>
      <c r="AT151" s="339"/>
      <c r="AU151" s="339"/>
      <c r="AV151" s="339"/>
      <c r="AW151" s="339"/>
      <c r="AX151" s="341"/>
      <c r="AY151" s="420"/>
      <c r="AZ151" s="420"/>
      <c r="BA151" s="420"/>
      <c r="BB151" s="420"/>
      <c r="BC151" s="420"/>
      <c r="BD151" s="420"/>
      <c r="BE151" s="420"/>
      <c r="BF151" s="634"/>
      <c r="BG151" s="634"/>
      <c r="BH151" s="634"/>
      <c r="BI151" s="385"/>
      <c r="BJ151" s="385"/>
      <c r="BK151" s="571"/>
      <c r="BL151" s="571"/>
    </row>
    <row r="152" spans="1:64" ht="11.25" customHeight="1">
      <c r="A152" s="129" t="s">
        <v>141</v>
      </c>
      <c r="B152" s="68" t="s">
        <v>3</v>
      </c>
      <c r="C152" s="68" t="s">
        <v>3</v>
      </c>
      <c r="D152" s="68" t="s">
        <v>3</v>
      </c>
      <c r="E152" s="342" t="s">
        <v>3</v>
      </c>
      <c r="F152" s="342" t="s">
        <v>3</v>
      </c>
      <c r="G152" s="342" t="s">
        <v>3</v>
      </c>
      <c r="H152" s="342" t="s">
        <v>3</v>
      </c>
      <c r="I152" s="342" t="s">
        <v>3</v>
      </c>
      <c r="J152" s="342" t="s">
        <v>3</v>
      </c>
      <c r="K152" s="342" t="s">
        <v>3</v>
      </c>
      <c r="L152" s="342" t="s">
        <v>3</v>
      </c>
      <c r="M152" s="342" t="s">
        <v>3</v>
      </c>
      <c r="N152" s="342" t="s">
        <v>3</v>
      </c>
      <c r="O152" s="342" t="s">
        <v>3</v>
      </c>
      <c r="P152" s="342" t="s">
        <v>3</v>
      </c>
      <c r="Q152" s="342" t="s">
        <v>3</v>
      </c>
      <c r="R152" s="342" t="s">
        <v>3</v>
      </c>
      <c r="S152" s="342" t="s">
        <v>3</v>
      </c>
      <c r="T152" s="342" t="s">
        <v>3</v>
      </c>
      <c r="U152" s="342" t="s">
        <v>3</v>
      </c>
      <c r="V152" s="342" t="s">
        <v>3</v>
      </c>
      <c r="W152" s="342" t="s">
        <v>3</v>
      </c>
      <c r="X152" s="342" t="s">
        <v>3</v>
      </c>
      <c r="Y152" s="342" t="s">
        <v>3</v>
      </c>
      <c r="Z152" s="342" t="s">
        <v>3</v>
      </c>
      <c r="AA152" s="342" t="s">
        <v>3</v>
      </c>
      <c r="AB152" s="342" t="s">
        <v>3</v>
      </c>
      <c r="AC152" s="342" t="s">
        <v>3</v>
      </c>
      <c r="AD152" s="342" t="s">
        <v>3</v>
      </c>
      <c r="AE152" s="342" t="s">
        <v>3</v>
      </c>
      <c r="AF152" s="342" t="s">
        <v>3</v>
      </c>
      <c r="AG152" s="342" t="s">
        <v>3</v>
      </c>
      <c r="AH152" s="342" t="s">
        <v>3</v>
      </c>
      <c r="AI152" s="342" t="s">
        <v>3</v>
      </c>
      <c r="AJ152" s="342" t="s">
        <v>3</v>
      </c>
      <c r="AK152" s="342" t="s">
        <v>3</v>
      </c>
      <c r="AL152" s="342" t="s">
        <v>3</v>
      </c>
      <c r="AM152" s="342" t="s">
        <v>3</v>
      </c>
      <c r="AN152" s="342" t="s">
        <v>3</v>
      </c>
      <c r="AO152" s="342" t="s">
        <v>3</v>
      </c>
      <c r="AP152" s="342" t="s">
        <v>3</v>
      </c>
      <c r="AQ152" s="342" t="s">
        <v>3</v>
      </c>
      <c r="AR152" s="342" t="s">
        <v>3</v>
      </c>
      <c r="AS152" s="342" t="s">
        <v>3</v>
      </c>
      <c r="AT152" s="342" t="s">
        <v>3</v>
      </c>
      <c r="AU152" s="342" t="s">
        <v>3</v>
      </c>
      <c r="AV152" s="342" t="s">
        <v>3</v>
      </c>
      <c r="AW152" s="342" t="s">
        <v>3</v>
      </c>
      <c r="AX152" s="342" t="s">
        <v>3</v>
      </c>
      <c r="AY152" s="420">
        <f>SUM('MasterA1(current$)'!AY152)</f>
        <v>33</v>
      </c>
      <c r="AZ152" s="420">
        <f>SUM('MasterA1(current$)'!AZ152*100)/101.221</f>
        <v>121.51628614615544</v>
      </c>
      <c r="BA152" s="420">
        <f>SUM('MasterA1(current$)'!BA152*100)/103.311</f>
        <v>167.45554684399531</v>
      </c>
      <c r="BB152" s="420">
        <f>SUM('MasterA1(current$)'!BB152*100)/105.214</f>
        <v>216.7011994601479</v>
      </c>
      <c r="BC152" s="420">
        <f>SUM('MasterA1(current$)'!BC152*100)/106.913</f>
        <v>219.80488808657506</v>
      </c>
      <c r="BD152" s="420">
        <f>SUM('MasterA1(current$)'!BD152*100)/108.828</f>
        <v>226.96364906090344</v>
      </c>
      <c r="BE152" s="420">
        <f>SUM('MasterA1(current$)'!BE152*100)/109.998</f>
        <v>222.73132238767977</v>
      </c>
      <c r="BF152" s="634">
        <f>SUM('MasterA1(current$)'!BF152*100)/111.298</f>
        <v>225.52067422595195</v>
      </c>
      <c r="BG152" s="634">
        <f>SUM('MasterA1(current$)'!BG152*100)/113.198</f>
        <v>236.75329952826024</v>
      </c>
      <c r="BH152" s="634">
        <f>SUM('MasterA1(current$)'!BH152*100)/115.198</f>
        <v>234.37906908106044</v>
      </c>
      <c r="BI152" s="385">
        <f t="shared" ref="BI152" si="45">(BG152-BF152)/BF152</f>
        <v>4.9807519159215476E-2</v>
      </c>
      <c r="BJ152" s="385">
        <f t="shared" ref="BJ152" si="46">(BH152-BG152)/BG152</f>
        <v>-1.0028288737392676E-2</v>
      </c>
      <c r="BK152" s="569">
        <f t="shared" ref="BK152" si="47">BG152-BF152</f>
        <v>11.232625302308293</v>
      </c>
      <c r="BL152" s="569">
        <f t="shared" ref="BL152" si="48">BH152-BG152</f>
        <v>-2.3742304471998068</v>
      </c>
    </row>
    <row r="153" spans="1:64" ht="6" customHeight="1">
      <c r="A153" s="125"/>
      <c r="B153" s="35"/>
      <c r="C153" s="36"/>
      <c r="D153" s="36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495"/>
      <c r="AN153" s="495"/>
      <c r="AO153" s="495"/>
      <c r="AP153" s="339"/>
      <c r="AQ153" s="339"/>
      <c r="AR153" s="339"/>
      <c r="AS153" s="339"/>
      <c r="AT153" s="339"/>
      <c r="AU153" s="339"/>
      <c r="AV153" s="339"/>
      <c r="AW153" s="339"/>
      <c r="AX153" s="341"/>
      <c r="AY153" s="420"/>
      <c r="AZ153" s="420"/>
      <c r="BA153" s="420"/>
      <c r="BB153" s="420"/>
      <c r="BC153" s="420"/>
      <c r="BD153" s="420"/>
      <c r="BE153" s="420"/>
      <c r="BF153" s="634"/>
      <c r="BG153" s="634"/>
      <c r="BH153" s="634"/>
      <c r="BI153" s="329"/>
      <c r="BJ153" s="329"/>
      <c r="BK153" s="570"/>
      <c r="BL153" s="570"/>
    </row>
    <row r="154" spans="1:64" ht="11.1" customHeight="1">
      <c r="A154" s="126" t="s">
        <v>142</v>
      </c>
      <c r="B154" s="35"/>
      <c r="C154" s="36"/>
      <c r="D154" s="36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289"/>
      <c r="BG154" s="289"/>
      <c r="BH154" s="289"/>
      <c r="BI154" s="329"/>
      <c r="BJ154" s="329"/>
      <c r="BK154" s="570"/>
      <c r="BL154" s="570"/>
    </row>
    <row r="155" spans="1:64" ht="10.5" customHeight="1">
      <c r="A155" s="129" t="s">
        <v>143</v>
      </c>
      <c r="B155" s="51" t="s">
        <v>3</v>
      </c>
      <c r="C155" s="51" t="s">
        <v>3</v>
      </c>
      <c r="D155" s="51" t="s">
        <v>3</v>
      </c>
      <c r="E155" s="224" t="s">
        <v>3</v>
      </c>
      <c r="F155" s="224" t="s">
        <v>3</v>
      </c>
      <c r="G155" s="224" t="s">
        <v>3</v>
      </c>
      <c r="H155" s="224" t="s">
        <v>3</v>
      </c>
      <c r="I155" s="224" t="s">
        <v>3</v>
      </c>
      <c r="J155" s="224" t="s">
        <v>3</v>
      </c>
      <c r="K155" s="224" t="s">
        <v>3</v>
      </c>
      <c r="L155" s="224" t="s">
        <v>3</v>
      </c>
      <c r="M155" s="224" t="s">
        <v>3</v>
      </c>
      <c r="N155" s="224" t="s">
        <v>3</v>
      </c>
      <c r="O155" s="224" t="s">
        <v>3</v>
      </c>
      <c r="P155" s="224" t="s">
        <v>3</v>
      </c>
      <c r="Q155" s="224" t="s">
        <v>3</v>
      </c>
      <c r="R155" s="224" t="s">
        <v>3</v>
      </c>
      <c r="S155" s="33">
        <f>SUM('MasterA1(current$)'!S155)/0.35135</f>
        <v>150.8467340259001</v>
      </c>
      <c r="T155" s="33">
        <f>SUM('MasterA1(current$)'!T155)/0.37602</f>
        <v>154.24711451518536</v>
      </c>
      <c r="U155" s="33">
        <f>SUM('MasterA1(current$)'!U155)/0.40706</f>
        <v>167.05154031346731</v>
      </c>
      <c r="V155" s="33">
        <f>SUM('MasterA1(current$)'!V155)/0.44377</f>
        <v>193.79408252022444</v>
      </c>
      <c r="W155" s="33">
        <f>SUM('MasterA1(current$)'!W155)/0.4852</f>
        <v>206.10057708161582</v>
      </c>
      <c r="X155" s="33">
        <f>SUM('MasterA1(current$)'!X155)/0.5153</f>
        <v>230.93343683291289</v>
      </c>
      <c r="Y155" s="33">
        <f>SUM('MasterA1(current$)'!Y155)/0.53565</f>
        <v>246.42957154858584</v>
      </c>
      <c r="Z155" s="33">
        <f>SUM('MasterA1(current$)'!Z155)/0.55466</f>
        <v>254.20978617531458</v>
      </c>
      <c r="AA155" s="33">
        <f>SUM('MasterA1(current$)'!AA155)/0.5724</f>
        <v>265.54856743535987</v>
      </c>
      <c r="AB155" s="33">
        <f>SUM('MasterA1(current$)'!AB155)/0.58395</f>
        <v>280.8459628392842</v>
      </c>
      <c r="AC155" s="33">
        <f>SUM('MasterA1(current$)'!AC155)/0.59885</f>
        <v>283.87743174417636</v>
      </c>
      <c r="AD155" s="33">
        <f>SUM('MasterA1(current$)'!AD155)/0.61982</f>
        <v>301.70049369171693</v>
      </c>
      <c r="AE155" s="33">
        <f>SUM('MasterA1(current$)'!AE155)/0.64392</f>
        <v>305.93862591626288</v>
      </c>
      <c r="AF155" s="33">
        <f>SUM('MasterA1(current$)'!AF155)/0.66773</f>
        <v>317.4935977116499</v>
      </c>
      <c r="AG155" s="33">
        <f>SUM('MasterA1(current$)'!AG155)/0.68996</f>
        <v>343.49817380717724</v>
      </c>
      <c r="AH155" s="33">
        <f>SUM('MasterA1(current$)'!AH155)/0.70569</f>
        <v>391.10657654210769</v>
      </c>
      <c r="AI155" s="33">
        <f>SUM('MasterA1(current$)'!AI155)/0.72248</f>
        <v>451.22356328202858</v>
      </c>
      <c r="AJ155" s="33">
        <f>SUM('MasterA1(current$)'!AJ155)/0.73785</f>
        <v>489.25933455309342</v>
      </c>
      <c r="AK155" s="33">
        <f>SUM('MasterA1(current$)'!AK155)/0.75324</f>
        <v>520.41845892411447</v>
      </c>
      <c r="AL155" s="33">
        <f>SUM('MasterA1(current$)'!AL155)/0.76699</f>
        <v>552.81033651025439</v>
      </c>
      <c r="AM155" s="33">
        <f>SUM('MasterA1(current$)'!AM155)/0.78012</f>
        <v>558.88837614725935</v>
      </c>
      <c r="AN155" s="33">
        <f>SUM('MasterA1(current$)'!AN155)/0.78859</f>
        <v>573.17490711269477</v>
      </c>
      <c r="AO155" s="33">
        <f>SUM('MasterA1(current$)'!AO155)/0.80065</f>
        <v>595.76594017360901</v>
      </c>
      <c r="AP155" s="339">
        <f>SUM('MasterA1(current$)'!AP155)/0.81887</f>
        <v>655.78174801861098</v>
      </c>
      <c r="AQ155" s="339">
        <f>SUM('MasterA1(current$)'!AQ155)/0.83754</f>
        <v>531.317907204432</v>
      </c>
      <c r="AR155" s="339">
        <f>SUM('MasterA1(current$)'!AR155)/0.85039</f>
        <v>553.86352144310263</v>
      </c>
      <c r="AS155" s="339">
        <f>SUM('MasterA1(current$)'!AS155)/0.86735</f>
        <v>579.92736496224131</v>
      </c>
      <c r="AT155" s="339">
        <f>SUM('MasterA1(current$)'!AT155)/0.8912</f>
        <v>554.30879712746855</v>
      </c>
      <c r="AU155" s="339">
        <f>SUM('MasterA1(current$)'!AU155)/0.91988</f>
        <v>564.20402661216679</v>
      </c>
      <c r="AV155" s="339">
        <f>SUM('MasterA1(current$)'!AV155)/0.94814</f>
        <v>586.41128947201889</v>
      </c>
      <c r="AW155" s="339">
        <f>SUM('MasterA1(current$)'!AW155)/0.97337</f>
        <v>609.22362513740927</v>
      </c>
      <c r="AX155" s="341">
        <f>('MasterA1(current$)'!AX155*100)/99.246</f>
        <v>646.87745601837855</v>
      </c>
      <c r="AY155" s="420">
        <f>SUM('MasterA1(current$)'!AY155)</f>
        <v>725</v>
      </c>
      <c r="AZ155" s="420">
        <f>SUM('MasterA1(current$)'!AZ155*100)/101.221</f>
        <v>792.32570316436306</v>
      </c>
      <c r="BA155" s="420">
        <f>SUM('MasterA1(current$)'!BA155*100)/103.311</f>
        <v>904.06636273000936</v>
      </c>
      <c r="BB155" s="420">
        <f>SUM('MasterA1(current$)'!BB155*100)/105.214</f>
        <v>1004.6191571463874</v>
      </c>
      <c r="BC155" s="420">
        <f>SUM('MasterA1(current$)'!BC155*100)/106.913</f>
        <v>1046.6454032718191</v>
      </c>
      <c r="BD155" s="420">
        <f>SUM('MasterA1(current$)'!BD155*100)/108.828</f>
        <v>1074.1720880655714</v>
      </c>
      <c r="BE155" s="420" t="e">
        <f>SUM('MasterA1(current$)'!#REF!*100)/109.998</f>
        <v>#REF!</v>
      </c>
      <c r="BF155" s="634">
        <f>SUM('MasterA1(current$)'!BE155*100)/111.298</f>
        <v>1124.9079049039515</v>
      </c>
      <c r="BG155" s="634">
        <f>SUM('MasterA1(current$)'!BG155*100)/113.198</f>
        <v>1158.1476704535417</v>
      </c>
      <c r="BH155" s="634">
        <f>SUM('MasterA1(current$)'!BH155*100)/115.198</f>
        <v>1138.0405909824824</v>
      </c>
      <c r="BI155" s="385">
        <f t="shared" ref="BI155:BI156" si="49">(BG155-BF155)/BF155</f>
        <v>2.9548877205577376E-2</v>
      </c>
      <c r="BJ155" s="385">
        <f t="shared" ref="BJ155:BJ156" si="50">(BH155-BG155)/BG155</f>
        <v>-1.7361412524522998E-2</v>
      </c>
      <c r="BK155" s="569">
        <f t="shared" ref="BK155:BK156" si="51">BG155-BF155</f>
        <v>33.239765549590174</v>
      </c>
      <c r="BL155" s="569">
        <f t="shared" ref="BL155:BL156" si="52">BH155-BG155</f>
        <v>-20.107079471059251</v>
      </c>
    </row>
    <row r="156" spans="1:64" ht="11.1" customHeight="1">
      <c r="A156" s="125" t="s">
        <v>23</v>
      </c>
      <c r="B156" s="148">
        <f>SUM('MasterA1(current$)'!B156)/0.1756</f>
        <v>11.389521640091116</v>
      </c>
      <c r="C156" s="65">
        <f>SUM('MasterA1(current$)'!C156)/0.178</f>
        <v>11.235955056179776</v>
      </c>
      <c r="D156" s="65">
        <f>SUM('MasterA1(current$)'!D156)/0.1798</f>
        <v>11.123470522803116</v>
      </c>
      <c r="E156" s="344">
        <f>SUM('MasterA1(current$)'!E156)/0.182</f>
        <v>10.989010989010989</v>
      </c>
      <c r="F156" s="344">
        <f>SUM('MasterA1(current$)'!F156)/0.1842</f>
        <v>10.857763300760043</v>
      </c>
      <c r="G156" s="344">
        <f>SUM('MasterA1(current$)'!G156)/0.18702</f>
        <v>10.694043417816276</v>
      </c>
      <c r="H156" s="344">
        <f>SUM('MasterA1(current$)'!H156)/0.19227</f>
        <v>15.603058199407084</v>
      </c>
      <c r="I156" s="344">
        <f>SUM('MasterA1(current$)'!I156)/0.19786</f>
        <v>15.162235924390982</v>
      </c>
      <c r="J156" s="344">
        <f>SUM('MasterA1(current$)'!J156)/0.20627</f>
        <v>19.392058951859212</v>
      </c>
      <c r="K156" s="344">
        <f>SUM('MasterA1(current$)'!K156)/0.21642</f>
        <v>18.482580168191479</v>
      </c>
      <c r="L156" s="344">
        <f>SUM('MasterA1(current$)'!L156)/0.22784</f>
        <v>21.945224719101123</v>
      </c>
      <c r="M156" s="344">
        <f>SUM('MasterA1(current$)'!M156)/0.23941</f>
        <v>25.061609790735556</v>
      </c>
      <c r="N156" s="344">
        <f>SUM('MasterA1(current$)'!N156)/0.24978</f>
        <v>24.021138601969731</v>
      </c>
      <c r="O156" s="344">
        <f>SUM('MasterA1(current$)'!O156)/0.26337</f>
        <v>30.375517333029578</v>
      </c>
      <c r="P156" s="344">
        <f>SUM('MasterA1(current$)'!P156)/0.28703</f>
        <v>31.355607427795004</v>
      </c>
      <c r="Q156" s="344">
        <f>SUM('MasterA1(current$)'!Q156)/0.31361</f>
        <v>35.075412136092602</v>
      </c>
      <c r="R156" s="344">
        <f>SUM('MasterA1(current$)'!R156)/0.33083</f>
        <v>36.272405767312513</v>
      </c>
      <c r="S156" s="344">
        <f>SUM('MasterA1(current$)'!S156)/0.35135</f>
        <v>37.000142308239646</v>
      </c>
      <c r="T156" s="344">
        <f>SUM('MasterA1(current$)'!T156)/0.37602</f>
        <v>37.232062124355089</v>
      </c>
      <c r="U156" s="33">
        <f>SUM('MasterA1(current$)'!U156)/0.40706</f>
        <v>44.219525377094286</v>
      </c>
      <c r="V156" s="344">
        <f>SUM('MasterA1(current$)'!V156)/0.44377</f>
        <v>42.81497171958447</v>
      </c>
      <c r="W156" s="344">
        <f>SUM('MasterA1(current$)'!W156)/0.4852</f>
        <v>43.28112118713932</v>
      </c>
      <c r="X156" s="344">
        <f>SUM('MasterA1(current$)'!X156)/0.5153</f>
        <v>42.693576557345239</v>
      </c>
      <c r="Y156" s="344">
        <f>SUM('MasterA1(current$)'!Y156)/0.53565</f>
        <v>46.672267338747318</v>
      </c>
      <c r="Z156" s="344">
        <f>SUM('MasterA1(current$)'!Z156)/0.55466</f>
        <v>45.072657123282731</v>
      </c>
      <c r="AA156" s="344">
        <f>SUM('MasterA1(current$)'!AA156)/0.5724</f>
        <v>47.169811320754718</v>
      </c>
      <c r="AB156" s="344">
        <f>SUM('MasterA1(current$)'!AB156)/0.58395</f>
        <v>51.374261494991011</v>
      </c>
      <c r="AC156" s="344">
        <f>SUM('MasterA1(current$)'!AC156)/0.59885</f>
        <v>40.076813893295487</v>
      </c>
      <c r="AD156" s="344">
        <f>SUM('MasterA1(current$)'!AD156)/0.61982</f>
        <v>40.334290600496914</v>
      </c>
      <c r="AE156" s="344">
        <f>SUM('MasterA1(current$)'!AE156)/0.64392</f>
        <v>41.930674617964961</v>
      </c>
      <c r="AF156" s="344">
        <f>SUM('MasterA1(current$)'!AF156)/0.66773</f>
        <v>44.928339298818379</v>
      </c>
      <c r="AG156" s="344">
        <f>SUM('MasterA1(current$)'!AG156)/0.68996</f>
        <v>56.52501594295321</v>
      </c>
      <c r="AH156" s="344">
        <f>SUM('MasterA1(current$)'!AH156)/0.70569</f>
        <v>59.516218169451172</v>
      </c>
      <c r="AI156" s="344">
        <f>SUM('MasterA1(current$)'!AI156)/0.72248</f>
        <v>70.59018934780201</v>
      </c>
      <c r="AJ156" s="344">
        <f>SUM('MasterA1(current$)'!AJ156)/0.73785</f>
        <v>78.606762892186765</v>
      </c>
      <c r="AK156" s="344">
        <f>SUM('MasterA1(current$)'!AK156)/0.75324</f>
        <v>90.276671446019861</v>
      </c>
      <c r="AL156" s="344">
        <f>SUM('MasterA1(current$)'!AL156)/0.76699</f>
        <v>87.354463552327942</v>
      </c>
      <c r="AM156" s="344">
        <f>SUM('MasterA1(current$)'!AM156)/0.78012</f>
        <v>91.011639234989488</v>
      </c>
      <c r="AN156" s="344">
        <f>SUM('MasterA1(current$)'!AN156)/0.78859</f>
        <v>88.766025437806718</v>
      </c>
      <c r="AO156" s="344">
        <f>SUM('MasterA1(current$)'!AO156)/0.80065</f>
        <v>97.420845562980077</v>
      </c>
      <c r="AP156" s="332">
        <f>SUM('MasterA1(current$)'!AP156)/0.81887</f>
        <v>96.474409857486535</v>
      </c>
      <c r="AQ156" s="332">
        <f>SUM('MasterA1(current$)'!AQ156)/0.83754</f>
        <v>112.23344556677891</v>
      </c>
      <c r="AR156" s="332">
        <f>SUM('MasterA1(current$)'!AR156)/0.85039</f>
        <v>118.7690353837651</v>
      </c>
      <c r="AS156" s="332">
        <f>SUM('MasterA1(current$)'!AS156)/0.86735</f>
        <v>126.82308180088776</v>
      </c>
      <c r="AT156" s="332">
        <f>SUM('MasterA1(current$)'!AT156)/0.8912</f>
        <v>125.67324955116696</v>
      </c>
      <c r="AU156" s="332">
        <f>SUM('MasterA1(current$)'!AU156)/0.91988</f>
        <v>132.62599469496021</v>
      </c>
      <c r="AV156" s="192">
        <f>SUM('MasterA1(current$)'!AV156)/0.94814</f>
        <v>129.7276773472272</v>
      </c>
      <c r="AW156" s="192">
        <f>SUM('MasterA1(current$)'!AW156)/0.97337</f>
        <v>158.21321799521252</v>
      </c>
      <c r="AX156" s="236">
        <f>('MasterA1(current$)'!AX156*100)/99.246</f>
        <v>149.1243979606231</v>
      </c>
      <c r="AY156" s="420">
        <f>SUM('MasterA1(current$)'!AY156)</f>
        <v>164</v>
      </c>
      <c r="AZ156" s="420">
        <f>SUM('MasterA1(current$)'!AZ156*100)/101.221</f>
        <v>139.29915728949527</v>
      </c>
      <c r="BA156" s="420">
        <f>SUM('MasterA1(current$)'!BA156*100)/103.311</f>
        <v>141.32086612267813</v>
      </c>
      <c r="BB156" s="420">
        <f>SUM('MasterA1(current$)'!BB156*100)/105.214</f>
        <v>164.42678730967361</v>
      </c>
      <c r="BC156" s="420">
        <f>SUM('MasterA1(current$)'!BC156*100)/106.913</f>
        <v>164.61983107760517</v>
      </c>
      <c r="BD156" s="420">
        <f>SUM('MasterA1(current$)'!BD156*100)/108.828</f>
        <v>181.93847171683757</v>
      </c>
      <c r="BE156" s="420">
        <f>SUM('MasterA1(current$)'!BE156*100)/109.998</f>
        <v>202.73095874470445</v>
      </c>
      <c r="BF156" s="634">
        <f>SUM('MasterA1(current$)'!BF156*100)/111.298</f>
        <v>216.53578680659132</v>
      </c>
      <c r="BG156" s="634">
        <f>SUM('MasterA1(current$)'!BG156*100)/113.198</f>
        <v>225.26899768547148</v>
      </c>
      <c r="BH156" s="634">
        <f>SUM('MasterA1(current$)'!BH156*100)/115.198</f>
        <v>221.35800968766821</v>
      </c>
      <c r="BI156" s="385">
        <f t="shared" si="49"/>
        <v>4.0331489809029203E-2</v>
      </c>
      <c r="BJ156" s="385">
        <f t="shared" si="50"/>
        <v>-1.7361412524522883E-2</v>
      </c>
      <c r="BK156" s="569">
        <f t="shared" si="51"/>
        <v>8.7332108788801577</v>
      </c>
      <c r="BL156" s="569">
        <f t="shared" si="52"/>
        <v>-3.9109879978032609</v>
      </c>
    </row>
    <row r="157" spans="1:64" ht="11.1" customHeight="1">
      <c r="A157" s="128" t="s">
        <v>32</v>
      </c>
      <c r="B157" s="119" t="e">
        <f>SUM(#REF!)/0.1756</f>
        <v>#REF!</v>
      </c>
      <c r="C157" s="119">
        <f>SUM('MasterA1(current$)'!C157)/0.178</f>
        <v>11.235955056179776</v>
      </c>
      <c r="D157" s="118">
        <f>SUM('MasterA1(current$)'!D157)/0.1798</f>
        <v>11.123470522803116</v>
      </c>
      <c r="E157" s="464">
        <f>SUM('MasterA1(current$)'!E157)/0.182</f>
        <v>10.989010989010989</v>
      </c>
      <c r="F157" s="464">
        <f>SUM('MasterA1(current$)'!F157)/0.1842</f>
        <v>10.857763300760043</v>
      </c>
      <c r="G157" s="464">
        <f>SUM('MasterA1(current$)'!G157)/0.18702</f>
        <v>10.694043417816276</v>
      </c>
      <c r="H157" s="464">
        <f>SUM('MasterA1(current$)'!H157)/0.19227</f>
        <v>15.603058199407084</v>
      </c>
      <c r="I157" s="464">
        <f>SUM('MasterA1(current$)'!I157)/0.19786</f>
        <v>15.162235924390982</v>
      </c>
      <c r="J157" s="464">
        <f>SUM('MasterA1(current$)'!J157)/0.20627</f>
        <v>19.392058951859212</v>
      </c>
      <c r="K157" s="464">
        <f>SUM('MasterA1(current$)'!K157)/0.21642</f>
        <v>18.482580168191479</v>
      </c>
      <c r="L157" s="464">
        <f>SUM('MasterA1(current$)'!L157)/0.22784</f>
        <v>21.945224719101123</v>
      </c>
      <c r="M157" s="464">
        <f>SUM('MasterA1(current$)'!M157)/0.23941</f>
        <v>25.061609790735556</v>
      </c>
      <c r="N157" s="464">
        <f>SUM('MasterA1(current$)'!N157)/0.24978</f>
        <v>24.021138601969731</v>
      </c>
      <c r="O157" s="464">
        <f>SUM('MasterA1(current$)'!O157)/0.26337</f>
        <v>30.375517333029578</v>
      </c>
      <c r="P157" s="464">
        <f>SUM('MasterA1(current$)'!P157)/0.28703</f>
        <v>31.355607427795004</v>
      </c>
      <c r="Q157" s="464">
        <f>SUM('MasterA1(current$)'!Q157)/0.31361</f>
        <v>35.075412136092602</v>
      </c>
      <c r="R157" s="464">
        <f>SUM('MasterA1(current$)'!R157)/0.33083</f>
        <v>36.272405767312513</v>
      </c>
      <c r="S157" s="464">
        <f>SUM('MasterA1(current$)'!S157)/0.35135</f>
        <v>187.84687633413975</v>
      </c>
      <c r="T157" s="464">
        <f>SUM('MasterA1(current$)'!T157)/0.37602</f>
        <v>191.47917663954044</v>
      </c>
      <c r="U157" s="464">
        <f>SUM('MasterA1(current$)'!U157)/0.40706</f>
        <v>211.27106569056161</v>
      </c>
      <c r="V157" s="464">
        <f>SUM('MasterA1(current$)'!V157)/0.44377</f>
        <v>236.6090542398089</v>
      </c>
      <c r="W157" s="464">
        <f>SUM('MasterA1(current$)'!W157)/0.4852</f>
        <v>249.38169826875514</v>
      </c>
      <c r="X157" s="464">
        <f>SUM('MasterA1(current$)'!X157)/0.5153</f>
        <v>273.62701339025813</v>
      </c>
      <c r="Y157" s="464">
        <f>SUM('MasterA1(current$)'!Y157)/0.53565</f>
        <v>293.10183888733314</v>
      </c>
      <c r="Z157" s="464">
        <f>SUM('MasterA1(current$)'!Z157)/0.55466</f>
        <v>299.28244329859734</v>
      </c>
      <c r="AA157" s="464">
        <f>SUM('MasterA1(current$)'!AA157)/0.5724</f>
        <v>312.71837875611459</v>
      </c>
      <c r="AB157" s="464">
        <f>SUM('MasterA1(current$)'!AB157)/0.58395</f>
        <v>332.2202243342752</v>
      </c>
      <c r="AC157" s="464">
        <f>SUM('MasterA1(current$)'!AC157)/0.59885</f>
        <v>323.95424563747184</v>
      </c>
      <c r="AD157" s="464">
        <f>SUM('MasterA1(current$)'!AD157)/0.61982</f>
        <v>342.03478429221383</v>
      </c>
      <c r="AE157" s="464">
        <f>SUM('MasterA1(current$)'!AE157)/0.64392</f>
        <v>347.86930053422782</v>
      </c>
      <c r="AF157" s="464">
        <f>SUM('MasterA1(current$)'!AF157)/0.66773</f>
        <v>362.4219370104683</v>
      </c>
      <c r="AG157" s="464">
        <f>SUM('MasterA1(current$)'!AG157)/0.68996</f>
        <v>400.02318975013043</v>
      </c>
      <c r="AH157" s="464">
        <f>SUM('MasterA1(current$)'!AH157)/0.70569</f>
        <v>450.62279471155887</v>
      </c>
      <c r="AI157" s="464">
        <f>SUM('MasterA1(current$)'!AI157)/0.72248</f>
        <v>521.81375262983056</v>
      </c>
      <c r="AJ157" s="464">
        <f>SUM('MasterA1(current$)'!AJ157)/0.73785</f>
        <v>567.86609744528016</v>
      </c>
      <c r="AK157" s="464">
        <f>SUM('MasterA1(current$)'!AK157)/0.75324</f>
        <v>610.69513037013428</v>
      </c>
      <c r="AL157" s="464">
        <f>SUM('MasterA1(current$)'!AL157)/0.76699</f>
        <v>640.16480006258234</v>
      </c>
      <c r="AM157" s="464">
        <f>SUM('MasterA1(current$)'!AM157)/0.78012</f>
        <v>649.90001538224885</v>
      </c>
      <c r="AN157" s="464">
        <f>SUM('MasterA1(current$)'!AN157)/0.78859</f>
        <v>661.94093255050154</v>
      </c>
      <c r="AO157" s="464">
        <f>SUM('MasterA1(current$)'!AO157)/0.80065</f>
        <v>693.18678573658906</v>
      </c>
      <c r="AP157" s="138">
        <f>SUM('MasterA1(current$)'!AP157)/0.81887</f>
        <v>752.25615787609752</v>
      </c>
      <c r="AQ157" s="138">
        <f>SUM('MasterA1(current$)'!AQ157)/0.83754</f>
        <v>643.55135277121099</v>
      </c>
      <c r="AR157" s="138">
        <f>SUM('MasterA1(current$)'!AR157)/0.85039</f>
        <v>672.6325568268677</v>
      </c>
      <c r="AS157" s="138">
        <f>SUM('MasterA1(current$)'!AS157)/0.86735</f>
        <v>706.75044676312916</v>
      </c>
      <c r="AT157" s="138">
        <f>SUM('MasterA1(current$)'!AT157)/0.8912</f>
        <v>679.98204667863558</v>
      </c>
      <c r="AU157" s="138">
        <f>SUM('MasterA1(current$)'!AU157)/0.91988</f>
        <v>696.83002130712703</v>
      </c>
      <c r="AV157" s="138">
        <f>SUM('MasterA1(current$)'!AV157)/0.94814</f>
        <v>716.13896681924609</v>
      </c>
      <c r="AW157" s="138">
        <f>SUM('MasterA1(current$)'!AW157)/0.97337</f>
        <v>767.43684313262179</v>
      </c>
      <c r="AX157" s="669">
        <f>('MasterA1(current$)'!AX157*100)/99.246</f>
        <v>796.00185397900168</v>
      </c>
      <c r="AY157" s="418">
        <f>SUM('MasterA1(current$)'!AY157)</f>
        <v>889</v>
      </c>
      <c r="AZ157" s="418">
        <f>SUM('MasterA1(current$)'!AZ157*100)/101.221</f>
        <v>931.62486045385833</v>
      </c>
      <c r="BA157" s="418">
        <f>SUM('MasterA1(current$)'!BA157*100)/103.311</f>
        <v>1045.3872288526875</v>
      </c>
      <c r="BB157" s="418">
        <f>SUM('MasterA1(current$)'!BB157*100)/105.214</f>
        <v>1169.0459444560611</v>
      </c>
      <c r="BC157" s="418">
        <f>SUM('MasterA1(current$)'!BC157*100)/106.913</f>
        <v>1211.2652343494244</v>
      </c>
      <c r="BD157" s="418">
        <f>SUM('MasterA1(current$)'!BD157*100)/108.828</f>
        <v>1256.1105597824089</v>
      </c>
      <c r="BE157" s="418">
        <f>SUM('MasterA1(current$)'!BE157*100)/109.998</f>
        <v>1340.933471517664</v>
      </c>
      <c r="BF157" s="632">
        <f>SUM('MasterA1(current$)'!BF157*100)/111.298</f>
        <v>1394.4545274847706</v>
      </c>
      <c r="BG157" s="632">
        <f>SUM('MasterA1(current$)'!BG157*100)/113.198</f>
        <v>1383.4166681390132</v>
      </c>
      <c r="BH157" s="632">
        <f>SUM('MasterA1(current$)'!BH157*100)/115.198</f>
        <v>1359.3986006701507</v>
      </c>
      <c r="BI157" s="415">
        <f>(BG157-BF157)/BF157</f>
        <v>-7.9155391073718225E-3</v>
      </c>
      <c r="BJ157" s="415">
        <f>(BH157-BG157)/BG157</f>
        <v>-1.7361412524522939E-2</v>
      </c>
      <c r="BK157" s="572">
        <f>BG157-BF157</f>
        <v>-11.037859345757397</v>
      </c>
      <c r="BL157" s="572">
        <f>BH157-BG157</f>
        <v>-24.018067468862455</v>
      </c>
    </row>
    <row r="158" spans="1:64" ht="6" customHeight="1">
      <c r="A158" s="125"/>
      <c r="B158" s="35"/>
      <c r="C158" s="36"/>
      <c r="D158" s="36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495"/>
      <c r="AN158" s="495"/>
      <c r="AO158" s="495"/>
      <c r="AP158" s="339"/>
      <c r="AQ158" s="339"/>
      <c r="AR158" s="339"/>
      <c r="AS158" s="339"/>
      <c r="AT158" s="339"/>
      <c r="AU158" s="339"/>
      <c r="AV158" s="339"/>
      <c r="AW158" s="339"/>
      <c r="AX158" s="98"/>
      <c r="AY158" s="416"/>
      <c r="AZ158" s="416"/>
      <c r="BA158" s="416"/>
      <c r="BB158" s="416"/>
      <c r="BC158" s="416"/>
      <c r="BD158" s="416"/>
      <c r="BE158" s="416"/>
      <c r="BF158" s="631"/>
      <c r="BG158" s="631"/>
      <c r="BH158" s="631"/>
      <c r="BI158" s="385"/>
      <c r="BJ158" s="385"/>
      <c r="BK158" s="571"/>
      <c r="BL158" s="571"/>
    </row>
    <row r="159" spans="1:64" ht="11.1" customHeight="1">
      <c r="A159" s="129" t="s">
        <v>144</v>
      </c>
      <c r="B159" s="148">
        <f>SUM('MasterA1(current$)'!B159)/0.1756</f>
        <v>17.084282460136674</v>
      </c>
      <c r="C159" s="65">
        <f>SUM('MasterA1(current$)'!C159)/0.178</f>
        <v>16.853932584269664</v>
      </c>
      <c r="D159" s="65">
        <f>SUM('MasterA1(current$)'!D159)/0.1798</f>
        <v>22.246941045606231</v>
      </c>
      <c r="E159" s="344">
        <f>SUM('MasterA1(current$)'!E159)/0.182</f>
        <v>21.978021978021978</v>
      </c>
      <c r="F159" s="344">
        <f>SUM('MasterA1(current$)'!F159)/0.1842</f>
        <v>21.715526601520086</v>
      </c>
      <c r="G159" s="344">
        <f>SUM('MasterA1(current$)'!G159)/0.18702</f>
        <v>21.388086835632553</v>
      </c>
      <c r="H159" s="344">
        <f>SUM('MasterA1(current$)'!H159)/0.19227</f>
        <v>26.005096999011808</v>
      </c>
      <c r="I159" s="344">
        <f>SUM('MasterA1(current$)'!I159)/0.19786</f>
        <v>25.270393207318303</v>
      </c>
      <c r="J159" s="344">
        <f>SUM('MasterA1(current$)'!J159)/0.20627</f>
        <v>29.088088427788819</v>
      </c>
      <c r="K159" s="344">
        <f>SUM('MasterA1(current$)'!K159)/0.21642</f>
        <v>27.72387025228722</v>
      </c>
      <c r="L159" s="344">
        <f>SUM('MasterA1(current$)'!L159)/0.22784</f>
        <v>26.334269662921351</v>
      </c>
      <c r="M159" s="344">
        <f>SUM('MasterA1(current$)'!M159)/0.23941</f>
        <v>29.23854475585815</v>
      </c>
      <c r="N159" s="344">
        <f>SUM('MasterA1(current$)'!N159)/0.24978</f>
        <v>32.028184802626313</v>
      </c>
      <c r="O159" s="344">
        <f>SUM('MasterA1(current$)'!O159)/0.26337</f>
        <v>30.375517333029578</v>
      </c>
      <c r="P159" s="344">
        <f>SUM('MasterA1(current$)'!P159)/0.28703</f>
        <v>31.355607427795004</v>
      </c>
      <c r="Q159" s="344">
        <f>SUM('MasterA1(current$)'!Q159)/0.31361</f>
        <v>31.886738305538728</v>
      </c>
      <c r="R159" s="344">
        <f>SUM('MasterA1(current$)'!R159)/0.33083</f>
        <v>33.24970528670314</v>
      </c>
      <c r="S159" s="344">
        <f>SUM('MasterA1(current$)'!S159)/0.35135</f>
        <v>37.000142308239646</v>
      </c>
      <c r="T159" s="344">
        <f>SUM('MasterA1(current$)'!T159)/0.37602</f>
        <v>39.891495133237591</v>
      </c>
      <c r="U159" s="33">
        <f>SUM('MasterA1(current$)'!U159)/0.40706</f>
        <v>22.109762688547143</v>
      </c>
      <c r="V159" s="344">
        <f>SUM('MasterA1(current$)'!V159)/0.44377</f>
        <v>47.321810847961785</v>
      </c>
      <c r="W159" s="344">
        <f>SUM('MasterA1(current$)'!W159)/0.4852</f>
        <v>39.159109645507009</v>
      </c>
      <c r="X159" s="344">
        <f>SUM('MasterA1(current$)'!X159)/0.5153</f>
        <v>42.693576557345239</v>
      </c>
      <c r="Y159" s="344">
        <f>SUM('MasterA1(current$)'!Y159)/0.53565</f>
        <v>24.269579016148608</v>
      </c>
      <c r="Z159" s="344">
        <f>SUM('MasterA1(current$)'!Z159)/0.55466</f>
        <v>37.861031983557488</v>
      </c>
      <c r="AA159" s="344">
        <f>SUM('MasterA1(current$)'!AA159)/0.5724</f>
        <v>38.434661076170507</v>
      </c>
      <c r="AB159" s="344">
        <f>SUM('MasterA1(current$)'!AB159)/0.58395</f>
        <v>39.386933812826442</v>
      </c>
      <c r="AC159" s="344">
        <f>SUM('MasterA1(current$)'!AC159)/0.59885</f>
        <v>50.096017366619357</v>
      </c>
      <c r="AD159" s="344">
        <f>SUM('MasterA1(current$)'!AD159)/0.61982</f>
        <v>56.468006840695679</v>
      </c>
      <c r="AE159" s="344">
        <f>SUM('MasterA1(current$)'!AE159)/0.64392</f>
        <v>59.01354205491365</v>
      </c>
      <c r="AF159" s="344">
        <f>SUM('MasterA1(current$)'!AF159)/0.66773</f>
        <v>65.894897638266954</v>
      </c>
      <c r="AG159" s="344">
        <f>SUM('MasterA1(current$)'!AG159)/0.68996</f>
        <v>73.917328540784965</v>
      </c>
      <c r="AH159" s="344">
        <f>SUM('MasterA1(current$)'!AH159)/0.70569</f>
        <v>85.02316881350167</v>
      </c>
      <c r="AI159" s="344">
        <f>SUM('MasterA1(current$)'!AI159)/0.72248</f>
        <v>83.047281585649429</v>
      </c>
      <c r="AJ159" s="344">
        <f>SUM('MasterA1(current$)'!AJ159)/0.73785</f>
        <v>85.383207969099416</v>
      </c>
      <c r="AK159" s="344">
        <f>SUM('MasterA1(current$)'!AK159)/0.75324</f>
        <v>91.604269555520148</v>
      </c>
      <c r="AL159" s="344">
        <f>SUM('MasterA1(current$)'!AL159)/0.76699</f>
        <v>65.189898173379063</v>
      </c>
      <c r="AM159" s="344">
        <f>SUM('MasterA1(current$)'!AM159)/0.78012</f>
        <v>96.139055529918465</v>
      </c>
      <c r="AN159" s="344">
        <f>SUM('MasterA1(current$)'!AN159)/0.78859</f>
        <v>84.961767204757862</v>
      </c>
      <c r="AO159" s="344">
        <f>SUM('MasterA1(current$)'!AO159)/0.80065</f>
        <v>81.184037969150069</v>
      </c>
      <c r="AP159" s="332">
        <f>SUM('MasterA1(current$)'!AP159)/0.81887</f>
        <v>84.262459242614824</v>
      </c>
      <c r="AQ159" s="332">
        <f>SUM('MasterA1(current$)'!AQ159)/0.83754</f>
        <v>78.802206461780941</v>
      </c>
      <c r="AR159" s="332">
        <f>SUM('MasterA1(current$)'!AR159)/0.85039</f>
        <v>109.36158703653618</v>
      </c>
      <c r="AS159" s="332">
        <f>SUM('MasterA1(current$)'!AS159)/0.86735</f>
        <v>104.9172767625526</v>
      </c>
      <c r="AT159" s="332">
        <f>SUM('MasterA1(current$)'!AT159)/0.8912</f>
        <v>103.23159784560144</v>
      </c>
      <c r="AU159" s="332">
        <f>SUM('MasterA1(current$)'!AU159)/0.91988</f>
        <v>101.10014349697786</v>
      </c>
      <c r="AV159" s="192">
        <f>SUM('MasterA1(current$)'!AV159)/0.94814</f>
        <v>107.5790495074567</v>
      </c>
      <c r="AW159" s="192">
        <f>SUM('MasterA1(current$)'!AW159)/0.97337</f>
        <v>101.55680675723373</v>
      </c>
      <c r="AX159" s="236">
        <f>('MasterA1(current$)'!AX159*100)/99.246</f>
        <v>112.29733922168211</v>
      </c>
      <c r="AY159" s="420">
        <f>SUM('MasterA1(current$)'!AY159)</f>
        <v>119</v>
      </c>
      <c r="AZ159" s="420">
        <f>SUM('MasterA1(current$)'!AZ159*100)/101.221</f>
        <v>113.61278786022663</v>
      </c>
      <c r="BA159" s="420">
        <f>SUM('MasterA1(current$)'!BA159*100)/103.311</f>
        <v>153.90423091442344</v>
      </c>
      <c r="BB159" s="420">
        <f>SUM('MasterA1(current$)'!BB159*100)/105.214</f>
        <v>144.46746630676526</v>
      </c>
      <c r="BC159" s="420">
        <f>SUM('MasterA1(current$)'!BC159*100)/106.913</f>
        <v>152.46041173664568</v>
      </c>
      <c r="BD159" s="420">
        <f>SUM('MasterA1(current$)'!BD159*100)/108.828</f>
        <v>148.85874958650348</v>
      </c>
      <c r="BE159" s="420">
        <f>SUM('MasterA1(current$)'!BE159*100)/109.998</f>
        <v>169.0939835269732</v>
      </c>
      <c r="BF159" s="634">
        <f>SUM('MasterA1(current$)'!BF159*100)/111.298</f>
        <v>162.6264622904275</v>
      </c>
      <c r="BG159" s="634">
        <f>SUM('MasterA1(current$)'!BG159*100)/113.198</f>
        <v>177.56497464619517</v>
      </c>
      <c r="BH159" s="634">
        <f>SUM('MasterA1(current$)'!BH159*100)/115.198</f>
        <v>177.08640775013455</v>
      </c>
      <c r="BI159" s="385">
        <f t="shared" ref="BI159" si="53">(BG159-BF159)/BF159</f>
        <v>9.1857820341007201E-2</v>
      </c>
      <c r="BJ159" s="385">
        <f t="shared" ref="BJ159" si="54">(BH159-BG159)/BG159</f>
        <v>-2.6951649502621531E-3</v>
      </c>
      <c r="BK159" s="569">
        <f t="shared" ref="BK159" si="55">BG159-BF159</f>
        <v>14.938512355767671</v>
      </c>
      <c r="BL159" s="569">
        <f t="shared" ref="BL159" si="56">BH159-BG159</f>
        <v>-0.47856689606061309</v>
      </c>
    </row>
    <row r="160" spans="1:64" ht="13.5" customHeight="1" thickBot="1">
      <c r="A160" s="404" t="s">
        <v>46</v>
      </c>
      <c r="B160" s="145" t="e">
        <f>SUM(#REF!)/0.1756</f>
        <v>#REF!</v>
      </c>
      <c r="C160" s="145">
        <f>SUM('MasterA1(current$)'!C160)/0.178</f>
        <v>252.80898876404495</v>
      </c>
      <c r="D160" s="146">
        <f>SUM('MasterA1(current$)'!D160)/0.1798</f>
        <v>266.96329254727476</v>
      </c>
      <c r="E160" s="485">
        <f>SUM('MasterA1(current$)'!E160)/0.182</f>
        <v>291.20879120879124</v>
      </c>
      <c r="F160" s="485">
        <f>SUM('MasterA1(current$)'!F160)/0.1842</f>
        <v>298.58849077090122</v>
      </c>
      <c r="G160" s="485">
        <f>SUM('MasterA1(current$)'!G160)/0.18702</f>
        <v>304.78023740776388</v>
      </c>
      <c r="H160" s="485">
        <f>SUM('MasterA1(current$)'!H160)/0.19227</f>
        <v>265.25198938992042</v>
      </c>
      <c r="I160" s="485">
        <f>SUM('MasterA1(current$)'!I160)/0.19786</f>
        <v>303.24471848781968</v>
      </c>
      <c r="J160" s="485">
        <f>SUM('MasterA1(current$)'!J160)/0.20627</f>
        <v>358.75309060939543</v>
      </c>
      <c r="K160" s="485">
        <f>SUM('MasterA1(current$)'!K160)/0.21642</f>
        <v>328.06579798539877</v>
      </c>
      <c r="L160" s="485">
        <f>SUM('MasterA1(current$)'!L160)/0.22784</f>
        <v>430.12640449438203</v>
      </c>
      <c r="M160" s="485">
        <f>SUM('MasterA1(current$)'!M160)/0.23941</f>
        <v>526.29380560544666</v>
      </c>
      <c r="N160" s="485">
        <f>SUM('MasterA1(current$)'!N160)/0.24978</f>
        <v>428.37697173512692</v>
      </c>
      <c r="O160" s="485">
        <f>SUM('MasterA1(current$)'!O160)/0.26337</f>
        <v>516.38379466150286</v>
      </c>
      <c r="P160" s="485">
        <f>SUM('MasterA1(current$)'!P160)/0.28703</f>
        <v>595.75654112810503</v>
      </c>
      <c r="Q160" s="485">
        <f>SUM('MasterA1(current$)'!Q160)/0.31361</f>
        <v>612.22537546634351</v>
      </c>
      <c r="R160" s="485">
        <f>SUM('MasterA1(current$)'!R160)/0.33083</f>
        <v>628.72169996675029</v>
      </c>
      <c r="S160" s="485">
        <f>SUM('MasterA1(current$)'!S160)/0.35135</f>
        <v>802.61847160950617</v>
      </c>
      <c r="T160" s="485">
        <f>SUM('MasterA1(current$)'!T160)/0.37602</f>
        <v>840.38083080687193</v>
      </c>
      <c r="U160" s="485">
        <f>SUM('MasterA1(current$)'!U160)/0.40706</f>
        <v>832.80106126860915</v>
      </c>
      <c r="V160" s="485">
        <f>SUM('MasterA1(current$)'!V160)/0.44377</f>
        <v>883.34046916195325</v>
      </c>
      <c r="W160" s="485">
        <f>SUM('MasterA1(current$)'!W160)/0.4852</f>
        <v>772.87716405605931</v>
      </c>
      <c r="X160" s="485">
        <f>SUM('MasterA1(current$)'!X160)/0.5153</f>
        <v>976.13040947021159</v>
      </c>
      <c r="Y160" s="485">
        <f>SUM('MasterA1(current$)'!Y160)/0.53565</f>
        <v>914.77643983944745</v>
      </c>
      <c r="Z160" s="485">
        <f>SUM('MasterA1(current$)'!Z160)/0.55466</f>
        <v>1079.9408646738541</v>
      </c>
      <c r="AA160" s="485">
        <f>SUM('MasterA1(current$)'!AA160)/0.5724</f>
        <v>1273.5849056603772</v>
      </c>
      <c r="AB160" s="485">
        <f>SUM('MasterA1(current$)'!AB160)/0.58395</f>
        <v>1722.7502354653652</v>
      </c>
      <c r="AC160" s="485">
        <f>SUM('MasterA1(current$)'!AC160)/0.59885</f>
        <v>1297.4868497954412</v>
      </c>
      <c r="AD160" s="485">
        <f>SUM('MasterA1(current$)'!AD160)/0.61982</f>
        <v>1640.7989416282146</v>
      </c>
      <c r="AE160" s="485">
        <f>SUM('MasterA1(current$)'!AE160)/0.64392</f>
        <v>1678.779972667412</v>
      </c>
      <c r="AF160" s="485">
        <f>SUM('MasterA1(current$)'!AF160)/0.66773</f>
        <v>1960.3732047384422</v>
      </c>
      <c r="AG160" s="485">
        <f>SUM('MasterA1(current$)'!AG160)/0.68996</f>
        <v>1694.3011189054437</v>
      </c>
      <c r="AH160" s="485">
        <f>SUM('MasterA1(current$)'!AH160)/0.70569</f>
        <v>1876.1779251512703</v>
      </c>
      <c r="AI160" s="485">
        <f>SUM('MasterA1(current$)'!AI160)/0.72248</f>
        <v>2317.019156239619</v>
      </c>
      <c r="AJ160" s="485">
        <f>SUM('MasterA1(current$)'!AJ160)/0.73785</f>
        <v>1915.0233787355153</v>
      </c>
      <c r="AK160" s="485">
        <f>SUM('MasterA1(current$)'!AK160)/0.75324</f>
        <v>2499.8672401890499</v>
      </c>
      <c r="AL160" s="485">
        <f>SUM('MasterA1(current$)'!AL160)/0.76699</f>
        <v>2161.6970234292494</v>
      </c>
      <c r="AM160" s="485">
        <f>SUM('MasterA1(current$)'!AM160)/0.78012</f>
        <v>2376.5574526995847</v>
      </c>
      <c r="AN160" s="485">
        <f>SUM('MasterA1(current$)'!AN160)/0.78859</f>
        <v>2206.4697751683384</v>
      </c>
      <c r="AO160" s="485">
        <f>SUM('MasterA1(current$)'!AO160)/0.80065</f>
        <v>2205.7078623618313</v>
      </c>
      <c r="AP160" s="147">
        <f>SUM('MasterA1(current$)'!AP160)/0.81887</f>
        <v>2403.3118810067531</v>
      </c>
      <c r="AQ160" s="147">
        <f>SUM('MasterA1(current$)'!AQ160)/0.83754</f>
        <v>2237.5050743845072</v>
      </c>
      <c r="AR160" s="147">
        <f>SUM('MasterA1(current$)'!AR160)/0.85039</f>
        <v>2342.4546384600008</v>
      </c>
      <c r="AS160" s="147">
        <f>SUM('MasterA1(current$)'!AS160)/0.86735</f>
        <v>2358.9093214965123</v>
      </c>
      <c r="AT160" s="147">
        <f>SUM('MasterA1(current$)'!AT160)/0.8912</f>
        <v>2364.2280071813284</v>
      </c>
      <c r="AU160" s="147">
        <f>SUM('MasterA1(current$)'!AU160)/0.91988</f>
        <v>2211.1579771274514</v>
      </c>
      <c r="AV160" s="147">
        <f>SUM('MasterA1(current$)'!AV160)/0.94814</f>
        <v>2374.1219651106376</v>
      </c>
      <c r="AW160" s="147">
        <f>SUM('MasterA1(current$)'!AW160)/0.97337</f>
        <v>2472.0379128547534</v>
      </c>
      <c r="AX160" s="670">
        <f>('MasterA1(current$)'!AX160*100)/99.246</f>
        <v>2657.9301839720997</v>
      </c>
      <c r="AY160" s="436">
        <f>SUM('MasterA1(current$)'!AY160)</f>
        <v>2930</v>
      </c>
      <c r="AZ160" s="436">
        <f>SUM('MasterA1(current$)'!AZ160*100)/101.221</f>
        <v>3140.6526313709605</v>
      </c>
      <c r="BA160" s="436">
        <f>SUM('MasterA1(current$)'!BA160*100)/103.311</f>
        <v>3458.4894154543076</v>
      </c>
      <c r="BB160" s="436">
        <f>SUM('MasterA1(current$)'!BB160*100)/105.214</f>
        <v>3658.2584066759177</v>
      </c>
      <c r="BC160" s="436">
        <f>SUM('MasterA1(current$)'!BC160*100)/106.913</f>
        <v>4042.5392608943721</v>
      </c>
      <c r="BD160" s="436">
        <f>SUM('MasterA1(current$)'!BD160*100)/108.828</f>
        <v>4031.8267042630168</v>
      </c>
      <c r="BE160" s="436">
        <f>SUM('MasterA1(current$)'!BE160*100)/109.998</f>
        <v>4154.6209931089652</v>
      </c>
      <c r="BF160" s="651">
        <f>SUM('MasterA1(current$)'!BF160*100)/111.298</f>
        <v>4462.7935811964271</v>
      </c>
      <c r="BG160" s="651">
        <f>SUM('MasterA1(current$)'!BG160*100)/113.198</f>
        <v>4534.5324122334323</v>
      </c>
      <c r="BH160" s="651">
        <f>SUM('MasterA1(current$)'!BH160*100)/115.198</f>
        <v>4520.0437507595625</v>
      </c>
      <c r="BI160" s="422">
        <f>(BG160-BF160)/BF160</f>
        <v>1.6074870981994369E-2</v>
      </c>
      <c r="BJ160" s="422">
        <f>(BH160-BG160)/BG160</f>
        <v>-3.1951831317340992E-3</v>
      </c>
      <c r="BK160" s="574">
        <f>BG160-BF160</f>
        <v>71.738831037005184</v>
      </c>
      <c r="BL160" s="574">
        <f>BH160-BG160</f>
        <v>-14.488661473869797</v>
      </c>
    </row>
    <row r="161" spans="1:65" ht="11.1" customHeight="1">
      <c r="A161" s="125"/>
      <c r="B161" s="452"/>
      <c r="C161" s="54"/>
      <c r="D161" s="54"/>
      <c r="E161" s="488"/>
      <c r="F161" s="488"/>
      <c r="G161" s="488"/>
      <c r="H161" s="488"/>
      <c r="I161" s="488"/>
      <c r="J161" s="488"/>
      <c r="K161" s="488"/>
      <c r="L161" s="488"/>
      <c r="M161" s="488"/>
      <c r="N161" s="488"/>
      <c r="O161" s="488"/>
      <c r="P161" s="488"/>
      <c r="Q161" s="488"/>
      <c r="R161" s="488"/>
      <c r="S161" s="488"/>
      <c r="T161" s="488"/>
      <c r="U161" s="488"/>
      <c r="V161" s="488"/>
      <c r="W161" s="488"/>
      <c r="X161" s="488"/>
      <c r="Y161" s="488"/>
      <c r="Z161" s="488"/>
      <c r="AA161" s="488"/>
      <c r="AB161" s="488"/>
      <c r="AC161" s="488"/>
      <c r="AD161" s="488"/>
      <c r="AE161" s="488"/>
      <c r="AF161" s="488"/>
      <c r="AG161" s="488"/>
      <c r="AH161" s="488"/>
      <c r="AI161" s="488"/>
      <c r="AJ161" s="488"/>
      <c r="AK161" s="488"/>
      <c r="AL161" s="488"/>
      <c r="AM161" s="488"/>
      <c r="AN161" s="488"/>
      <c r="AO161" s="488"/>
      <c r="AP161" s="488"/>
      <c r="AQ161" s="488"/>
      <c r="AR161" s="488"/>
      <c r="AS161" s="488"/>
      <c r="AT161" s="488"/>
      <c r="AU161" s="488"/>
      <c r="AV161" s="488"/>
      <c r="AW161" s="488"/>
      <c r="AX161" s="488"/>
      <c r="AY161" s="454"/>
      <c r="AZ161" s="454"/>
      <c r="BA161" s="454"/>
      <c r="BB161" s="454"/>
      <c r="BC161" s="454"/>
      <c r="BD161" s="454"/>
      <c r="BE161" s="454"/>
      <c r="BF161" s="659"/>
      <c r="BG161" s="659"/>
      <c r="BH161" s="659"/>
      <c r="BI161" s="329"/>
      <c r="BJ161" s="329"/>
      <c r="BK161" s="570"/>
      <c r="BL161" s="570"/>
    </row>
    <row r="162" spans="1:65" ht="15.75" customHeight="1">
      <c r="A162" s="167" t="s">
        <v>47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633"/>
      <c r="BG162" s="633"/>
      <c r="BH162" s="633"/>
      <c r="BI162" s="38"/>
      <c r="BJ162" s="38"/>
      <c r="BK162" s="570"/>
      <c r="BL162" s="570"/>
    </row>
    <row r="163" spans="1:65" ht="6" customHeight="1">
      <c r="A163" s="125"/>
      <c r="B163" s="35"/>
      <c r="C163" s="36"/>
      <c r="D163" s="36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161"/>
      <c r="AN163" s="161"/>
      <c r="AO163" s="161"/>
      <c r="AP163" s="339"/>
      <c r="AQ163" s="339"/>
      <c r="AR163" s="339"/>
      <c r="AS163" s="339"/>
      <c r="AT163" s="339"/>
      <c r="AU163" s="339"/>
      <c r="AV163" s="339"/>
      <c r="AX163" s="98"/>
      <c r="AY163" s="416"/>
      <c r="AZ163" s="416"/>
      <c r="BA163" s="416"/>
      <c r="BB163" s="416"/>
      <c r="BC163" s="416"/>
      <c r="BD163" s="416"/>
      <c r="BE163" s="416"/>
      <c r="BF163" s="631"/>
      <c r="BG163" s="631"/>
      <c r="BH163" s="631"/>
      <c r="BI163" s="329"/>
      <c r="BJ163" s="329"/>
      <c r="BK163" s="570"/>
      <c r="BL163" s="570"/>
    </row>
    <row r="164" spans="1:65" ht="11.85" customHeight="1">
      <c r="A164" s="126" t="s">
        <v>30</v>
      </c>
      <c r="B164" s="35"/>
      <c r="C164" s="36"/>
      <c r="D164" s="36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161"/>
      <c r="AN164" s="161"/>
      <c r="AO164" s="161"/>
      <c r="AP164" s="339"/>
      <c r="AQ164" s="339"/>
      <c r="AR164" s="339"/>
      <c r="AS164" s="339"/>
      <c r="AT164" s="339"/>
      <c r="AU164" s="339"/>
      <c r="AV164" s="339"/>
      <c r="AX164" s="98"/>
      <c r="AY164" s="416"/>
      <c r="AZ164" s="562"/>
      <c r="BA164" s="416"/>
      <c r="BB164" s="416"/>
      <c r="BC164" s="416"/>
      <c r="BD164" s="416"/>
      <c r="BE164" s="416"/>
      <c r="BF164" s="631"/>
      <c r="BG164" s="631"/>
      <c r="BH164" s="631"/>
      <c r="BI164" s="329"/>
      <c r="BJ164" s="329"/>
      <c r="BK164" s="570"/>
      <c r="BL164" s="570"/>
    </row>
    <row r="165" spans="1:65" ht="11.85" customHeight="1">
      <c r="A165" s="129" t="s">
        <v>145</v>
      </c>
      <c r="B165" s="54">
        <f>SUM('MasterA1(current$)'!B165)/0.1756</f>
        <v>239.17995444191342</v>
      </c>
      <c r="C165" s="55">
        <f>SUM('MasterA1(current$)'!C165)/0.178</f>
        <v>303.37078651685397</v>
      </c>
      <c r="D165" s="55">
        <f>SUM('MasterA1(current$)'!D165)/0.1798</f>
        <v>272.52502780867633</v>
      </c>
      <c r="E165" s="33">
        <f>SUM('MasterA1(current$)'!E165)/0.182</f>
        <v>362.63736263736263</v>
      </c>
      <c r="F165" s="33">
        <f>SUM('MasterA1(current$)'!F165)/0.1842</f>
        <v>407.16612377850163</v>
      </c>
      <c r="G165" s="33">
        <f>SUM('MasterA1(current$)'!G165)/0.18702</f>
        <v>577.47834456207897</v>
      </c>
      <c r="H165" s="33">
        <f>SUM('MasterA1(current$)'!H165)/0.19227</f>
        <v>577.31315337806211</v>
      </c>
      <c r="I165" s="33">
        <f>SUM('MasterA1(current$)'!I165)/0.19786</f>
        <v>611.54351561710303</v>
      </c>
      <c r="J165" s="33">
        <f>SUM('MasterA1(current$)'!J165)/0.20627</f>
        <v>649.63397488728367</v>
      </c>
      <c r="K165" s="33">
        <f>SUM('MasterA1(current$)'!K165)/0.21642</f>
        <v>706.95869143332413</v>
      </c>
      <c r="L165" s="33">
        <f>SUM('MasterA1(current$)'!L165)/0.22784</f>
        <v>816.36235955056179</v>
      </c>
      <c r="M165" s="33">
        <f>SUM('MasterA1(current$)'!M165)/0.23941</f>
        <v>881.3332776408671</v>
      </c>
      <c r="N165" s="33">
        <f>SUM('MasterA1(current$)'!N165)/0.24978</f>
        <v>804.70814316598603</v>
      </c>
      <c r="O165" s="33">
        <f>SUM('MasterA1(current$)'!O165)/0.26337</f>
        <v>322.73987166343926</v>
      </c>
      <c r="P165" s="33">
        <f>SUM('MasterA1(current$)'!P165)/0.28703</f>
        <v>334.45981256314673</v>
      </c>
      <c r="Q165" s="33">
        <f>SUM('MasterA1(current$)'!Q165)/0.31361</f>
        <v>306.11268773317175</v>
      </c>
      <c r="R165" s="33">
        <f>SUM('MasterA1(current$)'!R165)/0.33083</f>
        <v>308.31544902215637</v>
      </c>
      <c r="S165" s="33">
        <f>SUM('MasterA1(current$)'!S165)/0.35135</f>
        <v>244.77017219296997</v>
      </c>
      <c r="T165" s="33">
        <f>SUM('MasterA1(current$)'!T165)/0.37602</f>
        <v>135.63108345300782</v>
      </c>
      <c r="U165" s="33">
        <f>SUM('MasterA1(current$)'!U165)/0.40706</f>
        <v>127.74529553382794</v>
      </c>
      <c r="V165" s="33">
        <f>SUM('MasterA1(current$)'!V165)/0.44377</f>
        <v>135.20517385131939</v>
      </c>
      <c r="W165" s="33">
        <f>SUM('MasterA1(current$)'!W165)/0.4852</f>
        <v>125.72135201978566</v>
      </c>
      <c r="X165" s="33">
        <f>SUM('MasterA1(current$)'!X165)/0.5153</f>
        <v>250.33960799534253</v>
      </c>
      <c r="Y165" s="33">
        <f>SUM('MasterA1(current$)'!Y165)/0.53565</f>
        <v>293.10183888733314</v>
      </c>
      <c r="Z165" s="33">
        <f>SUM('MasterA1(current$)'!Z165)/0.55466</f>
        <v>243.39234846572674</v>
      </c>
      <c r="AA165" s="33">
        <f>SUM('MasterA1(current$)'!AA165)/0.5724</f>
        <v>263.80153738644304</v>
      </c>
      <c r="AB165" s="33">
        <f>SUM('MasterA1(current$)'!AB165)/0.58395</f>
        <v>277.42101207295144</v>
      </c>
      <c r="AC165" s="33">
        <f>SUM('MasterA1(current$)'!AC165)/0.59885</f>
        <v>215.41287467646322</v>
      </c>
      <c r="AD165" s="33">
        <f>SUM('MasterA1(current$)'!AD165)/0.61982</f>
        <v>251.68597334710077</v>
      </c>
      <c r="AE165" s="33">
        <f>SUM('MasterA1(current$)'!AE165)/0.64392</f>
        <v>245.37209591253571</v>
      </c>
      <c r="AF165" s="33">
        <f>SUM('MasterA1(current$)'!AF165)/0.66773</f>
        <v>241.11542090365865</v>
      </c>
      <c r="AG165" s="33">
        <f>SUM('MasterA1(current$)'!AG165)/0.68996</f>
        <v>262.33404835062902</v>
      </c>
      <c r="AH165" s="33">
        <f>SUM('MasterA1(current$)'!AH165)/0.70569</f>
        <v>274.90824583032207</v>
      </c>
      <c r="AI165" s="33">
        <f>SUM('MasterA1(current$)'!AI165)/0.72248</f>
        <v>305.89082050714205</v>
      </c>
      <c r="AJ165" s="33">
        <f>SUM('MasterA1(current$)'!AJ165)/0.73785</f>
        <v>266.99193603035849</v>
      </c>
      <c r="AK165" s="33">
        <f>SUM('MasterA1(current$)'!AK165)/0.75324</f>
        <v>286.76119165206308</v>
      </c>
      <c r="AL165" s="33">
        <f>SUM('MasterA1(current$)'!AL165)/0.76699</f>
        <v>252.93680491271076</v>
      </c>
      <c r="AM165" s="33">
        <f>SUM('MasterA1(current$)'!AM165)/0.78012</f>
        <v>233.29744141926881</v>
      </c>
      <c r="AN165" s="33">
        <f>SUM('MasterA1(current$)'!AN165)/0.78859</f>
        <v>240.93635475976109</v>
      </c>
      <c r="AO165" s="33">
        <f>SUM('MasterA1(current$)'!AO165)/0.80065</f>
        <v>267.28283269843251</v>
      </c>
      <c r="AP165" s="339">
        <f>SUM('MasterA1(current$)'!AP165)/0.81887</f>
        <v>241.79662217445994</v>
      </c>
      <c r="AQ165" s="339">
        <f>SUM('MasterA1(current$)'!AQ165)/0.83754</f>
        <v>273.41977696587628</v>
      </c>
      <c r="AR165" s="339">
        <f>SUM('MasterA1(current$)'!AR165)/0.85039</f>
        <v>258.70482954879526</v>
      </c>
      <c r="AS165" s="339">
        <f>SUM('MasterA1(current$)'!AS165)/0.86735</f>
        <v>212.14042773966682</v>
      </c>
      <c r="AT165" s="339">
        <f>SUM('MasterA1(current$)'!AT165)/0.8912</f>
        <v>287.25314183123879</v>
      </c>
      <c r="AU165" s="339">
        <f>SUM('MasterA1(current$)'!AU165)/0.91988</f>
        <v>277.21007087881026</v>
      </c>
      <c r="AV165" s="339">
        <f>SUM('MasterA1(current$)'!AV165)/0.94814</f>
        <v>311.13548632058558</v>
      </c>
      <c r="AW165" s="339">
        <f>SUM('MasterA1(current$)'!AW165)/0.97337</f>
        <v>265.66936991544281</v>
      </c>
      <c r="AX165" s="341">
        <f>('MasterA1(current$)'!AX165*100)/99.246</f>
        <v>312.35515789049435</v>
      </c>
      <c r="AY165" s="420">
        <f>SUM('MasterA1(current$)'!AY165)</f>
        <v>304</v>
      </c>
      <c r="AZ165" s="420">
        <f>SUM('MasterA1(current$)'!AZ165*100)/101.221</f>
        <v>285.5138755791782</v>
      </c>
      <c r="BA165" s="420">
        <f>SUM('MasterA1(current$)'!BA165*100)/103.311</f>
        <v>276.83402541839683</v>
      </c>
      <c r="BB165" s="420">
        <f>SUM('MasterA1(current$)'!BB165*100)/105.214</f>
        <v>280.38093789799836</v>
      </c>
      <c r="BC165" s="420">
        <f>SUM('MasterA1(current$)'!BC165*100)/106.913</f>
        <v>288.084704385809</v>
      </c>
      <c r="BD165" s="420">
        <f>SUM('MasterA1(current$)'!BD165*100)/108.828</f>
        <v>303.23078619472926</v>
      </c>
      <c r="BE165" s="420">
        <f>SUM('MasterA1(current$)'!BE165*100)/109.998</f>
        <v>313.64206621938581</v>
      </c>
      <c r="BF165" s="634">
        <f>SUM('MasterA1(current$)'!BF165*100)/111.298</f>
        <v>326.15141332279109</v>
      </c>
      <c r="BG165" s="634">
        <f>SUM('MasterA1(current$)'!BG165*100)/113.198</f>
        <v>273.85642855880849</v>
      </c>
      <c r="BH165" s="634">
        <f>SUM('MasterA1(current$)'!BH165*100)/115.198</f>
        <v>281.25488289727252</v>
      </c>
      <c r="BI165" s="385">
        <f t="shared" ref="BI165" si="57">(BG165-BF165)/BF165</f>
        <v>-0.16033959267938663</v>
      </c>
      <c r="BJ165" s="385">
        <f t="shared" ref="BJ165" si="58">(BH165-BG165)/BG165</f>
        <v>2.7015814006627475E-2</v>
      </c>
      <c r="BK165" s="569">
        <f t="shared" ref="BK165" si="59">BG165-BF165</f>
        <v>-52.294984763982598</v>
      </c>
      <c r="BL165" s="569">
        <f t="shared" ref="BL165" si="60">BH165-BG165</f>
        <v>7.3984543384640347</v>
      </c>
    </row>
    <row r="166" spans="1:65" ht="6" customHeight="1">
      <c r="A166" s="125"/>
      <c r="B166" s="35"/>
      <c r="C166" s="36"/>
      <c r="D166" s="36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161"/>
      <c r="AN166" s="161"/>
      <c r="AO166" s="161"/>
      <c r="AP166" s="339"/>
      <c r="AQ166" s="339"/>
      <c r="AR166" s="339"/>
      <c r="AS166" s="339"/>
      <c r="AT166" s="339"/>
      <c r="AU166" s="339"/>
      <c r="AV166" s="339"/>
      <c r="AW166" s="339"/>
      <c r="AX166" s="98"/>
      <c r="AY166" s="416"/>
      <c r="AZ166" s="416"/>
      <c r="BA166" s="416"/>
      <c r="BB166" s="416"/>
      <c r="BC166" s="416"/>
      <c r="BD166" s="416"/>
      <c r="BE166" s="416"/>
      <c r="BF166" s="631"/>
      <c r="BG166" s="631"/>
      <c r="BH166" s="631"/>
      <c r="BI166" s="329"/>
      <c r="BJ166" s="329"/>
      <c r="BK166" s="570"/>
      <c r="BL166" s="570"/>
    </row>
    <row r="167" spans="1:65" ht="9.75" customHeight="1">
      <c r="A167" s="126" t="s">
        <v>50</v>
      </c>
      <c r="B167" s="35"/>
      <c r="C167" s="36"/>
      <c r="D167" s="36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161"/>
      <c r="AN167" s="161"/>
      <c r="AO167" s="161"/>
      <c r="AP167" s="339"/>
      <c r="AQ167" s="339"/>
      <c r="AR167" s="339"/>
      <c r="AS167" s="339"/>
      <c r="AT167" s="339"/>
      <c r="AU167" s="339"/>
      <c r="AV167" s="339"/>
      <c r="AW167" s="339"/>
      <c r="AX167" s="98"/>
      <c r="AY167" s="416"/>
      <c r="AZ167" s="416"/>
      <c r="BA167" s="416"/>
      <c r="BB167" s="416"/>
      <c r="BC167" s="416"/>
      <c r="BD167" s="416"/>
      <c r="BE167" s="416"/>
      <c r="BF167" s="631"/>
      <c r="BG167" s="631"/>
      <c r="BH167" s="631"/>
      <c r="BI167" s="329"/>
      <c r="BJ167" s="329"/>
      <c r="BK167" s="570"/>
      <c r="BL167" s="570"/>
    </row>
    <row r="168" spans="1:65" ht="12.75" customHeight="1">
      <c r="A168" s="125" t="s">
        <v>75</v>
      </c>
      <c r="B168" s="51" t="s">
        <v>3</v>
      </c>
      <c r="C168" s="51" t="s">
        <v>3</v>
      </c>
      <c r="D168" s="51" t="s">
        <v>3</v>
      </c>
      <c r="E168" s="224" t="s">
        <v>3</v>
      </c>
      <c r="F168" s="224" t="s">
        <v>3</v>
      </c>
      <c r="G168" s="224" t="s">
        <v>3</v>
      </c>
      <c r="H168" s="224" t="s">
        <v>3</v>
      </c>
      <c r="I168" s="224" t="s">
        <v>3</v>
      </c>
      <c r="J168" s="224" t="s">
        <v>3</v>
      </c>
      <c r="K168" s="224" t="s">
        <v>3</v>
      </c>
      <c r="L168" s="224" t="s">
        <v>3</v>
      </c>
      <c r="M168" s="224" t="s">
        <v>3</v>
      </c>
      <c r="N168" s="224" t="s">
        <v>3</v>
      </c>
      <c r="O168" s="224" t="s">
        <v>3</v>
      </c>
      <c r="P168" s="224" t="s">
        <v>3</v>
      </c>
      <c r="Q168" s="224" t="s">
        <v>3</v>
      </c>
      <c r="R168" s="224" t="s">
        <v>3</v>
      </c>
      <c r="S168" s="224" t="s">
        <v>3</v>
      </c>
      <c r="T168" s="33">
        <f>SUM('MasterA1(current$)'!T168)/0.37602</f>
        <v>10.637732035530025</v>
      </c>
      <c r="U168" s="33">
        <f>SUM('MasterA1(current$)'!U168)/0.40706</f>
        <v>29.479683584729525</v>
      </c>
      <c r="V168" s="33">
        <f>SUM('MasterA1(current$)'!V168)/0.44377</f>
        <v>36.054713027018501</v>
      </c>
      <c r="W168" s="33">
        <f>SUM('MasterA1(current$)'!W168)/0.4852</f>
        <v>39.159109645507009</v>
      </c>
      <c r="X168" s="33">
        <f>SUM('MasterA1(current$)'!X168)/0.5153</f>
        <v>32.99049097613041</v>
      </c>
      <c r="Y168" s="33">
        <f>SUM('MasterA1(current$)'!Y168)/0.53565</f>
        <v>28.003360403248394</v>
      </c>
      <c r="Z168" s="33">
        <f>SUM('MasterA1(current$)'!Z168)/0.55466</f>
        <v>25.240687989038328</v>
      </c>
      <c r="AA168" s="33">
        <f>SUM('MasterA1(current$)'!AA168)/0.5724</f>
        <v>22.711390635918939</v>
      </c>
      <c r="AB168" s="33">
        <f>SUM('MasterA1(current$)'!AB168)/0.58395</f>
        <v>23.974655364329138</v>
      </c>
      <c r="AC168" s="33">
        <f>SUM('MasterA1(current$)'!AC168)/0.59885</f>
        <v>21.708274192201721</v>
      </c>
      <c r="AD168" s="33">
        <f>SUM('MasterA1(current$)'!AD168)/0.61982</f>
        <v>22.587202736278272</v>
      </c>
      <c r="AE168" s="33">
        <f>SUM('MasterA1(current$)'!AE168)/0.64392</f>
        <v>20.188843334575722</v>
      </c>
      <c r="AF168" s="33">
        <f>SUM('MasterA1(current$)'!AF168)/0.66773</f>
        <v>31.449837509172866</v>
      </c>
      <c r="AG168" s="33">
        <f>SUM('MasterA1(current$)'!AG168)/0.68996</f>
        <v>31.885906429358222</v>
      </c>
      <c r="AH168" s="33">
        <f>SUM('MasterA1(current$)'!AH168)/0.70569</f>
        <v>39.677478779634114</v>
      </c>
      <c r="AI168" s="33">
        <f>SUM('MasterA1(current$)'!AI168)/0.72248</f>
        <v>34.603033994020592</v>
      </c>
      <c r="AJ168" s="33">
        <f>SUM('MasterA1(current$)'!AJ168)/0.73785</f>
        <v>37.948092430710851</v>
      </c>
      <c r="AK168" s="33">
        <f>SUM('MasterA1(current$)'!AK168)/0.75324</f>
        <v>31.862354628007008</v>
      </c>
      <c r="AL168" s="33">
        <f>SUM('MasterA1(current$)'!AL168)/0.76699</f>
        <v>32.594949086689532</v>
      </c>
      <c r="AM168" s="33">
        <f>SUM('MasterA1(current$)'!AM168)/0.78012</f>
        <v>35.891914064502899</v>
      </c>
      <c r="AN168" s="33">
        <f>SUM('MasterA1(current$)'!AN168)/0.78859</f>
        <v>44.383012718903359</v>
      </c>
      <c r="AO168" s="33">
        <f>SUM('MasterA1(current$)'!AO168)/0.80065</f>
        <v>38.718541185286959</v>
      </c>
      <c r="AP168" s="339">
        <f>SUM('MasterA1(current$)'!AP168)/0.81887</f>
        <v>36.635851844615139</v>
      </c>
      <c r="AQ168" s="339">
        <f>SUM('MasterA1(current$)'!AQ168)/0.83754</f>
        <v>29.849320629462476</v>
      </c>
      <c r="AR168" s="339">
        <f>SUM('MasterA1(current$)'!AR168)/0.85039</f>
        <v>42.333517562530133</v>
      </c>
      <c r="AS168" s="339">
        <f>SUM('MasterA1(current$)'!AS168)/0.86735</f>
        <v>39.199861647547131</v>
      </c>
      <c r="AT168" s="339">
        <f>SUM('MasterA1(current$)'!AT168)/0.8912</f>
        <v>47.127468581687616</v>
      </c>
      <c r="AU168" s="339">
        <f>SUM('MasterA1(current$)'!AU168)/0.91988</f>
        <v>44.571031004044002</v>
      </c>
      <c r="AV168" s="339">
        <f>SUM('MasterA1(current$)'!AV168)/0.94814</f>
        <v>50.625435062332571</v>
      </c>
      <c r="AW168" s="339">
        <f>SUM('MasterA1(current$)'!AW168)/0.97337</f>
        <v>47.258493686881664</v>
      </c>
      <c r="AX168" s="341">
        <f>('MasterA1(current$)'!AX168*100)/99.246</f>
        <v>52.395058742921634</v>
      </c>
      <c r="AY168" s="420">
        <f>SUM('MasterA1(current$)'!AY168)</f>
        <v>47</v>
      </c>
      <c r="AZ168" s="420">
        <f>SUM('MasterA1(current$)'!AZ168*100)/101.221</f>
        <v>48.408927001313955</v>
      </c>
      <c r="BA168" s="420">
        <f>SUM('MasterA1(current$)'!BA168*100)/103.311</f>
        <v>73.564286474818743</v>
      </c>
      <c r="BB168" s="420">
        <f>SUM('MasterA1(current$)'!BB168*100)/105.214</f>
        <v>76.985952439789386</v>
      </c>
      <c r="BC168" s="420">
        <f>SUM('MasterA1(current$)'!BC168*100)/106.913</f>
        <v>76.697875842975137</v>
      </c>
      <c r="BD168" s="420">
        <f>SUM('MasterA1(current$)'!BD168*100)/108.828</f>
        <v>75.34825596353879</v>
      </c>
      <c r="BE168" s="420">
        <f>SUM('MasterA1(current$)'!BE168*100)/109.998</f>
        <v>61.819305805560099</v>
      </c>
      <c r="BF168" s="634">
        <f>SUM('MasterA1(current$)'!BF168*100)/111.298</f>
        <v>70.980610612949022</v>
      </c>
      <c r="BG168" s="634">
        <f>SUM('MasterA1(current$)'!BG168*100)/113.198</f>
        <v>104.24212441915935</v>
      </c>
      <c r="BH168" s="634">
        <f>SUM('MasterA1(current$)'!BH168*100)/115.198</f>
        <v>72.04986197677043</v>
      </c>
      <c r="BI168" s="385">
        <f t="shared" ref="BI168" si="61">(BG168-BF168)/BF168</f>
        <v>0.4685999953928604</v>
      </c>
      <c r="BJ168" s="385">
        <f t="shared" ref="BJ168" si="62">(BH168-BG168)/BG168</f>
        <v>-0.30882201050453739</v>
      </c>
      <c r="BK168" s="569">
        <f t="shared" ref="BK168" si="63">BG168-BF168</f>
        <v>33.261513806210331</v>
      </c>
      <c r="BL168" s="569">
        <f t="shared" ref="BL168" si="64">BH168-BG168</f>
        <v>-32.192262442388923</v>
      </c>
    </row>
    <row r="169" spans="1:65" ht="9.75" customHeight="1">
      <c r="A169" s="125"/>
      <c r="B169" s="35"/>
      <c r="C169" s="36"/>
      <c r="D169" s="36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161"/>
      <c r="AN169" s="161"/>
      <c r="AO169" s="161"/>
      <c r="AP169" s="339"/>
      <c r="AQ169" s="339"/>
      <c r="AR169" s="339"/>
      <c r="AS169" s="339"/>
      <c r="AT169" s="339"/>
      <c r="AU169" s="339"/>
      <c r="AV169" s="339"/>
      <c r="AW169" s="339"/>
      <c r="AX169" s="98"/>
      <c r="AY169" s="416"/>
      <c r="AZ169" s="416"/>
      <c r="BA169" s="416"/>
      <c r="BB169" s="416"/>
      <c r="BC169" s="416"/>
      <c r="BD169" s="416"/>
      <c r="BE169" s="416"/>
      <c r="BF169" s="631"/>
      <c r="BG169" s="631"/>
      <c r="BH169" s="631"/>
      <c r="BI169" s="329"/>
      <c r="BJ169" s="329"/>
      <c r="BK169" s="570"/>
      <c r="BL169" s="570"/>
    </row>
    <row r="170" spans="1:65" ht="11.85" customHeight="1">
      <c r="A170" s="126" t="s">
        <v>42</v>
      </c>
      <c r="B170" s="35"/>
      <c r="C170" s="36"/>
      <c r="D170" s="36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161"/>
      <c r="AN170" s="161"/>
      <c r="AO170" s="161"/>
      <c r="AP170" s="339"/>
      <c r="AQ170" s="339"/>
      <c r="AR170" s="339"/>
      <c r="AS170" s="339"/>
      <c r="AT170" s="339"/>
      <c r="AU170" s="339"/>
      <c r="AV170" s="339"/>
      <c r="AW170" s="339"/>
      <c r="AX170" s="98"/>
      <c r="AY170" s="416"/>
      <c r="AZ170" s="416"/>
      <c r="BA170" s="416"/>
      <c r="BB170" s="416"/>
      <c r="BC170" s="416"/>
      <c r="BD170" s="416"/>
      <c r="BE170" s="416"/>
      <c r="BF170" s="631"/>
      <c r="BG170" s="631"/>
      <c r="BH170" s="631"/>
      <c r="BI170" s="385"/>
      <c r="BJ170" s="385"/>
      <c r="BK170" s="571"/>
      <c r="BL170" s="571"/>
    </row>
    <row r="171" spans="1:65" ht="11.85" customHeight="1">
      <c r="A171" s="129" t="s">
        <v>146</v>
      </c>
      <c r="B171" s="54">
        <f>SUM('MasterA1(current$)'!B171)/0.1756</f>
        <v>39.863325740318906</v>
      </c>
      <c r="C171" s="55">
        <f>SUM('MasterA1(current$)'!C171)/0.178</f>
        <v>44.943820224719104</v>
      </c>
      <c r="D171" s="55">
        <f>SUM('MasterA1(current$)'!D171)/0.1798</f>
        <v>50.055617352614021</v>
      </c>
      <c r="E171" s="33">
        <f>SUM('MasterA1(current$)'!E171)/0.182</f>
        <v>60.439560439560438</v>
      </c>
      <c r="F171" s="33">
        <f>SUM('MasterA1(current$)'!F171)/0.1842</f>
        <v>65.146579804560261</v>
      </c>
      <c r="G171" s="33">
        <f>SUM('MasterA1(current$)'!G171)/0.18702</f>
        <v>69.511282215805792</v>
      </c>
      <c r="H171" s="33">
        <f>SUM('MasterA1(current$)'!H171)/0.19227</f>
        <v>67.613252197430697</v>
      </c>
      <c r="I171" s="33">
        <f>SUM('MasterA1(current$)'!I171)/0.19786</f>
        <v>70.757100980491259</v>
      </c>
      <c r="J171" s="33">
        <f>SUM('MasterA1(current$)'!J171)/0.20627</f>
        <v>72.720221069472046</v>
      </c>
      <c r="K171" s="33">
        <f>SUM('MasterA1(current$)'!K171)/0.21642</f>
        <v>73.930320672765916</v>
      </c>
      <c r="L171" s="33">
        <f>SUM('MasterA1(current$)'!L171)/0.22784</f>
        <v>79.002808988764045</v>
      </c>
      <c r="M171" s="33">
        <f>SUM('MasterA1(current$)'!M171)/0.23941</f>
        <v>79.361764337329262</v>
      </c>
      <c r="N171" s="33">
        <f>SUM('MasterA1(current$)'!N171)/0.24978</f>
        <v>84.073985106894071</v>
      </c>
      <c r="O171" s="33">
        <f>SUM('MasterA1(current$)'!O171)/0.26337</f>
        <v>83.532672665831342</v>
      </c>
      <c r="P171" s="33">
        <f>SUM('MasterA1(current$)'!P171)/0.28703</f>
        <v>94.066822283385008</v>
      </c>
      <c r="Q171" s="33">
        <f>SUM('MasterA1(current$)'!Q171)/0.31361</f>
        <v>108.41491023883167</v>
      </c>
      <c r="R171" s="33">
        <f>SUM('MasterA1(current$)'!R171)/0.33083</f>
        <v>108.81721730193755</v>
      </c>
      <c r="S171" s="33">
        <f>SUM('MasterA1(current$)'!S171)/0.35135</f>
        <v>116.69275651060197</v>
      </c>
      <c r="T171" s="33">
        <f>SUM('MasterA1(current$)'!T171)/0.37602</f>
        <v>101.05845433753524</v>
      </c>
      <c r="U171" s="33">
        <f>SUM('MasterA1(current$)'!U171)/0.40706</f>
        <v>122.83201493637303</v>
      </c>
      <c r="V171" s="33">
        <f>SUM('MasterA1(current$)'!V171)/0.44377</f>
        <v>150.97911080063997</v>
      </c>
      <c r="W171" s="33">
        <f>SUM('MasterA1(current$)'!W171)/0.4852</f>
        <v>142.20939818631493</v>
      </c>
      <c r="X171" s="33">
        <f>SUM('MasterA1(current$)'!X171)/0.5153</f>
        <v>155.24936929943723</v>
      </c>
      <c r="Y171" s="33">
        <f>SUM('MasterA1(current$)'!Y171)/0.53565</f>
        <v>145.61747409689164</v>
      </c>
      <c r="Z171" s="33">
        <f>SUM('MasterA1(current$)'!Z171)/0.55466</f>
        <v>160.45865935888651</v>
      </c>
      <c r="AA171" s="33">
        <f>SUM('MasterA1(current$)'!AA171)/0.5724</f>
        <v>164.22082459818307</v>
      </c>
      <c r="AB171" s="33">
        <f>SUM('MasterA1(current$)'!AB171)/0.58395</f>
        <v>160.97268601763849</v>
      </c>
      <c r="AC171" s="33">
        <f>SUM('MasterA1(current$)'!AC171)/0.59885</f>
        <v>158.63738832762795</v>
      </c>
      <c r="AD171" s="33">
        <f>SUM('MasterA1(current$)'!AD171)/0.61982</f>
        <v>159.72379077796779</v>
      </c>
      <c r="AE171" s="33">
        <f>SUM('MasterA1(current$)'!AE171)/0.64392</f>
        <v>169.27568642067337</v>
      </c>
      <c r="AF171" s="33">
        <f>SUM('MasterA1(current$)'!AF171)/0.66773</f>
        <v>169.23007802554923</v>
      </c>
      <c r="AG171" s="33">
        <f>SUM('MasterA1(current$)'!AG171)/0.68996</f>
        <v>171.02440721201228</v>
      </c>
      <c r="AH171" s="33">
        <f>SUM('MasterA1(current$)'!AH171)/0.70569</f>
        <v>184.21686576258696</v>
      </c>
      <c r="AI171" s="33">
        <f>SUM('MasterA1(current$)'!AI171)/0.72248</f>
        <v>196.54523308603697</v>
      </c>
      <c r="AJ171" s="33">
        <f>SUM('MasterA1(current$)'!AJ171)/0.73785</f>
        <v>200.58277427661449</v>
      </c>
      <c r="AK171" s="33">
        <f>SUM('MasterA1(current$)'!AK171)/0.75324</f>
        <v>213.74329562954702</v>
      </c>
      <c r="AL171" s="33">
        <f>SUM('MasterA1(current$)'!AL171)/0.76699</f>
        <v>220.3418558260212</v>
      </c>
      <c r="AM171" s="33">
        <f>SUM('MasterA1(current$)'!AM171)/0.78012</f>
        <v>202.53294364969491</v>
      </c>
      <c r="AN171" s="33">
        <f>SUM('MasterA1(current$)'!AN171)/0.78859</f>
        <v>206.69803066232134</v>
      </c>
      <c r="AO171" s="33">
        <f>SUM('MasterA1(current$)'!AO171)/0.80065</f>
        <v>209.82951352026478</v>
      </c>
      <c r="AP171" s="339">
        <f>SUM('MasterA1(current$)'!AP171)/0.81887</f>
        <v>203.93957526835763</v>
      </c>
      <c r="AQ171" s="339">
        <f>SUM('MasterA1(current$)'!AQ171)/0.83754</f>
        <v>212.52716288177282</v>
      </c>
      <c r="AR171" s="339">
        <f>SUM('MasterA1(current$)'!AR171)/0.85039</f>
        <v>218.72317407307236</v>
      </c>
      <c r="AS171" s="339">
        <f>SUM('MasterA1(current$)'!AS171)/0.86735</f>
        <v>228.28154724159799</v>
      </c>
      <c r="AT171" s="339">
        <f>SUM('MasterA1(current$)'!AT171)/0.8912</f>
        <v>225.53859964093357</v>
      </c>
      <c r="AU171" s="339">
        <f>SUM('MasterA1(current$)'!AU171)/0.91988</f>
        <v>230.46484324042265</v>
      </c>
      <c r="AV171" s="339">
        <f>SUM('MasterA1(current$)'!AV171)/0.94814</f>
        <v>232.03324403569093</v>
      </c>
      <c r="AW171" s="339">
        <f>SUM('MasterA1(current$)'!AW171)/0.97337</f>
        <v>233.2103927591769</v>
      </c>
      <c r="AX171" s="341">
        <f>('MasterA1(current$)'!AX171*100)/99.246</f>
        <v>236.78536162666506</v>
      </c>
      <c r="AY171" s="420">
        <f>SUM('MasterA1(current$)'!AY171)</f>
        <v>274</v>
      </c>
      <c r="AZ171" s="420">
        <f>SUM('MasterA1(current$)'!AZ171*100)/101.221</f>
        <v>285.5138755791782</v>
      </c>
      <c r="BA171" s="420">
        <f>SUM('MasterA1(current$)'!BA171*100)/103.311</f>
        <v>293.28919476144841</v>
      </c>
      <c r="BB171" s="420">
        <f>SUM('MasterA1(current$)'!BB171*100)/105.214</f>
        <v>286.08360104168645</v>
      </c>
      <c r="BC171" s="420">
        <f>SUM('MasterA1(current$)'!BC171*100)/106.913</f>
        <v>274.98994509554501</v>
      </c>
      <c r="BD171" s="420">
        <f>SUM('MasterA1(current$)'!BD171*100)/108.828</f>
        <v>266.47553938324694</v>
      </c>
      <c r="BE171" s="420">
        <f>SUM('MasterA1(current$)'!BE171*100)/109.998</f>
        <v>271.82312405680102</v>
      </c>
      <c r="BF171" s="634">
        <f>SUM('MasterA1(current$)'!BF171*100)/111.298</f>
        <v>279.42999874211574</v>
      </c>
      <c r="BG171" s="634">
        <f>SUM('MasterA1(current$)'!BG171*100)/113.198</f>
        <v>284.45732256753655</v>
      </c>
      <c r="BH171" s="634">
        <f>SUM('MasterA1(current$)'!BH171*100)/115.198</f>
        <v>332.47104984461538</v>
      </c>
      <c r="BI171" s="385">
        <f t="shared" ref="BI171" si="65">(BG171-BF171)/BF171</f>
        <v>1.7991353283655472E-2</v>
      </c>
      <c r="BJ171" s="385">
        <f t="shared" ref="BJ171" si="66">(BH171-BG171)/BG171</f>
        <v>0.16879061802207357</v>
      </c>
      <c r="BK171" s="569">
        <f t="shared" ref="BK171" si="67">BG171-BF171</f>
        <v>5.0273238254208081</v>
      </c>
      <c r="BL171" s="569">
        <f t="shared" ref="BL171" si="68">BH171-BG171</f>
        <v>48.013727277078829</v>
      </c>
    </row>
    <row r="172" spans="1:65" ht="11.85" customHeight="1">
      <c r="A172" s="129" t="s">
        <v>147</v>
      </c>
      <c r="B172" s="51" t="s">
        <v>3</v>
      </c>
      <c r="C172" s="51" t="s">
        <v>3</v>
      </c>
      <c r="D172" s="51" t="s">
        <v>3</v>
      </c>
      <c r="E172" s="224" t="s">
        <v>3</v>
      </c>
      <c r="F172" s="224" t="s">
        <v>3</v>
      </c>
      <c r="G172" s="224" t="s">
        <v>3</v>
      </c>
      <c r="H172" s="224" t="s">
        <v>3</v>
      </c>
      <c r="I172" s="224" t="s">
        <v>3</v>
      </c>
      <c r="J172" s="224" t="s">
        <v>3</v>
      </c>
      <c r="K172" s="224" t="s">
        <v>3</v>
      </c>
      <c r="L172" s="224" t="s">
        <v>3</v>
      </c>
      <c r="M172" s="224" t="s">
        <v>3</v>
      </c>
      <c r="N172" s="224" t="s">
        <v>3</v>
      </c>
      <c r="O172" s="224" t="s">
        <v>3</v>
      </c>
      <c r="P172" s="33">
        <f>SUM('MasterA1(current$)'!P172)/0.28703</f>
        <v>114.97056056858167</v>
      </c>
      <c r="Q172" s="33">
        <f>SUM('MasterA1(current$)'!Q172)/0.31361</f>
        <v>385.82953349701859</v>
      </c>
      <c r="R172" s="33">
        <f>SUM('MasterA1(current$)'!R172)/0.33083</f>
        <v>411.0872653628752</v>
      </c>
      <c r="S172" s="33">
        <f>SUM('MasterA1(current$)'!S172)/0.35135</f>
        <v>333.00128077415684</v>
      </c>
      <c r="T172" s="33">
        <f>SUM('MasterA1(current$)'!T172)/0.37602</f>
        <v>210.09520770171798</v>
      </c>
      <c r="U172" s="33">
        <f>SUM('MasterA1(current$)'!U172)/0.40706</f>
        <v>201.44450449565176</v>
      </c>
      <c r="V172" s="33">
        <f>SUM('MasterA1(current$)'!V172)/0.44377</f>
        <v>297.45138247290265</v>
      </c>
      <c r="W172" s="33">
        <f>SUM('MasterA1(current$)'!W172)/0.4852</f>
        <v>197.85655399835119</v>
      </c>
      <c r="X172" s="33">
        <f>SUM('MasterA1(current$)'!X172)/0.5153</f>
        <v>126.14011255579274</v>
      </c>
      <c r="Y172" s="33">
        <f>SUM('MasterA1(current$)'!Y172)/0.53565</f>
        <v>82.14319051619529</v>
      </c>
      <c r="Z172" s="33">
        <f>SUM('MasterA1(current$)'!Z172)/0.55466</f>
        <v>57.693001117801892</v>
      </c>
      <c r="AA172" s="33">
        <f>SUM('MasterA1(current$)'!AA172)/0.5724</f>
        <v>43.675751222921029</v>
      </c>
      <c r="AB172" s="33">
        <f>SUM('MasterA1(current$)'!AB172)/0.58395</f>
        <v>41.099409195992813</v>
      </c>
      <c r="AC172" s="33">
        <f>SUM('MasterA1(current$)'!AC172)/0.59885</f>
        <v>38.406946647741506</v>
      </c>
      <c r="AD172" s="33">
        <f>SUM('MasterA1(current$)'!AD172)/0.61982</f>
        <v>33.880804104417408</v>
      </c>
      <c r="AE172" s="33">
        <f>SUM('MasterA1(current$)'!AE172)/0.64392</f>
        <v>29.506771027456825</v>
      </c>
      <c r="AF172" s="33">
        <f>SUM('MasterA1(current$)'!AF172)/0.66773</f>
        <v>23.961780959369804</v>
      </c>
      <c r="AG172" s="33">
        <f>SUM('MasterA1(current$)'!AG172)/0.68996</f>
        <v>20.291031364137051</v>
      </c>
      <c r="AH172" s="33">
        <f>SUM('MasterA1(current$)'!AH172)/0.70569</f>
        <v>21.255792203375417</v>
      </c>
      <c r="AI172" s="33">
        <f>SUM('MasterA1(current$)'!AI172)/0.72248</f>
        <v>17.993577676890709</v>
      </c>
      <c r="AJ172" s="33">
        <f>SUM('MasterA1(current$)'!AJ172)/0.73785</f>
        <v>17.618757199972894</v>
      </c>
      <c r="AK172" s="33">
        <f>SUM('MasterA1(current$)'!AK172)/0.75324</f>
        <v>15.931177314003504</v>
      </c>
      <c r="AL172" s="33">
        <f>SUM('MasterA1(current$)'!AL172)/0.76699</f>
        <v>10.430383707740649</v>
      </c>
      <c r="AM172" s="33">
        <f>SUM('MasterA1(current$)'!AM172)/0.78012</f>
        <v>6.4092703686612316</v>
      </c>
      <c r="AN172" s="33">
        <f>SUM('MasterA1(current$)'!AN172)/0.78859</f>
        <v>3.8042582330488592</v>
      </c>
      <c r="AO172" s="33">
        <f>SUM('MasterA1(current$)'!AO172)/0.80065</f>
        <v>2.4979703990507711</v>
      </c>
      <c r="AP172" s="339">
        <f>SUM('MasterA1(current$)'!AP172)/0.81887</f>
        <v>2.4423901229743428</v>
      </c>
      <c r="AQ172" s="339">
        <f>SUM('MasterA1(current$)'!AQ172)/0.83754</f>
        <v>2.3879456503569978</v>
      </c>
      <c r="AR172" s="339">
        <f>SUM('MasterA1(current$)'!AR172)/0.85039</f>
        <v>2.3518620868072295</v>
      </c>
      <c r="AS172" s="339">
        <f>SUM('MasterA1(current$)'!AS172)/0.86735</f>
        <v>1.1529371072807979</v>
      </c>
      <c r="AT172" s="339">
        <f>SUM('MasterA1(current$)'!AT172)/0.8912</f>
        <v>1.1220825852782765</v>
      </c>
      <c r="AU172" s="339">
        <f>SUM('MasterA1(current$)'!AU172)/0.91988</f>
        <v>0</v>
      </c>
      <c r="AV172" s="342" t="s">
        <v>3</v>
      </c>
      <c r="AW172" s="342" t="s">
        <v>3</v>
      </c>
      <c r="AX172" s="224" t="s">
        <v>3</v>
      </c>
      <c r="AY172" s="382" t="s">
        <v>3</v>
      </c>
      <c r="AZ172" s="382" t="s">
        <v>3</v>
      </c>
      <c r="BA172" s="382" t="s">
        <v>3</v>
      </c>
      <c r="BB172" s="382" t="s">
        <v>3</v>
      </c>
      <c r="BC172" s="382" t="s">
        <v>3</v>
      </c>
      <c r="BD172" s="382" t="s">
        <v>3</v>
      </c>
      <c r="BE172" s="382" t="s">
        <v>3</v>
      </c>
      <c r="BF172" s="655" t="s">
        <v>3</v>
      </c>
      <c r="BG172" s="655" t="s">
        <v>3</v>
      </c>
      <c r="BH172" s="655" t="s">
        <v>3</v>
      </c>
      <c r="BI172" s="392"/>
      <c r="BJ172" s="392"/>
      <c r="BK172" s="570"/>
      <c r="BL172" s="570"/>
    </row>
    <row r="173" spans="1:65" ht="11.85" customHeight="1">
      <c r="A173" s="404" t="s">
        <v>32</v>
      </c>
      <c r="B173" s="154">
        <f>SUM('MasterA1(current$)'!B173)/0.1756</f>
        <v>39.863325740318906</v>
      </c>
      <c r="C173" s="149">
        <f>SUM('MasterA1(current$)'!C173)/0.178</f>
        <v>44.943820224719104</v>
      </c>
      <c r="D173" s="149">
        <f>SUM('MasterA1(current$)'!D173)/0.1798</f>
        <v>50.055617352614021</v>
      </c>
      <c r="E173" s="484">
        <f>SUM('MasterA1(current$)'!E173)/0.182</f>
        <v>60.439560439560438</v>
      </c>
      <c r="F173" s="484">
        <f>SUM('MasterA1(current$)'!F173)/0.1842</f>
        <v>65.146579804560261</v>
      </c>
      <c r="G173" s="484">
        <f>SUM('MasterA1(current$)'!G173)/0.18702</f>
        <v>69.511282215805792</v>
      </c>
      <c r="H173" s="484">
        <f>SUM('MasterA1(current$)'!H173)/0.19227</f>
        <v>67.613252197430697</v>
      </c>
      <c r="I173" s="484">
        <f>SUM('MasterA1(current$)'!I173)/0.19786</f>
        <v>70.757100980491259</v>
      </c>
      <c r="J173" s="484">
        <f>SUM('MasterA1(current$)'!J173)/0.20627</f>
        <v>72.720221069472046</v>
      </c>
      <c r="K173" s="484">
        <f>SUM('MasterA1(current$)'!K173)/0.21642</f>
        <v>73.930320672765916</v>
      </c>
      <c r="L173" s="484">
        <f>SUM('MasterA1(current$)'!L173)/0.22784</f>
        <v>79.002808988764045</v>
      </c>
      <c r="M173" s="484">
        <f>SUM('MasterA1(current$)'!M173)/0.23941</f>
        <v>79.361764337329262</v>
      </c>
      <c r="N173" s="484">
        <f>SUM('MasterA1(current$)'!N173)/0.24978</f>
        <v>84.073985106894071</v>
      </c>
      <c r="O173" s="484">
        <f>SUM('MasterA1(current$)'!O173)/0.26337</f>
        <v>83.532672665831342</v>
      </c>
      <c r="P173" s="484">
        <f>SUM('MasterA1(current$)'!P173)/0.28703</f>
        <v>209.0373828519667</v>
      </c>
      <c r="Q173" s="484">
        <f>SUM('MasterA1(current$)'!Q173)/0.31361</f>
        <v>494.24444373585027</v>
      </c>
      <c r="R173" s="484">
        <f>SUM('MasterA1(current$)'!R173)/0.33083</f>
        <v>519.90448266481269</v>
      </c>
      <c r="S173" s="484">
        <f>SUM('MasterA1(current$)'!S173)/0.35135</f>
        <v>449.69403728475879</v>
      </c>
      <c r="T173" s="484">
        <f>SUM('MasterA1(current$)'!T173)/0.37602</f>
        <v>311.15366203925322</v>
      </c>
      <c r="U173" s="484">
        <f>SUM('MasterA1(current$)'!U173)/0.40706</f>
        <v>324.27651943202477</v>
      </c>
      <c r="V173" s="484">
        <f>SUM('MasterA1(current$)'!V173)/0.44377</f>
        <v>448.4304932735426</v>
      </c>
      <c r="W173" s="484">
        <f>SUM('MasterA1(current$)'!W173)/0.4852</f>
        <v>340.06595218466612</v>
      </c>
      <c r="X173" s="484">
        <f>SUM('MasterA1(current$)'!X173)/0.5153</f>
        <v>281.38948185522997</v>
      </c>
      <c r="Y173" s="484">
        <f>SUM('MasterA1(current$)'!Y173)/0.53565</f>
        <v>227.76066461308693</v>
      </c>
      <c r="Z173" s="484">
        <f>SUM('MasterA1(current$)'!Z173)/0.55466</f>
        <v>218.15166047668839</v>
      </c>
      <c r="AA173" s="484">
        <f>SUM('MasterA1(current$)'!AA173)/0.5724</f>
        <v>207.89657582110411</v>
      </c>
      <c r="AB173" s="484">
        <f>SUM('MasterA1(current$)'!AB173)/0.58395</f>
        <v>202.07209521363131</v>
      </c>
      <c r="AC173" s="484">
        <f>SUM('MasterA1(current$)'!AC173)/0.59885</f>
        <v>197.04433497536945</v>
      </c>
      <c r="AD173" s="484">
        <f>SUM('MasterA1(current$)'!AD173)/0.61982</f>
        <v>193.60459488238519</v>
      </c>
      <c r="AE173" s="484">
        <f>SUM('MasterA1(current$)'!AE173)/0.64392</f>
        <v>198.78245744813017</v>
      </c>
      <c r="AF173" s="484">
        <f>SUM('MasterA1(current$)'!AF173)/0.66773</f>
        <v>193.19185898491904</v>
      </c>
      <c r="AG173" s="484">
        <f>SUM('MasterA1(current$)'!AG173)/0.68996</f>
        <v>191.31543857614935</v>
      </c>
      <c r="AH173" s="484">
        <f>SUM('MasterA1(current$)'!AH173)/0.70569</f>
        <v>205.47265796596238</v>
      </c>
      <c r="AI173" s="484">
        <f>SUM('MasterA1(current$)'!AI173)/0.72248</f>
        <v>214.53881076292768</v>
      </c>
      <c r="AJ173" s="484">
        <f>SUM('MasterA1(current$)'!AJ173)/0.73785</f>
        <v>218.20153147658738</v>
      </c>
      <c r="AK173" s="484">
        <f>SUM('MasterA1(current$)'!AK173)/0.75324</f>
        <v>229.67447294355051</v>
      </c>
      <c r="AL173" s="484">
        <f>SUM('MasterA1(current$)'!AL173)/0.76699</f>
        <v>230.77223953376188</v>
      </c>
      <c r="AM173" s="484">
        <f>SUM('MasterA1(current$)'!AM173)/0.78012</f>
        <v>208.94221401835614</v>
      </c>
      <c r="AN173" s="484">
        <f>SUM('MasterA1(current$)'!AN173)/0.78859</f>
        <v>210.50228889537021</v>
      </c>
      <c r="AO173" s="484">
        <f>SUM('MasterA1(current$)'!AO173)/0.80065</f>
        <v>212.32748391931557</v>
      </c>
      <c r="AP173" s="133">
        <f>SUM('MasterA1(current$)'!AP173)/0.81887</f>
        <v>206.38196539133196</v>
      </c>
      <c r="AQ173" s="133">
        <f>SUM('MasterA1(current$)'!AQ173)/0.83754</f>
        <v>214.91510853212984</v>
      </c>
      <c r="AR173" s="133">
        <f>SUM('MasterA1(current$)'!AR173)/0.85039</f>
        <v>221.0750361598796</v>
      </c>
      <c r="AS173" s="133">
        <f>SUM('MasterA1(current$)'!AS173)/0.86735</f>
        <v>229.43448434887878</v>
      </c>
      <c r="AT173" s="133">
        <f>SUM('MasterA1(current$)'!AT173)/0.8912</f>
        <v>226.66068222621186</v>
      </c>
      <c r="AU173" s="133">
        <f>SUM('MasterA1(current$)'!AU173)/0.91988</f>
        <v>230.46484324042265</v>
      </c>
      <c r="AV173" s="133">
        <f>SUM('MasterA1(current$)'!AV173)/0.94814</f>
        <v>232.03324403569093</v>
      </c>
      <c r="AW173" s="133">
        <f>SUM('MasterA1(current$)'!AW173)/0.97337</f>
        <v>233.2103927591769</v>
      </c>
      <c r="AX173" s="469">
        <f>('MasterA1(current$)'!AX173*100)/99.246</f>
        <v>236.78536162666506</v>
      </c>
      <c r="AY173" s="470">
        <f>SUM('MasterA1(current$)'!AY173)</f>
        <v>274</v>
      </c>
      <c r="AZ173" s="470">
        <f>SUM('MasterA1(current$)'!AZ173*100)/101.221</f>
        <v>285.5138755791782</v>
      </c>
      <c r="BA173" s="470">
        <f>SUM('MasterA1(current$)'!BA173*100)/103.311</f>
        <v>293.28919476144841</v>
      </c>
      <c r="BB173" s="470">
        <f>SUM('MasterA1(current$)'!BB173*100)/105.214</f>
        <v>286.08360104168645</v>
      </c>
      <c r="BC173" s="470">
        <f>SUM('MasterA1(current$)'!BC173*100)/106.913</f>
        <v>274.98994509554501</v>
      </c>
      <c r="BD173" s="470">
        <f>SUM('MasterA1(current$)'!BD173*100)/108.828</f>
        <v>266.47553938324694</v>
      </c>
      <c r="BE173" s="470">
        <f>SUM('MasterA1(current$)'!BE173*100)/109.998</f>
        <v>271.82312405680102</v>
      </c>
      <c r="BF173" s="660">
        <f>SUM('MasterA1(current$)'!BF173*100)/111.298</f>
        <v>279.42999874211574</v>
      </c>
      <c r="BG173" s="660">
        <f>SUM('MasterA1(current$)'!BG173*100)/113.198</f>
        <v>284.45732256753655</v>
      </c>
      <c r="BH173" s="660">
        <f>SUM('MasterA1(current$)'!BH173*100)/115.198</f>
        <v>332.47104984461538</v>
      </c>
      <c r="BI173" s="415">
        <f>(BG173-BF173)/BF173</f>
        <v>1.7991353283655472E-2</v>
      </c>
      <c r="BJ173" s="415">
        <f>(BH173-BG173)/BG173</f>
        <v>0.16879061802207357</v>
      </c>
      <c r="BK173" s="572">
        <f>BG173-BF173</f>
        <v>5.0273238254208081</v>
      </c>
      <c r="BL173" s="572">
        <f>BH173-BG173</f>
        <v>48.013727277078829</v>
      </c>
    </row>
    <row r="174" spans="1:65" ht="6" customHeight="1">
      <c r="A174" s="125"/>
      <c r="B174" s="35"/>
      <c r="C174" s="36"/>
      <c r="D174" s="36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161"/>
      <c r="AN174" s="161"/>
      <c r="AO174" s="161"/>
      <c r="AP174" s="339"/>
      <c r="AQ174" s="339"/>
      <c r="AR174" s="339"/>
      <c r="AS174" s="339"/>
      <c r="AT174" s="339"/>
      <c r="AU174" s="339"/>
      <c r="AV174" s="339"/>
      <c r="AW174" s="339"/>
      <c r="AX174" s="98"/>
      <c r="AY174" s="416"/>
      <c r="AZ174" s="416"/>
      <c r="BA174" s="416"/>
      <c r="BB174" s="416"/>
      <c r="BC174" s="416"/>
      <c r="BD174" s="416"/>
      <c r="BE174" s="416"/>
      <c r="BF174" s="631"/>
      <c r="BG174" s="631"/>
      <c r="BH174" s="631"/>
      <c r="BI174" s="329"/>
      <c r="BJ174" s="329"/>
      <c r="BK174" s="570"/>
      <c r="BL174" s="570"/>
    </row>
    <row r="175" spans="1:65" ht="11.25" customHeight="1">
      <c r="A175" s="126" t="s">
        <v>76</v>
      </c>
      <c r="AY175" s="209"/>
      <c r="AZ175" s="209"/>
      <c r="BA175" s="209"/>
      <c r="BB175" s="209"/>
      <c r="BC175" s="209"/>
      <c r="BD175" s="209"/>
      <c r="BE175" s="209"/>
      <c r="BF175" s="661"/>
      <c r="BG175" s="661"/>
      <c r="BH175" s="661"/>
      <c r="BI175" s="329"/>
      <c r="BJ175" s="329"/>
      <c r="BK175" s="570"/>
      <c r="BL175" s="570"/>
      <c r="BM175" s="613"/>
    </row>
    <row r="176" spans="1:65" ht="11.25" customHeight="1">
      <c r="A176" s="125" t="s">
        <v>77</v>
      </c>
      <c r="B176" s="51" t="s">
        <v>3</v>
      </c>
      <c r="C176" s="51" t="s">
        <v>3</v>
      </c>
      <c r="D176" s="51" t="s">
        <v>3</v>
      </c>
      <c r="E176" s="224" t="s">
        <v>3</v>
      </c>
      <c r="F176" s="224" t="s">
        <v>3</v>
      </c>
      <c r="G176" s="224" t="s">
        <v>3</v>
      </c>
      <c r="H176" s="224" t="s">
        <v>3</v>
      </c>
      <c r="I176" s="224" t="s">
        <v>3</v>
      </c>
      <c r="J176" s="224" t="s">
        <v>3</v>
      </c>
      <c r="K176" s="224" t="s">
        <v>3</v>
      </c>
      <c r="L176" s="224" t="s">
        <v>3</v>
      </c>
      <c r="M176" s="224" t="s">
        <v>3</v>
      </c>
      <c r="N176" s="224" t="s">
        <v>3</v>
      </c>
      <c r="O176" s="224" t="s">
        <v>3</v>
      </c>
      <c r="P176" s="224" t="s">
        <v>3</v>
      </c>
      <c r="Q176" s="224" t="s">
        <v>3</v>
      </c>
      <c r="R176" s="224" t="s">
        <v>3</v>
      </c>
      <c r="S176" s="224" t="s">
        <v>3</v>
      </c>
      <c r="T176" s="224" t="s">
        <v>3</v>
      </c>
      <c r="U176" s="224" t="s">
        <v>3</v>
      </c>
      <c r="V176" s="224" t="s">
        <v>3</v>
      </c>
      <c r="W176" s="224" t="s">
        <v>3</v>
      </c>
      <c r="X176" s="224" t="s">
        <v>3</v>
      </c>
      <c r="Y176" s="224" t="s">
        <v>3</v>
      </c>
      <c r="Z176" s="224" t="s">
        <v>3</v>
      </c>
      <c r="AA176" s="224" t="s">
        <v>3</v>
      </c>
      <c r="AB176" s="224" t="s">
        <v>3</v>
      </c>
      <c r="AC176" s="224" t="s">
        <v>3</v>
      </c>
      <c r="AD176" s="224" t="s">
        <v>3</v>
      </c>
      <c r="AE176" s="224" t="s">
        <v>3</v>
      </c>
      <c r="AF176" s="162" t="s">
        <v>3</v>
      </c>
      <c r="AG176" s="33">
        <f>SUM('MasterA1(current$)'!AG176)/0.68996</f>
        <v>1.4493593831526466</v>
      </c>
      <c r="AH176" s="33">
        <f>SUM('MasterA1(current$)'!AH176)/0.70569</f>
        <v>2.8341056271167226</v>
      </c>
      <c r="AI176" s="33">
        <f>SUM('MasterA1(current$)'!AI176)/0.72248</f>
        <v>2.7682427195216475</v>
      </c>
      <c r="AJ176" s="33">
        <f>SUM('MasterA1(current$)'!AJ176)/0.73785</f>
        <v>4.0658670461475905</v>
      </c>
      <c r="AK176" s="33">
        <f>SUM('MasterA1(current$)'!AK176)/0.75324</f>
        <v>3.982794328500876</v>
      </c>
      <c r="AL176" s="33">
        <f>SUM('MasterA1(current$)'!AL176)/0.76699</f>
        <v>2.6075959269351623</v>
      </c>
      <c r="AM176" s="33">
        <f>SUM('MasterA1(current$)'!AM176)/0.78012</f>
        <v>2.5637081474644927</v>
      </c>
      <c r="AN176" s="33">
        <f>SUM('MasterA1(current$)'!AN176)/0.78859</f>
        <v>5.072344310731812</v>
      </c>
      <c r="AO176" s="33">
        <f>SUM('MasterA1(current$)'!AO176)/0.80065</f>
        <v>17.485792793355401</v>
      </c>
      <c r="AP176" s="33">
        <f>SUM('MasterA1(current$)'!AP176)/0.81887</f>
        <v>12.211950614871714</v>
      </c>
      <c r="AQ176" s="33">
        <f>SUM('MasterA1(current$)'!AQ176)/0.83754</f>
        <v>14.327673902141989</v>
      </c>
      <c r="AR176" s="339">
        <f>SUM('MasterA1(current$)'!AR176)/0.85039</f>
        <v>9.4074483472289181</v>
      </c>
      <c r="AS176" s="339">
        <f>SUM('MasterA1(current$)'!AS176)/0.86735</f>
        <v>13.835245287369574</v>
      </c>
      <c r="AT176" s="339">
        <f>SUM('MasterA1(current$)'!AT176)/0.8912</f>
        <v>12.342908438061041</v>
      </c>
      <c r="AU176" s="339">
        <f>SUM('MasterA1(current$)'!AU176)/0.91988</f>
        <v>14.132278123233466</v>
      </c>
      <c r="AV176" s="339">
        <f>SUM('MasterA1(current$)'!AV176)/0.94814</f>
        <v>15.820448456978928</v>
      </c>
      <c r="AW176" s="339">
        <f>SUM('MasterA1(current$)'!AW176)/0.97337</f>
        <v>16.437736934567535</v>
      </c>
      <c r="AX176" s="341">
        <f>('MasterA1(current$)'!AX176*100)/99.246</f>
        <v>18.136751103319025</v>
      </c>
      <c r="AY176" s="420">
        <f>SUM('MasterA1(current$)'!AY176)</f>
        <v>19</v>
      </c>
      <c r="AZ176" s="420">
        <f>SUM('MasterA1(current$)'!AZ176*100)/101.221</f>
        <v>18.770808429080923</v>
      </c>
      <c r="BA176" s="420">
        <f>SUM('MasterA1(current$)'!BA176*100)/103.311</f>
        <v>18.391071618704686</v>
      </c>
      <c r="BB176" s="420">
        <f>SUM('MasterA1(current$)'!BB176*100)/105.214</f>
        <v>17.107989431064308</v>
      </c>
      <c r="BC176" s="420">
        <f>SUM('MasterA1(current$)'!BC176*100)/106.913</f>
        <v>14.965439188873196</v>
      </c>
      <c r="BD176" s="420">
        <f>SUM('MasterA1(current$)'!BD176*100)/108.828</f>
        <v>17.45874223545411</v>
      </c>
      <c r="BE176" s="420">
        <f>SUM('MasterA1(current$)'!BE176*100)/109.998</f>
        <v>14.545719013072965</v>
      </c>
      <c r="BF176" s="634">
        <f>SUM('MasterA1(current$)'!BF176*100)/111.298</f>
        <v>17.969774838721271</v>
      </c>
      <c r="BG176" s="634">
        <f>SUM('MasterA1(current$)'!BG176*100)/113.198</f>
        <v>21.201788017456138</v>
      </c>
      <c r="BH176" s="634">
        <f>SUM('MasterA1(current$)'!BH176*100)/115.198</f>
        <v>21.701765655653745</v>
      </c>
      <c r="BI176" s="385">
        <f t="shared" ref="BI176" si="69">(BG176-BF176)/BF176</f>
        <v>0.17985830138341663</v>
      </c>
      <c r="BJ176" s="385">
        <f t="shared" ref="BJ176" si="70">(BH176-BG176)/BG176</f>
        <v>2.3581861953621927E-2</v>
      </c>
      <c r="BK176" s="569">
        <f t="shared" ref="BK176" si="71">BG176-BF176</f>
        <v>3.2320131787348672</v>
      </c>
      <c r="BL176" s="569">
        <f t="shared" ref="BL176" si="72">BH176-BG176</f>
        <v>0.49997763819760621</v>
      </c>
    </row>
    <row r="177" spans="1:64" ht="11.25" customHeight="1">
      <c r="A177" s="125"/>
      <c r="B177" s="35"/>
      <c r="C177" s="36"/>
      <c r="D177" s="36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161"/>
      <c r="AN177" s="161"/>
      <c r="AO177" s="161"/>
      <c r="AP177" s="339"/>
      <c r="AQ177" s="339"/>
      <c r="AR177" s="339"/>
      <c r="AS177" s="339"/>
      <c r="AT177" s="339"/>
      <c r="AU177" s="339"/>
      <c r="AV177" s="339"/>
      <c r="AW177" s="339"/>
      <c r="AX177" s="98"/>
      <c r="AY177" s="416"/>
      <c r="AZ177" s="416"/>
      <c r="BA177" s="416"/>
      <c r="BB177" s="416"/>
      <c r="BC177" s="416"/>
      <c r="BD177" s="416"/>
      <c r="BE177" s="416"/>
      <c r="BF177" s="631"/>
      <c r="BG177" s="631"/>
      <c r="BH177" s="631"/>
      <c r="BI177" s="329"/>
      <c r="BJ177" s="329"/>
      <c r="BK177" s="570"/>
      <c r="BL177" s="570"/>
    </row>
    <row r="178" spans="1:64" ht="11.1" customHeight="1">
      <c r="A178" s="129" t="s">
        <v>148</v>
      </c>
      <c r="B178" s="54">
        <f>SUM('MasterA1(current$)'!B178)/0.1756</f>
        <v>39.863325740318906</v>
      </c>
      <c r="C178" s="55">
        <f>SUM('MasterA1(current$)'!C178)/0.178</f>
        <v>44.943820224719104</v>
      </c>
      <c r="D178" s="55">
        <f>SUM('MasterA1(current$)'!D178)/0.1798</f>
        <v>50.055617352614021</v>
      </c>
      <c r="E178" s="33">
        <f>SUM('MasterA1(current$)'!E178)/0.182</f>
        <v>49.450549450549453</v>
      </c>
      <c r="F178" s="33">
        <f>SUM('MasterA1(current$)'!F178)/0.1842</f>
        <v>54.288816503800213</v>
      </c>
      <c r="G178" s="33">
        <f>SUM('MasterA1(current$)'!G178)/0.18702</f>
        <v>58.817238797989525</v>
      </c>
      <c r="H178" s="33">
        <f>SUM('MasterA1(current$)'!H178)/0.19227</f>
        <v>41.608155198418892</v>
      </c>
      <c r="I178" s="33">
        <f>SUM('MasterA1(current$)'!I178)/0.19786</f>
        <v>60.648943697563929</v>
      </c>
      <c r="J178" s="33">
        <f>SUM('MasterA1(current$)'!J178)/0.20627</f>
        <v>43.632132641683228</v>
      </c>
      <c r="K178" s="33">
        <f>SUM('MasterA1(current$)'!K178)/0.21642</f>
        <v>46.206450420478696</v>
      </c>
      <c r="L178" s="33">
        <f>SUM('MasterA1(current$)'!L178)/0.22784</f>
        <v>48.279494382022477</v>
      </c>
      <c r="M178" s="33">
        <f>SUM('MasterA1(current$)'!M178)/0.23941</f>
        <v>50.123219581471112</v>
      </c>
      <c r="N178" s="33">
        <f>SUM('MasterA1(current$)'!N178)/0.24978</f>
        <v>52.045800304267757</v>
      </c>
      <c r="O178" s="33">
        <f>SUM('MasterA1(current$)'!O178)/0.26337</f>
        <v>53.157155332801764</v>
      </c>
      <c r="P178" s="33">
        <f>SUM('MasterA1(current$)'!P178)/0.28703</f>
        <v>52.259345712991674</v>
      </c>
      <c r="Q178" s="33">
        <f>SUM('MasterA1(current$)'!Q178)/0.31361</f>
        <v>54.207455119415833</v>
      </c>
      <c r="R178" s="33">
        <f>SUM('MasterA1(current$)'!R178)/0.33083</f>
        <v>60.454009612187527</v>
      </c>
      <c r="S178" s="33">
        <f>SUM('MasterA1(current$)'!S178)/0.35135</f>
        <v>65.461790237654768</v>
      </c>
      <c r="T178" s="33">
        <f>SUM('MasterA1(current$)'!T178)/0.37602</f>
        <v>66.485825222062658</v>
      </c>
      <c r="U178" s="33">
        <f>SUM('MasterA1(current$)'!U178)/0.40706</f>
        <v>66.329288065641435</v>
      </c>
      <c r="V178" s="33">
        <f>SUM('MasterA1(current$)'!V178)/0.44377</f>
        <v>63.095747797282378</v>
      </c>
      <c r="W178" s="33">
        <f>SUM('MasterA1(current$)'!W178)/0.4852</f>
        <v>59.769167353668585</v>
      </c>
      <c r="X178" s="33">
        <f>SUM('MasterA1(current$)'!X178)/0.5153</f>
        <v>50.456045022317099</v>
      </c>
      <c r="Y178" s="33">
        <f>SUM('MasterA1(current$)'!Y178)/0.53565</f>
        <v>44.805376645197427</v>
      </c>
      <c r="Z178" s="33">
        <f>SUM('MasterA1(current$)'!Z178)/0.55466</f>
        <v>39.663938268488799</v>
      </c>
      <c r="AA178" s="33">
        <f>SUM('MasterA1(current$)'!AA178)/0.5724</f>
        <v>6.9881201956673653</v>
      </c>
      <c r="AB178" s="162" t="s">
        <v>3</v>
      </c>
      <c r="AC178" s="162" t="s">
        <v>3</v>
      </c>
      <c r="AD178" s="162" t="s">
        <v>3</v>
      </c>
      <c r="AE178" s="162" t="s">
        <v>3</v>
      </c>
      <c r="AF178" s="162" t="s">
        <v>3</v>
      </c>
      <c r="AG178" s="162" t="s">
        <v>3</v>
      </c>
      <c r="AH178" s="162" t="s">
        <v>3</v>
      </c>
      <c r="AI178" s="162" t="s">
        <v>3</v>
      </c>
      <c r="AJ178" s="162" t="s">
        <v>3</v>
      </c>
      <c r="AK178" s="162" t="s">
        <v>3</v>
      </c>
      <c r="AL178" s="162" t="s">
        <v>3</v>
      </c>
      <c r="AM178" s="162" t="s">
        <v>3</v>
      </c>
      <c r="AN178" s="162" t="s">
        <v>3</v>
      </c>
      <c r="AO178" s="162" t="s">
        <v>3</v>
      </c>
      <c r="AP178" s="162" t="s">
        <v>3</v>
      </c>
      <c r="AQ178" s="162" t="s">
        <v>3</v>
      </c>
      <c r="AR178" s="162" t="s">
        <v>3</v>
      </c>
      <c r="AS178" s="162" t="s">
        <v>3</v>
      </c>
      <c r="AT178" s="162" t="s">
        <v>3</v>
      </c>
      <c r="AU178" s="162" t="s">
        <v>3</v>
      </c>
      <c r="AV178" s="342" t="s">
        <v>3</v>
      </c>
      <c r="AW178" s="342" t="s">
        <v>3</v>
      </c>
      <c r="AX178" s="224" t="s">
        <v>3</v>
      </c>
      <c r="AY178" s="382" t="s">
        <v>3</v>
      </c>
      <c r="AZ178" s="382" t="s">
        <v>3</v>
      </c>
      <c r="BA178" s="382" t="s">
        <v>3</v>
      </c>
      <c r="BB178" s="382" t="s">
        <v>3</v>
      </c>
      <c r="BC178" s="382" t="s">
        <v>3</v>
      </c>
      <c r="BD178" s="382" t="s">
        <v>3</v>
      </c>
      <c r="BE178" s="382" t="s">
        <v>3</v>
      </c>
      <c r="BF178" s="655" t="s">
        <v>3</v>
      </c>
      <c r="BG178" s="655" t="s">
        <v>3</v>
      </c>
      <c r="BH178" s="655" t="s">
        <v>3</v>
      </c>
      <c r="BI178" s="419" t="s">
        <v>9</v>
      </c>
      <c r="BJ178" s="419" t="s">
        <v>9</v>
      </c>
      <c r="BK178" s="573" t="s">
        <v>9</v>
      </c>
      <c r="BL178" s="573" t="s">
        <v>9</v>
      </c>
    </row>
    <row r="179" spans="1:64" ht="6" customHeight="1">
      <c r="A179" s="125"/>
      <c r="B179" s="54"/>
      <c r="C179" s="55"/>
      <c r="D179" s="36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161"/>
      <c r="AN179" s="161"/>
      <c r="AO179" s="161"/>
      <c r="AP179" s="339"/>
      <c r="AQ179" s="339"/>
      <c r="AR179" s="339"/>
      <c r="AS179" s="339"/>
      <c r="AT179" s="339"/>
      <c r="AU179" s="339"/>
      <c r="AV179" s="339"/>
      <c r="AW179" s="339"/>
      <c r="AX179" s="98"/>
      <c r="AY179" s="416"/>
      <c r="AZ179" s="416"/>
      <c r="BA179" s="416"/>
      <c r="BB179" s="416"/>
      <c r="BC179" s="416"/>
      <c r="BD179" s="416"/>
      <c r="BE179" s="416"/>
      <c r="BF179" s="631"/>
      <c r="BG179" s="631"/>
      <c r="BH179" s="631"/>
      <c r="BI179" s="385"/>
      <c r="BJ179" s="385"/>
      <c r="BK179" s="571"/>
      <c r="BL179" s="571"/>
    </row>
    <row r="180" spans="1:64" ht="11.1" customHeight="1">
      <c r="A180" s="129" t="s">
        <v>149</v>
      </c>
      <c r="B180" s="54">
        <f>SUM('MasterA1(current$)'!B180)/0.1756</f>
        <v>5.6947608200455582</v>
      </c>
      <c r="C180" s="55">
        <f>SUM('MasterA1(current$)'!C180)/0.178</f>
        <v>5.617977528089888</v>
      </c>
      <c r="D180" s="55">
        <f>SUM('MasterA1(current$)'!D180)/0.1798</f>
        <v>5.5617352614015578</v>
      </c>
      <c r="E180" s="33">
        <f>SUM('MasterA1(current$)'!E180)/0.182</f>
        <v>5.4945054945054945</v>
      </c>
      <c r="F180" s="33">
        <f>SUM('MasterA1(current$)'!F180)/0.1842</f>
        <v>5.4288816503800215</v>
      </c>
      <c r="G180" s="33">
        <f>SUM('MasterA1(current$)'!G180)/0.18702</f>
        <v>5.3470217089081382</v>
      </c>
      <c r="H180" s="33">
        <f>SUM('MasterA1(current$)'!H180)/0.19227</f>
        <v>5.2010193998023615</v>
      </c>
      <c r="I180" s="33">
        <f>SUM('MasterA1(current$)'!I180)/0.19786</f>
        <v>5.0540786414636614</v>
      </c>
      <c r="J180" s="33">
        <f>SUM('MasterA1(current$)'!J180)/0.20627</f>
        <v>9.6960294759296062</v>
      </c>
      <c r="K180" s="33">
        <f>SUM('MasterA1(current$)'!K180)/0.21642</f>
        <v>9.2412900840957395</v>
      </c>
      <c r="L180" s="33">
        <f>SUM('MasterA1(current$)'!L180)/0.22784</f>
        <v>8.7780898876404496</v>
      </c>
      <c r="M180" s="33">
        <f>SUM('MasterA1(current$)'!M180)/0.23941</f>
        <v>12.530804895367778</v>
      </c>
      <c r="N180" s="33">
        <f>SUM('MasterA1(current$)'!N180)/0.24978</f>
        <v>12.010569300984866</v>
      </c>
      <c r="O180" s="33">
        <f>SUM('MasterA1(current$)'!O180)/0.26337</f>
        <v>11.390818999886092</v>
      </c>
      <c r="P180" s="33">
        <f>SUM('MasterA1(current$)'!P180)/0.28703</f>
        <v>10.451869142598335</v>
      </c>
      <c r="Q180" s="33">
        <f>SUM('MasterA1(current$)'!Q180)/0.31361</f>
        <v>3.1886738305538724</v>
      </c>
      <c r="R180" s="33">
        <f>SUM('MasterA1(current$)'!R180)/0.33083</f>
        <v>33.24970528670314</v>
      </c>
      <c r="S180" s="33">
        <f>SUM('MasterA1(current$)'!S180)/0.35135</f>
        <v>37.000142308239646</v>
      </c>
      <c r="T180" s="33">
        <f>SUM('MasterA1(current$)'!T180)/0.37602</f>
        <v>37.232062124355089</v>
      </c>
      <c r="U180" s="33">
        <f>SUM('MasterA1(current$)'!U180)/0.40706</f>
        <v>36.849604480911907</v>
      </c>
      <c r="V180" s="33">
        <f>SUM('MasterA1(current$)'!V180)/0.44377</f>
        <v>36.054713027018501</v>
      </c>
      <c r="W180" s="33">
        <f>SUM('MasterA1(current$)'!W180)/0.4852</f>
        <v>37.09810387469085</v>
      </c>
      <c r="X180" s="33">
        <f>SUM('MasterA1(current$)'!X180)/0.5153</f>
        <v>40.75295944110227</v>
      </c>
      <c r="Y180" s="33">
        <f>SUM('MasterA1(current$)'!Y180)/0.53565</f>
        <v>42.938485951647536</v>
      </c>
      <c r="Z180" s="33">
        <f>SUM('MasterA1(current$)'!Z180)/0.55466</f>
        <v>45.072657123282731</v>
      </c>
      <c r="AA180" s="33">
        <f>SUM('MasterA1(current$)'!AA180)/0.5724</f>
        <v>48.916841369671559</v>
      </c>
      <c r="AB180" s="33">
        <f>SUM('MasterA1(current$)'!AB180)/0.58395</f>
        <v>47.949310728658276</v>
      </c>
      <c r="AC180" s="33">
        <f>SUM('MasterA1(current$)'!AC180)/0.59885</f>
        <v>48.426150121065376</v>
      </c>
      <c r="AD180" s="33">
        <f>SUM('MasterA1(current$)'!AD180)/0.61982</f>
        <v>51.62789196863605</v>
      </c>
      <c r="AE180" s="33">
        <f>SUM('MasterA1(current$)'!AE180)/0.64392</f>
        <v>52.801590259659584</v>
      </c>
      <c r="AF180" s="33">
        <f>SUM('MasterA1(current$)'!AF180)/0.66773</f>
        <v>53.914007158582059</v>
      </c>
      <c r="AG180" s="33">
        <f>SUM('MasterA1(current$)'!AG180)/0.68996</f>
        <v>63.771812858716444</v>
      </c>
      <c r="AH180" s="33">
        <f>SUM('MasterA1(current$)'!AH180)/0.70569</f>
        <v>66.601482237242976</v>
      </c>
      <c r="AI180" s="33">
        <f>SUM('MasterA1(current$)'!AI180)/0.72248</f>
        <v>66.437825268519546</v>
      </c>
      <c r="AJ180" s="33">
        <f>SUM('MasterA1(current$)'!AJ180)/0.73785</f>
        <v>63.698583722978924</v>
      </c>
      <c r="AK180" s="33">
        <f>SUM('MasterA1(current$)'!AK180)/0.75324</f>
        <v>66.379905475014596</v>
      </c>
      <c r="AL180" s="33">
        <f>SUM('MasterA1(current$)'!AL180)/0.76699</f>
        <v>65.189898173379063</v>
      </c>
      <c r="AM180" s="33">
        <f>SUM('MasterA1(current$)'!AM180)/0.78012</f>
        <v>67.938265907809054</v>
      </c>
      <c r="AN180" s="33">
        <f>SUM('MasterA1(current$)'!AN180)/0.78859</f>
        <v>74.817078583294233</v>
      </c>
      <c r="AO180" s="33">
        <f>SUM('MasterA1(current$)'!AO180)/0.80065</f>
        <v>76.188097171048526</v>
      </c>
      <c r="AP180" s="339">
        <f>SUM('MasterA1(current$)'!AP180)/0.81887</f>
        <v>75.714093812204624</v>
      </c>
      <c r="AQ180" s="339">
        <f>SUM('MasterA1(current$)'!AQ180)/0.83754</f>
        <v>81.190152112137937</v>
      </c>
      <c r="AR180" s="339">
        <f>SUM('MasterA1(current$)'!AR180)/0.85039</f>
        <v>84.667035125060266</v>
      </c>
      <c r="AS180" s="339">
        <f>SUM('MasterA1(current$)'!AS180)/0.86735</f>
        <v>95.693779904306226</v>
      </c>
      <c r="AT180" s="339">
        <f>SUM('MasterA1(current$)'!AT180)/0.8912</f>
        <v>102.10951526032316</v>
      </c>
      <c r="AU180" s="339">
        <f>SUM('MasterA1(current$)'!AU180)/0.91988</f>
        <v>102.18724181414967</v>
      </c>
      <c r="AV180" s="339">
        <f>SUM('MasterA1(current$)'!AV180)/0.94814</f>
        <v>105.46965637985952</v>
      </c>
      <c r="AW180" s="339">
        <f>SUM('MasterA1(current$)'!AW180)/0.97337</f>
        <v>100.68113872422614</v>
      </c>
      <c r="AX180" s="341">
        <f>('MasterA1(current$)'!AX180*100)/99.246</f>
        <v>103.78252020232554</v>
      </c>
      <c r="AY180" s="420">
        <f>SUM('MasterA1(current$)'!AY180)</f>
        <v>129</v>
      </c>
      <c r="AZ180" s="420">
        <f>SUM('MasterA1(current$)'!AZ180*100)/101.221</f>
        <v>164.98552671876388</v>
      </c>
      <c r="BA180" s="420">
        <f>SUM('MasterA1(current$)'!BA180*100)/103.311</f>
        <v>181.97481391139374</v>
      </c>
      <c r="BB180" s="420">
        <f>SUM('MasterA1(current$)'!BB180*100)/105.214</f>
        <v>192.94010302811412</v>
      </c>
      <c r="BC180" s="420">
        <f>SUM('MasterA1(current$)'!BC180*100)/106.913</f>
        <v>208.58080869492017</v>
      </c>
      <c r="BD180" s="420">
        <f>SUM('MasterA1(current$)'!BD180*100)/108.828</f>
        <v>186.53287756827285</v>
      </c>
      <c r="BE180" s="420">
        <f>SUM('MasterA1(current$)'!BE180*100)/109.998</f>
        <v>208.18560337460681</v>
      </c>
      <c r="BF180" s="634">
        <f>SUM('MasterA1(current$)'!BF180*100)/111.298</f>
        <v>221.02823051627163</v>
      </c>
      <c r="BG180" s="634">
        <f>SUM('MasterA1(current$)'!BG180*100)/113.198</f>
        <v>245.58737786886695</v>
      </c>
      <c r="BH180" s="634">
        <f>SUM('MasterA1(current$)'!BH180*100)/115.198</f>
        <v>236.11521033351275</v>
      </c>
      <c r="BI180" s="385">
        <f t="shared" ref="BI180" si="73">(BG180-BF180)/BF180</f>
        <v>0.11111317000199812</v>
      </c>
      <c r="BJ180" s="385">
        <f t="shared" ref="BJ180" si="74">(BH180-BG180)/BG180</f>
        <v>-3.8569439592339029E-2</v>
      </c>
      <c r="BK180" s="569">
        <f t="shared" ref="BK180" si="75">BG180-BF180</f>
        <v>24.559147352595318</v>
      </c>
      <c r="BL180" s="569">
        <f t="shared" ref="BL180" si="76">BH180-BG180</f>
        <v>-9.4721675353542025</v>
      </c>
    </row>
    <row r="181" spans="1:64" ht="6" customHeight="1">
      <c r="A181" s="125"/>
      <c r="B181" s="54"/>
      <c r="C181" s="55"/>
      <c r="D181" s="36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339"/>
      <c r="AQ181" s="339"/>
      <c r="AR181" s="339"/>
      <c r="AS181" s="339"/>
      <c r="AT181" s="339"/>
      <c r="AU181" s="339"/>
      <c r="AV181" s="339"/>
      <c r="AW181" s="339"/>
      <c r="AX181" s="341"/>
      <c r="AY181" s="420"/>
      <c r="AZ181" s="420"/>
      <c r="BA181" s="420"/>
      <c r="BB181" s="420"/>
      <c r="BC181" s="420"/>
      <c r="BD181" s="420"/>
      <c r="BE181" s="420"/>
      <c r="BF181" s="634"/>
      <c r="BG181" s="634"/>
      <c r="BH181" s="634"/>
      <c r="BI181" s="329"/>
      <c r="BJ181" s="329"/>
      <c r="BK181" s="570"/>
      <c r="BL181" s="570"/>
    </row>
    <row r="182" spans="1:64" ht="11.1" customHeight="1">
      <c r="A182" s="125" t="s">
        <v>24</v>
      </c>
      <c r="B182" s="54">
        <f>SUM('MasterA1(current$)'!B182)/0.1756</f>
        <v>62.642369020501135</v>
      </c>
      <c r="C182" s="55">
        <f>SUM('MasterA1(current$)'!C182)/0.178</f>
        <v>78.651685393258433</v>
      </c>
      <c r="D182" s="55">
        <f>SUM('MasterA1(current$)'!D182)/0.1798</f>
        <v>72.302558398220256</v>
      </c>
      <c r="E182" s="33">
        <f>SUM('MasterA1(current$)'!E182)/0.182</f>
        <v>82.417582417582423</v>
      </c>
      <c r="F182" s="33">
        <f>SUM('MasterA1(current$)'!F182)/0.1842</f>
        <v>92.290988056460364</v>
      </c>
      <c r="G182" s="33">
        <f>SUM('MasterA1(current$)'!G182)/0.18702</f>
        <v>90.899369051438356</v>
      </c>
      <c r="H182" s="33">
        <f>SUM('MasterA1(current$)'!H182)/0.19227</f>
        <v>88.417329796640146</v>
      </c>
      <c r="I182" s="33">
        <f>SUM('MasterA1(current$)'!I182)/0.19786</f>
        <v>90.97341554634589</v>
      </c>
      <c r="J182" s="33">
        <f>SUM('MasterA1(current$)'!J182)/0.20627</f>
        <v>92.112280021331259</v>
      </c>
      <c r="K182" s="33">
        <f>SUM('MasterA1(current$)'!K182)/0.21642</f>
        <v>92.412900840957391</v>
      </c>
      <c r="L182" s="33">
        <f>SUM('MasterA1(current$)'!L182)/0.22784</f>
        <v>105.3370786516854</v>
      </c>
      <c r="M182" s="33">
        <f>SUM('MasterA1(current$)'!M182)/0.23941</f>
        <v>112.77724405831</v>
      </c>
      <c r="N182" s="33">
        <f>SUM('MasterA1(current$)'!N182)/0.24978</f>
        <v>116.10216990952037</v>
      </c>
      <c r="O182" s="33">
        <f>SUM('MasterA1(current$)'!O182)/0.26337</f>
        <v>129.09594866537572</v>
      </c>
      <c r="P182" s="33">
        <f>SUM('MasterA1(current$)'!P182)/0.28703</f>
        <v>132.39034247291224</v>
      </c>
      <c r="Q182" s="33">
        <f>SUM('MasterA1(current$)'!Q182)/0.31361</f>
        <v>153.05634386658588</v>
      </c>
      <c r="R182" s="33">
        <f>SUM('MasterA1(current$)'!R182)/0.33083</f>
        <v>160.20312547229693</v>
      </c>
      <c r="S182" s="33">
        <f>SUM('MasterA1(current$)'!S182)/0.35135</f>
        <v>159.38522840472464</v>
      </c>
      <c r="T182" s="33">
        <f>SUM('MasterA1(current$)'!T182)/0.37602</f>
        <v>170.2037125684804</v>
      </c>
      <c r="U182" s="33">
        <f>SUM('MasterA1(current$)'!U182)/0.40706</f>
        <v>171.96482091092224</v>
      </c>
      <c r="V182" s="33">
        <f>SUM('MasterA1(current$)'!V182)/0.44377</f>
        <v>171.25988687833788</v>
      </c>
      <c r="W182" s="33">
        <f>SUM('MasterA1(current$)'!W182)/0.4852</f>
        <v>166.94146743610881</v>
      </c>
      <c r="X182" s="33">
        <f>SUM('MasterA1(current$)'!X182)/0.5153</f>
        <v>155.24936929943723</v>
      </c>
      <c r="Y182" s="33">
        <f>SUM('MasterA1(current$)'!Y182)/0.53565</f>
        <v>153.08503687109121</v>
      </c>
      <c r="Z182" s="33">
        <f>SUM('MasterA1(current$)'!Z182)/0.55466</f>
        <v>156.85284678902389</v>
      </c>
      <c r="AA182" s="33">
        <f>SUM('MasterA1(current$)'!AA182)/0.5724</f>
        <v>164.22082459818307</v>
      </c>
      <c r="AB182" s="33">
        <f>SUM('MasterA1(current$)'!AB182)/0.58395</f>
        <v>159.26021063447214</v>
      </c>
      <c r="AC182" s="33">
        <f>SUM('MasterA1(current$)'!AC182)/0.59885</f>
        <v>153.62778659096602</v>
      </c>
      <c r="AD182" s="33">
        <f>SUM('MasterA1(current$)'!AD182)/0.61982</f>
        <v>162.95053402600755</v>
      </c>
      <c r="AE182" s="33">
        <f>SUM('MasterA1(current$)'!AE182)/0.64392</f>
        <v>155.29879488135171</v>
      </c>
      <c r="AF182" s="33">
        <f>SUM('MasterA1(current$)'!AF182)/0.66773</f>
        <v>161.74202147574618</v>
      </c>
      <c r="AG182" s="33">
        <f>SUM('MasterA1(current$)'!AG182)/0.68996</f>
        <v>165.22696967940169</v>
      </c>
      <c r="AH182" s="33">
        <f>SUM('MasterA1(current$)'!AH182)/0.70569</f>
        <v>182.79981294902859</v>
      </c>
      <c r="AI182" s="33">
        <f>SUM('MasterA1(current$)'!AI182)/0.72248</f>
        <v>184.08814084818957</v>
      </c>
      <c r="AJ182" s="33">
        <f>SUM('MasterA1(current$)'!AJ182)/0.73785</f>
        <v>214.13566443043979</v>
      </c>
      <c r="AK182" s="33">
        <f>SUM('MasterA1(current$)'!AK182)/0.75324</f>
        <v>262.86442568105781</v>
      </c>
      <c r="AL182" s="33">
        <f>SUM('MasterA1(current$)'!AL182)/0.76699</f>
        <v>254.24060287617831</v>
      </c>
      <c r="AM182" s="33">
        <f>SUM('MasterA1(current$)'!AM182)/0.78012</f>
        <v>273.03491770496845</v>
      </c>
      <c r="AN182" s="33">
        <f>SUM('MasterA1(current$)'!AN182)/0.78859</f>
        <v>281.51510924561558</v>
      </c>
      <c r="AO182" s="33">
        <f>SUM('MasterA1(current$)'!AO182)/0.80065</f>
        <v>288.51558109036409</v>
      </c>
      <c r="AP182" s="339">
        <f>SUM('MasterA1(current$)'!AP182)/0.81887</f>
        <v>328.50147154004912</v>
      </c>
      <c r="AQ182" s="339">
        <f>SUM('MasterA1(current$)'!AQ182)/0.83754</f>
        <v>353.41595625283571</v>
      </c>
      <c r="AR182" s="339">
        <f>SUM('MasterA1(current$)'!AR182)/0.85039</f>
        <v>395.1128305836146</v>
      </c>
      <c r="AS182" s="339">
        <f>SUM('MasterA1(current$)'!AS182)/0.86735</f>
        <v>404.68092465556003</v>
      </c>
      <c r="AT182" s="339">
        <f>SUM('MasterA1(current$)'!AT182)/0.8912</f>
        <v>408.43806104129266</v>
      </c>
      <c r="AU182" s="339">
        <f>SUM('MasterA1(current$)'!AU182)/0.91988</f>
        <v>393.52959081619338</v>
      </c>
      <c r="AV182" s="339">
        <f>SUM('MasterA1(current$)'!AV182)/0.94814</f>
        <v>382.85485265889002</v>
      </c>
      <c r="AW182" s="339">
        <f>SUM('MasterA1(current$)'!AW182)/0.97337</f>
        <v>382.17738372869519</v>
      </c>
      <c r="AX182" s="341">
        <f>('MasterA1(current$)'!AX182*100)/99.246</f>
        <v>393.97053785542994</v>
      </c>
      <c r="AY182" s="420">
        <f>SUM('MasterA1(current$)'!AY182)</f>
        <v>434</v>
      </c>
      <c r="AZ182" s="420">
        <f>SUM('MasterA1(current$)'!AZ182*100)/101.221</f>
        <v>428.76478201163786</v>
      </c>
      <c r="BA182" s="420">
        <f>SUM('MasterA1(current$)'!BA182*100)/103.311</f>
        <v>401.69972219802344</v>
      </c>
      <c r="BB182" s="420">
        <f>SUM('MasterA1(current$)'!BB182*100)/105.214</f>
        <v>406.78997091641799</v>
      </c>
      <c r="BC182" s="420">
        <f>SUM('MasterA1(current$)'!BC182*100)/106.913</f>
        <v>411.5495776940129</v>
      </c>
      <c r="BD182" s="420">
        <f>SUM('MasterA1(current$)'!BD182*100)/108.828</f>
        <v>397.87554673429634</v>
      </c>
      <c r="BE182" s="420">
        <f>SUM('MasterA1(current$)'!BE182*100)/109.998</f>
        <v>410.91656211931127</v>
      </c>
      <c r="BF182" s="634">
        <f>SUM('MasterA1(current$)'!BF182*100)/111.298</f>
        <v>412.40633254865315</v>
      </c>
      <c r="BG182" s="634">
        <f>SUM('MasterA1(current$)'!BG182*100)/113.198</f>
        <v>445.23754836657895</v>
      </c>
      <c r="BH182" s="634">
        <f>SUM('MasterA1(current$)'!BH182*100)/115.198</f>
        <v>387.1594992968628</v>
      </c>
      <c r="BI182" s="385">
        <f t="shared" ref="BI182" si="77">(BG182-BF182)/BF182</f>
        <v>7.9608903226655883E-2</v>
      </c>
      <c r="BJ182" s="385">
        <f t="shared" ref="BJ182" si="78">(BH182-BG182)/BG182</f>
        <v>-0.13044283727368508</v>
      </c>
      <c r="BK182" s="569">
        <f t="shared" ref="BK182" si="79">BG182-BF182</f>
        <v>32.831215817925795</v>
      </c>
      <c r="BL182" s="569">
        <f t="shared" ref="BL182" si="80">BH182-BG182</f>
        <v>-58.078049069716144</v>
      </c>
    </row>
    <row r="183" spans="1:64" ht="6" customHeight="1">
      <c r="A183" s="125"/>
      <c r="B183" s="54"/>
      <c r="C183" s="55"/>
      <c r="D183" s="36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339"/>
      <c r="AQ183" s="339"/>
      <c r="AR183" s="339"/>
      <c r="AS183" s="339"/>
      <c r="AT183" s="339"/>
      <c r="AU183" s="339"/>
      <c r="AV183" s="339"/>
      <c r="AW183" s="339"/>
      <c r="AX183" s="341"/>
      <c r="AY183" s="420"/>
      <c r="AZ183" s="420"/>
      <c r="BA183" s="420"/>
      <c r="BB183" s="420"/>
      <c r="BC183" s="420"/>
      <c r="BD183" s="420"/>
      <c r="BE183" s="420"/>
      <c r="BF183" s="634"/>
      <c r="BG183" s="634"/>
      <c r="BH183" s="634"/>
      <c r="BI183" s="329"/>
      <c r="BJ183" s="329"/>
      <c r="BK183" s="570"/>
      <c r="BL183" s="570"/>
    </row>
    <row r="184" spans="1:64" ht="11.1" customHeight="1">
      <c r="A184" s="125" t="s">
        <v>25</v>
      </c>
      <c r="B184" s="51" t="s">
        <v>3</v>
      </c>
      <c r="C184" s="51" t="s">
        <v>3</v>
      </c>
      <c r="D184" s="55">
        <f>SUM('MasterA1(current$)'!D184)/0.1798</f>
        <v>5.5617352614015578</v>
      </c>
      <c r="E184" s="33">
        <f>SUM('MasterA1(current$)'!E184)/0.182</f>
        <v>10.989010989010989</v>
      </c>
      <c r="F184" s="33">
        <f>SUM('MasterA1(current$)'!F184)/0.1842</f>
        <v>16.286644951140065</v>
      </c>
      <c r="G184" s="33">
        <f>SUM('MasterA1(current$)'!G184)/0.18702</f>
        <v>16.041065126724416</v>
      </c>
      <c r="H184" s="33">
        <f>SUM('MasterA1(current$)'!H184)/0.19227</f>
        <v>15.603058199407084</v>
      </c>
      <c r="I184" s="33">
        <f>SUM('MasterA1(current$)'!I184)/0.19786</f>
        <v>15.162235924390982</v>
      </c>
      <c r="J184" s="33">
        <f>SUM('MasterA1(current$)'!J184)/0.20627</f>
        <v>19.392058951859212</v>
      </c>
      <c r="K184" s="33">
        <f>SUM('MasterA1(current$)'!K184)/0.21642</f>
        <v>18.482580168191479</v>
      </c>
      <c r="L184" s="33">
        <f>SUM('MasterA1(current$)'!L184)/0.22784</f>
        <v>17.556179775280899</v>
      </c>
      <c r="M184" s="33">
        <f>SUM('MasterA1(current$)'!M184)/0.23941</f>
        <v>20.884674825612965</v>
      </c>
      <c r="N184" s="33">
        <f>SUM('MasterA1(current$)'!N184)/0.24978</f>
        <v>20.017615501641444</v>
      </c>
      <c r="O184" s="33">
        <f>SUM('MasterA1(current$)'!O184)/0.26337</f>
        <v>18.984698333143488</v>
      </c>
      <c r="P184" s="33">
        <f>SUM('MasterA1(current$)'!P184)/0.28703</f>
        <v>20.90373828519667</v>
      </c>
      <c r="Q184" s="33">
        <f>SUM('MasterA1(current$)'!Q184)/0.31361</f>
        <v>22.320716813877109</v>
      </c>
      <c r="R184" s="33">
        <f>SUM('MasterA1(current$)'!R184)/0.33083</f>
        <v>24.18160384487501</v>
      </c>
      <c r="S184" s="33">
        <f>SUM('MasterA1(current$)'!S184)/0.35135</f>
        <v>22.769318343532092</v>
      </c>
      <c r="T184" s="33">
        <f>SUM('MasterA1(current$)'!T184)/0.37602</f>
        <v>23.934897079942555</v>
      </c>
      <c r="U184" s="33">
        <f>SUM('MasterA1(current$)'!U184)/0.40706</f>
        <v>24.566402987274603</v>
      </c>
      <c r="V184" s="33">
        <f>SUM('MasterA1(current$)'!V184)/0.44377</f>
        <v>24.78761520607522</v>
      </c>
      <c r="W184" s="33">
        <f>SUM('MasterA1(current$)'!W184)/0.4852</f>
        <v>24.732069249793899</v>
      </c>
      <c r="X184" s="33">
        <f>SUM('MasterA1(current$)'!X184)/0.5153</f>
        <v>21.346788278672619</v>
      </c>
      <c r="Y184" s="33">
        <f>SUM('MasterA1(current$)'!Y184)/0.53565</f>
        <v>22.402688322598713</v>
      </c>
      <c r="Z184" s="33">
        <f>SUM('MasterA1(current$)'!Z184)/0.55466</f>
        <v>19.8319691342444</v>
      </c>
      <c r="AA184" s="33">
        <f>SUM('MasterA1(current$)'!AA184)/0.5724</f>
        <v>20.964360587002094</v>
      </c>
      <c r="AB184" s="33">
        <f>SUM('MasterA1(current$)'!AB184)/0.58395</f>
        <v>20.549704597996406</v>
      </c>
      <c r="AC184" s="33">
        <f>SUM('MasterA1(current$)'!AC184)/0.59885</f>
        <v>20.038406946647743</v>
      </c>
      <c r="AD184" s="33">
        <f>SUM('MasterA1(current$)'!AD184)/0.61982</f>
        <v>20.973831112258395</v>
      </c>
      <c r="AE184" s="33">
        <f>SUM('MasterA1(current$)'!AE184)/0.64392</f>
        <v>21.741831283389239</v>
      </c>
      <c r="AF184" s="33">
        <f>SUM('MasterA1(current$)'!AF184)/0.66773</f>
        <v>22.46416964940919</v>
      </c>
      <c r="AG184" s="33">
        <f>SUM('MasterA1(current$)'!AG184)/0.68996</f>
        <v>24.639109513594992</v>
      </c>
      <c r="AH184" s="33">
        <f>SUM('MasterA1(current$)'!AH184)/0.70569</f>
        <v>24.089897830492141</v>
      </c>
      <c r="AI184" s="33">
        <f>SUM('MasterA1(current$)'!AI184)/0.72248</f>
        <v>24.914184475694828</v>
      </c>
      <c r="AJ184" s="33">
        <f>SUM('MasterA1(current$)'!AJ184)/0.73785</f>
        <v>24.395202276885545</v>
      </c>
      <c r="AK184" s="33">
        <f>SUM('MasterA1(current$)'!AK184)/0.75324</f>
        <v>25.224364080505548</v>
      </c>
      <c r="AL184" s="33">
        <f>SUM('MasterA1(current$)'!AL184)/0.76699</f>
        <v>20.860767415481298</v>
      </c>
      <c r="AM184" s="33">
        <f>SUM('MasterA1(current$)'!AM184)/0.78012</f>
        <v>17.945957032251449</v>
      </c>
      <c r="AN184" s="33">
        <f>SUM('MasterA1(current$)'!AN184)/0.78859</f>
        <v>17.753205087561344</v>
      </c>
      <c r="AO184" s="33">
        <f>SUM('MasterA1(current$)'!AO184)/0.80065</f>
        <v>17.485792793355401</v>
      </c>
      <c r="AP184" s="339">
        <f>SUM('MasterA1(current$)'!AP184)/0.81887</f>
        <v>17.096730860820401</v>
      </c>
      <c r="AQ184" s="339">
        <f>SUM('MasterA1(current$)'!AQ184)/0.83754</f>
        <v>17.909592377677484</v>
      </c>
      <c r="AR184" s="339">
        <f>SUM('MasterA1(current$)'!AR184)/0.85039</f>
        <v>19.990827737861451</v>
      </c>
      <c r="AS184" s="339">
        <f>SUM('MasterA1(current$)'!AS184)/0.86735</f>
        <v>19.599930823773565</v>
      </c>
      <c r="AT184" s="339">
        <f>SUM('MasterA1(current$)'!AT184)/0.8912</f>
        <v>20.197486535008977</v>
      </c>
      <c r="AU184" s="339">
        <f>SUM('MasterA1(current$)'!AU184)/0.91988</f>
        <v>20.654868026264296</v>
      </c>
      <c r="AV184" s="339">
        <f>SUM('MasterA1(current$)'!AV184)/0.94814</f>
        <v>21.093931275971904</v>
      </c>
      <c r="AW184" s="339">
        <f>SUM('MasterA1(current$)'!AW184)/0.97337</f>
        <v>20.547171168209417</v>
      </c>
      <c r="AX184" s="341">
        <f>('MasterA1(current$)'!AX184*100)/99.246</f>
        <v>21.159542953872197</v>
      </c>
      <c r="AY184" s="420">
        <f>SUM('MasterA1(current$)'!AY184)</f>
        <v>22</v>
      </c>
      <c r="AZ184" s="420">
        <f>SUM('MasterA1(current$)'!AZ184*100)/101.221</f>
        <v>23.710494857786426</v>
      </c>
      <c r="BA184" s="420">
        <f>SUM('MasterA1(current$)'!BA184*100)/103.311</f>
        <v>24.198778445664061</v>
      </c>
      <c r="BB184" s="420">
        <f>SUM('MasterA1(current$)'!BB184*100)/105.214</f>
        <v>21.86020871747106</v>
      </c>
      <c r="BC184" s="420">
        <f>SUM('MasterA1(current$)'!BC184*100)/106.913</f>
        <v>22.448158783309793</v>
      </c>
      <c r="BD184" s="420">
        <f>SUM('MasterA1(current$)'!BD184*100)/108.828</f>
        <v>21.134266916602343</v>
      </c>
      <c r="BE184" s="420">
        <f>SUM('MasterA1(current$)'!BE184*100)/109.998</f>
        <v>22.727685957926507</v>
      </c>
      <c r="BF184" s="634">
        <f>SUM('MasterA1(current$)'!BF184*100)/111.298</f>
        <v>23.36070729033765</v>
      </c>
      <c r="BG184" s="634">
        <f>SUM('MasterA1(current$)'!BG184*100)/113.198</f>
        <v>22.968603685577484</v>
      </c>
      <c r="BH184" s="634">
        <f>SUM('MasterA1(current$)'!BH184*100)/115.198</f>
        <v>22.569836281879894</v>
      </c>
      <c r="BI184" s="385">
        <f t="shared" ref="BI184" si="81">(BG184-BF184)/BF184</f>
        <v>-1.6784748847152677E-2</v>
      </c>
      <c r="BJ184" s="385">
        <f t="shared" ref="BJ184" si="82">(BH184-BG184)/BG184</f>
        <v>-1.7361412524523012E-2</v>
      </c>
      <c r="BK184" s="569">
        <f t="shared" ref="BK184" si="83">BG184-BF184</f>
        <v>-0.39210360476016604</v>
      </c>
      <c r="BL184" s="569">
        <f t="shared" ref="BL184" si="84">BH184-BG184</f>
        <v>-0.39876740369759034</v>
      </c>
    </row>
    <row r="185" spans="1:64" ht="6" customHeight="1">
      <c r="A185" s="125"/>
      <c r="B185" s="54"/>
      <c r="C185" s="36"/>
      <c r="D185" s="36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161"/>
      <c r="AN185" s="161"/>
      <c r="AO185" s="161"/>
      <c r="AP185" s="339"/>
      <c r="AQ185" s="339"/>
      <c r="AR185" s="339"/>
      <c r="AS185" s="339"/>
      <c r="AT185" s="339"/>
      <c r="AU185" s="339"/>
      <c r="AV185" s="339"/>
      <c r="AW185" s="339"/>
      <c r="AX185" s="98"/>
      <c r="AY185" s="416"/>
      <c r="AZ185" s="416"/>
      <c r="BA185" s="416"/>
      <c r="BB185" s="416"/>
      <c r="BC185" s="416"/>
      <c r="BD185" s="416"/>
      <c r="BE185" s="416"/>
      <c r="BF185" s="631"/>
      <c r="BG185" s="631"/>
      <c r="BH185" s="631"/>
      <c r="BI185" s="329"/>
      <c r="BJ185" s="329"/>
      <c r="BK185" s="570"/>
      <c r="BL185" s="570"/>
    </row>
    <row r="186" spans="1:64" ht="11.1" customHeight="1">
      <c r="A186" s="294" t="s">
        <v>150</v>
      </c>
      <c r="B186" s="54">
        <f>SUM('MasterA1(current$)'!B186)/0.1756</f>
        <v>113.89521640091115</v>
      </c>
      <c r="C186" s="55">
        <f>SUM('MasterA1(current$)'!C186)/0.178</f>
        <v>117.97752808988764</v>
      </c>
      <c r="D186" s="55">
        <f>SUM('MasterA1(current$)'!D186)/0.1798</f>
        <v>122.35817575083426</v>
      </c>
      <c r="E186" s="33">
        <f>SUM('MasterA1(current$)'!E186)/0.182</f>
        <v>131.86813186813188</v>
      </c>
      <c r="F186" s="33">
        <f>SUM('MasterA1(current$)'!F186)/0.1842</f>
        <v>130.29315960912052</v>
      </c>
      <c r="G186" s="33">
        <f>SUM('MasterA1(current$)'!G186)/0.18702</f>
        <v>139.02256443161158</v>
      </c>
      <c r="H186" s="33">
        <f>SUM('MasterA1(current$)'!H186)/0.19227</f>
        <v>114.42242679565194</v>
      </c>
      <c r="I186" s="33">
        <f>SUM('MasterA1(current$)'!I186)/0.19786</f>
        <v>136.46012331951886</v>
      </c>
      <c r="J186" s="33">
        <f>SUM('MasterA1(current$)'!J186)/0.20627</f>
        <v>116.35235371115527</v>
      </c>
      <c r="K186" s="33">
        <f>SUM('MasterA1(current$)'!K186)/0.21642</f>
        <v>115.51612605119675</v>
      </c>
      <c r="L186" s="33">
        <f>SUM('MasterA1(current$)'!L186)/0.22784</f>
        <v>118.50421348314607</v>
      </c>
      <c r="M186" s="33">
        <f>SUM('MasterA1(current$)'!M186)/0.23941</f>
        <v>116.9541790234326</v>
      </c>
      <c r="N186" s="33">
        <f>SUM('MasterA1(current$)'!N186)/0.24978</f>
        <v>124.10921611017696</v>
      </c>
      <c r="O186" s="33">
        <f>SUM('MasterA1(current$)'!O186)/0.26337</f>
        <v>125.29900899874701</v>
      </c>
      <c r="P186" s="33">
        <f>SUM('MasterA1(current$)'!P186)/0.28703</f>
        <v>132.39034247291224</v>
      </c>
      <c r="Q186" s="33">
        <f>SUM('MasterA1(current$)'!Q186)/0.31361</f>
        <v>146.67899620547814</v>
      </c>
      <c r="R186" s="33">
        <f>SUM('MasterA1(current$)'!R186)/0.33083</f>
        <v>154.15772451107819</v>
      </c>
      <c r="S186" s="33">
        <f>SUM('MasterA1(current$)'!S186)/0.35135</f>
        <v>167.92372278354918</v>
      </c>
      <c r="T186" s="33">
        <f>SUM('MasterA1(current$)'!T186)/0.37602</f>
        <v>172.8631455773629</v>
      </c>
      <c r="U186" s="33">
        <f>SUM('MasterA1(current$)'!U186)/0.40706</f>
        <v>164.59490001473986</v>
      </c>
      <c r="V186" s="33">
        <f>SUM('MasterA1(current$)'!V186)/0.44377</f>
        <v>180.2735651350925</v>
      </c>
      <c r="W186" s="33">
        <f>SUM('MasterA1(current$)'!W186)/0.4852</f>
        <v>156.63643858202803</v>
      </c>
      <c r="X186" s="33">
        <f>SUM('MasterA1(current$)'!X186)/0.5153</f>
        <v>130.02134678827869</v>
      </c>
      <c r="Y186" s="33">
        <f>SUM('MasterA1(current$)'!Y186)/0.53565</f>
        <v>115.74722300009336</v>
      </c>
      <c r="Z186" s="33">
        <f>SUM('MasterA1(current$)'!Z186)/0.55466</f>
        <v>102.76565824108462</v>
      </c>
      <c r="AA186" s="33">
        <f>SUM('MasterA1(current$)'!AA186)/0.5724</f>
        <v>87.351502445842058</v>
      </c>
      <c r="AB186" s="33">
        <f>SUM('MasterA1(current$)'!AB186)/0.58395</f>
        <v>78.773867625652883</v>
      </c>
      <c r="AC186" s="33">
        <f>SUM('MasterA1(current$)'!AC186)/0.59885</f>
        <v>71.804291558821078</v>
      </c>
      <c r="AD186" s="33">
        <f>SUM('MasterA1(current$)'!AD186)/0.61982</f>
        <v>69.374979832854692</v>
      </c>
      <c r="AE186" s="33">
        <f>SUM('MasterA1(current$)'!AE186)/0.64392</f>
        <v>68.331469747794756</v>
      </c>
      <c r="AF186" s="33">
        <f>SUM('MasterA1(current$)'!AF186)/0.66773</f>
        <v>64.39728632830635</v>
      </c>
      <c r="AG186" s="33">
        <f>SUM('MasterA1(current$)'!AG186)/0.68996</f>
        <v>65.221172241869098</v>
      </c>
      <c r="AH186" s="33">
        <f>SUM('MasterA1(current$)'!AH186)/0.70569</f>
        <v>65.18442942368462</v>
      </c>
      <c r="AI186" s="33">
        <f>SUM('MasterA1(current$)'!AI186)/0.72248</f>
        <v>66.437825268519546</v>
      </c>
      <c r="AJ186" s="33">
        <f>SUM('MasterA1(current$)'!AJ186)/0.73785</f>
        <v>67.764450769126512</v>
      </c>
      <c r="AK186" s="33">
        <f>SUM('MasterA1(current$)'!AK186)/0.75324</f>
        <v>59.741914927513143</v>
      </c>
      <c r="AL186" s="33">
        <f>SUM('MasterA1(current$)'!AL186)/0.76699</f>
        <v>14.341777598143393</v>
      </c>
      <c r="AM186" s="224" t="s">
        <v>3</v>
      </c>
      <c r="AN186" s="224" t="s">
        <v>3</v>
      </c>
      <c r="AO186" s="224" t="s">
        <v>3</v>
      </c>
      <c r="AP186" s="224" t="s">
        <v>3</v>
      </c>
      <c r="AQ186" s="224" t="s">
        <v>3</v>
      </c>
      <c r="AR186" s="224" t="s">
        <v>3</v>
      </c>
      <c r="AS186" s="224" t="s">
        <v>3</v>
      </c>
      <c r="AT186" s="224" t="s">
        <v>3</v>
      </c>
      <c r="AU186" s="224" t="s">
        <v>3</v>
      </c>
      <c r="AV186" s="342" t="s">
        <v>3</v>
      </c>
      <c r="AW186" s="342" t="s">
        <v>3</v>
      </c>
      <c r="AX186" s="224" t="s">
        <v>3</v>
      </c>
      <c r="AY186" s="382" t="s">
        <v>3</v>
      </c>
      <c r="AZ186" s="382" t="s">
        <v>3</v>
      </c>
      <c r="BA186" s="382" t="s">
        <v>3</v>
      </c>
      <c r="BB186" s="382" t="s">
        <v>3</v>
      </c>
      <c r="BC186" s="382" t="s">
        <v>3</v>
      </c>
      <c r="BD186" s="382" t="s">
        <v>3</v>
      </c>
      <c r="BE186" s="382" t="s">
        <v>3</v>
      </c>
      <c r="BF186" s="655" t="s">
        <v>3</v>
      </c>
      <c r="BG186" s="655" t="s">
        <v>3</v>
      </c>
      <c r="BH186" s="655" t="s">
        <v>3</v>
      </c>
      <c r="BI186" s="419" t="s">
        <v>9</v>
      </c>
      <c r="BJ186" s="419" t="s">
        <v>9</v>
      </c>
      <c r="BK186" s="573" t="s">
        <v>9</v>
      </c>
      <c r="BL186" s="573" t="s">
        <v>9</v>
      </c>
    </row>
    <row r="187" spans="1:64" ht="6" customHeight="1">
      <c r="A187" s="125"/>
      <c r="B187" s="54"/>
      <c r="C187" s="36"/>
      <c r="D187" s="36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161"/>
      <c r="AN187" s="161"/>
      <c r="AO187" s="161"/>
      <c r="AP187" s="339"/>
      <c r="AQ187" s="339"/>
      <c r="AR187" s="339"/>
      <c r="AS187" s="339"/>
      <c r="AT187" s="339"/>
      <c r="AU187" s="339"/>
      <c r="AV187" s="177"/>
      <c r="AW187" s="339"/>
      <c r="AX187" s="98"/>
      <c r="AY187" s="416"/>
      <c r="AZ187" s="416"/>
      <c r="BA187" s="416"/>
      <c r="BB187" s="416"/>
      <c r="BC187" s="416"/>
      <c r="BD187" s="416"/>
      <c r="BE187" s="416"/>
      <c r="BF187" s="631"/>
      <c r="BG187" s="631"/>
      <c r="BH187" s="631"/>
      <c r="BI187" s="385"/>
      <c r="BJ187" s="385"/>
      <c r="BK187" s="571"/>
      <c r="BL187" s="571"/>
    </row>
    <row r="188" spans="1:64" ht="11.1" customHeight="1">
      <c r="A188" s="129" t="s">
        <v>151</v>
      </c>
      <c r="B188" s="148">
        <f>SUM('MasterA1(current$)'!B188)/0.1756</f>
        <v>17.084282460136674</v>
      </c>
      <c r="C188" s="65">
        <f>SUM('MasterA1(current$)'!C188)/0.178</f>
        <v>16.853932584269664</v>
      </c>
      <c r="D188" s="65">
        <f>SUM('MasterA1(current$)'!D188)/0.1798</f>
        <v>16.685205784204673</v>
      </c>
      <c r="E188" s="344">
        <f>SUM('MasterA1(current$)'!E188)/0.182</f>
        <v>10.989010989010989</v>
      </c>
      <c r="F188" s="344">
        <f>SUM('MasterA1(current$)'!F188)/0.1842</f>
        <v>16.286644951140065</v>
      </c>
      <c r="G188" s="344">
        <f>SUM('MasterA1(current$)'!G188)/0.18702</f>
        <v>16.041065126724416</v>
      </c>
      <c r="H188" s="344">
        <f>SUM('MasterA1(current$)'!H188)/0.19227</f>
        <v>10.402038799604723</v>
      </c>
      <c r="I188" s="344">
        <f>SUM('MasterA1(current$)'!I188)/0.19786</f>
        <v>15.162235924390982</v>
      </c>
      <c r="J188" s="344">
        <f>SUM('MasterA1(current$)'!J188)/0.20627</f>
        <v>14.544044213894409</v>
      </c>
      <c r="K188" s="344">
        <f>SUM('MasterA1(current$)'!K188)/0.21642</f>
        <v>13.86193512614361</v>
      </c>
      <c r="L188" s="344">
        <f>SUM('MasterA1(current$)'!L188)/0.22784</f>
        <v>17.556179775280899</v>
      </c>
      <c r="M188" s="344">
        <f>SUM('MasterA1(current$)'!M188)/0.23941</f>
        <v>20.884674825612965</v>
      </c>
      <c r="N188" s="344">
        <f>SUM('MasterA1(current$)'!N188)/0.24978</f>
        <v>20.017615501641444</v>
      </c>
      <c r="O188" s="344">
        <f>SUM('MasterA1(current$)'!O188)/0.26337</f>
        <v>18.984698333143488</v>
      </c>
      <c r="P188" s="344">
        <f>SUM('MasterA1(current$)'!P188)/0.28703</f>
        <v>17.419781904330556</v>
      </c>
      <c r="Q188" s="344">
        <f>SUM('MasterA1(current$)'!Q188)/0.31361</f>
        <v>15.943369152769364</v>
      </c>
      <c r="R188" s="344">
        <f>SUM('MasterA1(current$)'!R188)/0.33083</f>
        <v>18.136202883656257</v>
      </c>
      <c r="S188" s="344">
        <f>SUM('MasterA1(current$)'!S188)/0.35135</f>
        <v>17.076988757649069</v>
      </c>
      <c r="T188" s="344">
        <f>SUM('MasterA1(current$)'!T188)/0.37602</f>
        <v>15.956598053295037</v>
      </c>
      <c r="U188" s="33">
        <f>SUM('MasterA1(current$)'!U188)/0.40706</f>
        <v>9.826561194909841</v>
      </c>
      <c r="V188" s="170" t="s">
        <v>10</v>
      </c>
      <c r="W188" s="349" t="s">
        <v>3</v>
      </c>
      <c r="X188" s="349" t="s">
        <v>3</v>
      </c>
      <c r="Y188" s="349" t="s">
        <v>3</v>
      </c>
      <c r="Z188" s="349" t="s">
        <v>3</v>
      </c>
      <c r="AA188" s="349" t="s">
        <v>3</v>
      </c>
      <c r="AB188" s="349" t="s">
        <v>3</v>
      </c>
      <c r="AC188" s="349" t="s">
        <v>3</v>
      </c>
      <c r="AD188" s="349" t="s">
        <v>3</v>
      </c>
      <c r="AE188" s="349" t="s">
        <v>3</v>
      </c>
      <c r="AF188" s="349" t="s">
        <v>3</v>
      </c>
      <c r="AG188" s="349" t="s">
        <v>3</v>
      </c>
      <c r="AH188" s="349" t="s">
        <v>3</v>
      </c>
      <c r="AI188" s="349" t="s">
        <v>3</v>
      </c>
      <c r="AJ188" s="349" t="s">
        <v>3</v>
      </c>
      <c r="AK188" s="349" t="s">
        <v>3</v>
      </c>
      <c r="AL188" s="349" t="s">
        <v>3</v>
      </c>
      <c r="AM188" s="349" t="s">
        <v>3</v>
      </c>
      <c r="AN188" s="349" t="s">
        <v>3</v>
      </c>
      <c r="AO188" s="349" t="s">
        <v>3</v>
      </c>
      <c r="AP188" s="349" t="s">
        <v>3</v>
      </c>
      <c r="AQ188" s="349" t="s">
        <v>3</v>
      </c>
      <c r="AR188" s="349" t="s">
        <v>3</v>
      </c>
      <c r="AS188" s="349" t="s">
        <v>3</v>
      </c>
      <c r="AT188" s="349" t="s">
        <v>3</v>
      </c>
      <c r="AU188" s="349" t="s">
        <v>3</v>
      </c>
      <c r="AV188" s="342" t="s">
        <v>3</v>
      </c>
      <c r="AW188" s="69" t="s">
        <v>3</v>
      </c>
      <c r="AX188" s="242" t="s">
        <v>3</v>
      </c>
      <c r="AY188" s="440" t="s">
        <v>3</v>
      </c>
      <c r="AZ188" s="440" t="s">
        <v>3</v>
      </c>
      <c r="BA188" s="440" t="s">
        <v>3</v>
      </c>
      <c r="BB188" s="440" t="s">
        <v>3</v>
      </c>
      <c r="BC188" s="440" t="s">
        <v>3</v>
      </c>
      <c r="BD188" s="440" t="s">
        <v>3</v>
      </c>
      <c r="BE188" s="440" t="s">
        <v>3</v>
      </c>
      <c r="BF188" s="662" t="s">
        <v>3</v>
      </c>
      <c r="BG188" s="662" t="s">
        <v>3</v>
      </c>
      <c r="BH188" s="662" t="s">
        <v>3</v>
      </c>
      <c r="BI188" s="419" t="s">
        <v>9</v>
      </c>
      <c r="BJ188" s="419" t="s">
        <v>9</v>
      </c>
      <c r="BK188" s="573" t="s">
        <v>9</v>
      </c>
      <c r="BL188" s="573" t="s">
        <v>9</v>
      </c>
    </row>
    <row r="189" spans="1:64" ht="13.5" customHeight="1" thickBot="1">
      <c r="A189" s="128" t="s">
        <v>48</v>
      </c>
      <c r="B189" s="145" t="e">
        <f>SUM(#REF!)/0.1756</f>
        <v>#REF!</v>
      </c>
      <c r="C189" s="145">
        <f>SUM('MasterA1(current$)'!C189)/0.178</f>
        <v>612.35955056179773</v>
      </c>
      <c r="D189" s="146">
        <f>SUM('MasterA1(current$)'!D189)/0.1798</f>
        <v>595.10567296996669</v>
      </c>
      <c r="E189" s="485">
        <f>SUM('MasterA1(current$)'!E189)/0.182</f>
        <v>714.28571428571433</v>
      </c>
      <c r="F189" s="485">
        <f>SUM('MasterA1(current$)'!F189)/0.1842</f>
        <v>787.18783930510313</v>
      </c>
      <c r="G189" s="485">
        <f>SUM('MasterA1(current$)'!G189)/0.18702</f>
        <v>973.15795102128118</v>
      </c>
      <c r="H189" s="485">
        <f>SUM('MasterA1(current$)'!H189)/0.19227</f>
        <v>920.58043376501791</v>
      </c>
      <c r="I189" s="485">
        <f>SUM('MasterA1(current$)'!I189)/0.19786</f>
        <v>1005.7616496512685</v>
      </c>
      <c r="J189" s="485">
        <f>SUM('MasterA1(current$)'!J189)/0.20627</f>
        <v>1018.0830949726087</v>
      </c>
      <c r="K189" s="485">
        <f>SUM('MasterA1(current$)'!K189)/0.21642</f>
        <v>1076.6102947971538</v>
      </c>
      <c r="L189" s="485">
        <f>SUM('MasterA1(current$)'!L189)/0.22784</f>
        <v>1211.3764044943821</v>
      </c>
      <c r="M189" s="485">
        <f>SUM('MasterA1(current$)'!M189)/0.23941</f>
        <v>1294.8498391880037</v>
      </c>
      <c r="N189" s="485">
        <f>SUM('MasterA1(current$)'!N189)/0.24978</f>
        <v>1233.085114901113</v>
      </c>
      <c r="O189" s="485">
        <f>SUM('MasterA1(current$)'!O189)/0.26337</f>
        <v>763.18487299236813</v>
      </c>
      <c r="P189" s="485">
        <f>SUM('MasterA1(current$)'!P189)/0.28703</f>
        <v>909.3126154060551</v>
      </c>
      <c r="Q189" s="485">
        <f>SUM('MasterA1(current$)'!Q189)/0.31361</f>
        <v>1195.7526864577023</v>
      </c>
      <c r="R189" s="485">
        <f>SUM('MasterA1(current$)'!R189)/0.33083</f>
        <v>1278.6023032977662</v>
      </c>
      <c r="S189" s="485">
        <f>SUM('MasterA1(current$)'!S189)/0.35135</f>
        <v>1164.0814003130781</v>
      </c>
      <c r="T189" s="485">
        <f>SUM('MasterA1(current$)'!T189)/0.37602</f>
        <v>944.09871815328961</v>
      </c>
      <c r="U189" s="485">
        <f>SUM('MasterA1(current$)'!U189)/0.40706</f>
        <v>955.6330762049821</v>
      </c>
      <c r="V189" s="485">
        <f>SUM('MasterA1(current$)'!V189)/0.44377</f>
        <v>1095.1619081956869</v>
      </c>
      <c r="W189" s="485">
        <f>SUM('MasterA1(current$)'!W189)/0.4852</f>
        <v>950.12366034624893</v>
      </c>
      <c r="X189" s="485">
        <f>SUM('MasterA1(current$)'!X189)/0.5153</f>
        <v>962.54608965651084</v>
      </c>
      <c r="Y189" s="485">
        <f>SUM('MasterA1(current$)'!Y189)/0.53565</f>
        <v>927.84467469429671</v>
      </c>
      <c r="Z189" s="485">
        <f>SUM('MasterA1(current$)'!Z189)/0.55466</f>
        <v>850.97176648757795</v>
      </c>
      <c r="AA189" s="485">
        <f>SUM('MasterA1(current$)'!AA189)/0.5724</f>
        <v>822.8511530398323</v>
      </c>
      <c r="AB189" s="485">
        <f>SUM('MasterA1(current$)'!AB189)/0.58395</f>
        <v>810.00085623769166</v>
      </c>
      <c r="AC189" s="485">
        <f>SUM('MasterA1(current$)'!AC189)/0.59885</f>
        <v>728.06211906153464</v>
      </c>
      <c r="AD189" s="485">
        <f>SUM('MasterA1(current$)'!AD189)/0.61982</f>
        <v>772.80500790552094</v>
      </c>
      <c r="AE189" s="485">
        <f>SUM('MasterA1(current$)'!AE189)/0.64392</f>
        <v>762.5170828674369</v>
      </c>
      <c r="AF189" s="485">
        <f>SUM('MasterA1(current$)'!AF189)/0.66773</f>
        <v>768.27460200979431</v>
      </c>
      <c r="AG189" s="485">
        <f>SUM('MasterA1(current$)'!AG189)/0.68996</f>
        <v>805.84381703287147</v>
      </c>
      <c r="AH189" s="485">
        <f>SUM('MasterA1(current$)'!AH189)/0.70569</f>
        <v>861.56811064348358</v>
      </c>
      <c r="AI189" s="485">
        <f>SUM('MasterA1(current$)'!AI189)/0.72248</f>
        <v>899.67888384453545</v>
      </c>
      <c r="AJ189" s="485">
        <f>SUM('MasterA1(current$)'!AJ189)/0.73785</f>
        <v>897.20132818323509</v>
      </c>
      <c r="AK189" s="485">
        <f>SUM('MasterA1(current$)'!AK189)/0.75324</f>
        <v>966.49142371621258</v>
      </c>
      <c r="AL189" s="485">
        <f>SUM('MasterA1(current$)'!AL189)/0.76699</f>
        <v>873.54463552327934</v>
      </c>
      <c r="AM189" s="485">
        <f>SUM('MasterA1(current$)'!AM189)/0.78012</f>
        <v>839.61441829462126</v>
      </c>
      <c r="AN189" s="485">
        <f>SUM('MasterA1(current$)'!AN189)/0.78859</f>
        <v>874.97939360123769</v>
      </c>
      <c r="AO189" s="485">
        <f>SUM('MasterA1(current$)'!AO189)/0.80065</f>
        <v>918.00412165115847</v>
      </c>
      <c r="AP189" s="147">
        <f>SUM('MasterA1(current$)'!AP189)/0.81887</f>
        <v>918.33868623835292</v>
      </c>
      <c r="AQ189" s="147">
        <f>SUM('MasterA1(current$)'!AQ189)/0.83754</f>
        <v>985.02758077226167</v>
      </c>
      <c r="AR189" s="436">
        <f>SUM('MasterA1(current$)'!AR189)/0.85039</f>
        <v>1031.2915250649703</v>
      </c>
      <c r="AS189" s="436">
        <f>SUM('MasterA1(current$)'!AS189)/0.86735</f>
        <v>1014.5846544071021</v>
      </c>
      <c r="AT189" s="436">
        <f>SUM('MasterA1(current$)'!AT189)/0.8912</f>
        <v>1104.1292639138242</v>
      </c>
      <c r="AU189" s="147">
        <f>SUM('MasterA1(current$)'!AU189)/0.91988</f>
        <v>1082.7499239031179</v>
      </c>
      <c r="AV189" s="147">
        <f>SUM('MasterA1(current$)'!AV189)/0.94814</f>
        <v>1119.0330541903095</v>
      </c>
      <c r="AW189" s="147">
        <f>SUM('MasterA1(current$)'!AW189)/0.97337</f>
        <v>1065.9816869171996</v>
      </c>
      <c r="AX189" s="670">
        <f>('MasterA1(current$)'!AX189*100)/99.246</f>
        <v>1138.5849303750279</v>
      </c>
      <c r="AY189" s="441">
        <f>SUM('MasterA1(current$)'!AY189)</f>
        <v>1229</v>
      </c>
      <c r="AZ189" s="441">
        <f>SUM('MasterA1(current$)'!AZ189*100)/101.221</f>
        <v>1255.6682901769395</v>
      </c>
      <c r="BA189" s="441">
        <f>SUM('MasterA1(current$)'!BA189*100)/103.311</f>
        <v>1269.9518928284499</v>
      </c>
      <c r="BB189" s="441">
        <f>SUM('MasterA1(current$)'!BB189*100)/105.214</f>
        <v>1282.1487634725418</v>
      </c>
      <c r="BC189" s="441">
        <f>SUM('MasterA1(current$)'!BC189*100)/106.913</f>
        <v>1297.3165096854452</v>
      </c>
      <c r="BD189" s="441">
        <f>SUM('MasterA1(current$)'!BD189*100)/108.828</f>
        <v>1268.0560149961407</v>
      </c>
      <c r="BE189" s="441">
        <f>SUM('MasterA1(current$)'!BE189*100)/109.998</f>
        <v>1303.6600665466644</v>
      </c>
      <c r="BF189" s="663">
        <f>SUM('MasterA1(current$)'!BF189*100)/111.298</f>
        <v>1351.3270678718395</v>
      </c>
      <c r="BG189" s="663">
        <f>SUM('MasterA1(current$)'!BG189*100)/113.198</f>
        <v>1397.551193483984</v>
      </c>
      <c r="BH189" s="663">
        <f>SUM('MasterA1(current$)'!BH189*100)/115.198</f>
        <v>1353.3221062865675</v>
      </c>
      <c r="BI189" s="422">
        <f>(BG189-BF189)/BF189</f>
        <v>3.4206467635508345E-2</v>
      </c>
      <c r="BJ189" s="422">
        <f>(BH189-BG189)/BG189</f>
        <v>-3.1647561394267679E-2</v>
      </c>
      <c r="BK189" s="574">
        <f>BG189-BF189</f>
        <v>46.224125612144462</v>
      </c>
      <c r="BL189" s="574">
        <f>BH189-BG189</f>
        <v>-44.229087197416447</v>
      </c>
    </row>
    <row r="190" spans="1:64" ht="11.1" customHeight="1">
      <c r="A190" s="125"/>
      <c r="B190" s="54"/>
      <c r="C190" s="54"/>
      <c r="D190" s="54"/>
      <c r="E190" s="488"/>
      <c r="F190" s="488"/>
      <c r="G190" s="488"/>
      <c r="H190" s="488"/>
      <c r="I190" s="488"/>
      <c r="J190" s="488"/>
      <c r="K190" s="488"/>
      <c r="L190" s="488"/>
      <c r="M190" s="488"/>
      <c r="N190" s="488"/>
      <c r="O190" s="488"/>
      <c r="P190" s="488"/>
      <c r="Q190" s="488"/>
      <c r="R190" s="488"/>
      <c r="S190" s="488"/>
      <c r="T190" s="488"/>
      <c r="U190" s="488"/>
      <c r="V190" s="488"/>
      <c r="W190" s="488"/>
      <c r="X190" s="488"/>
      <c r="Y190" s="488"/>
      <c r="Z190" s="488"/>
      <c r="AA190" s="488"/>
      <c r="AB190" s="488"/>
      <c r="AC190" s="488"/>
      <c r="AD190" s="488"/>
      <c r="AE190" s="488"/>
      <c r="AF190" s="488"/>
      <c r="AG190" s="488"/>
      <c r="AH190" s="488"/>
      <c r="AI190" s="488"/>
      <c r="AJ190" s="488"/>
      <c r="AK190" s="488"/>
      <c r="AL190" s="488"/>
      <c r="AM190" s="488"/>
      <c r="AN190" s="488"/>
      <c r="AO190" s="488"/>
      <c r="AP190" s="488"/>
      <c r="AQ190" s="488"/>
      <c r="AR190" s="488"/>
      <c r="AS190" s="488"/>
      <c r="AT190" s="488"/>
      <c r="AU190" s="488"/>
      <c r="AV190" s="488"/>
      <c r="AW190" s="488"/>
      <c r="AX190" s="488"/>
      <c r="AY190" s="454"/>
      <c r="AZ190" s="454"/>
      <c r="BA190" s="454"/>
      <c r="BB190" s="454"/>
      <c r="BC190" s="454"/>
      <c r="BD190" s="454"/>
      <c r="BE190" s="454"/>
      <c r="BF190" s="659"/>
      <c r="BG190" s="659"/>
      <c r="BH190" s="659"/>
      <c r="BI190" s="385"/>
      <c r="BJ190" s="385"/>
      <c r="BK190" s="571"/>
      <c r="BL190" s="571"/>
    </row>
    <row r="191" spans="1:64" ht="15.75" customHeight="1">
      <c r="A191" s="167" t="s">
        <v>49</v>
      </c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664"/>
      <c r="BG191" s="664"/>
      <c r="BH191" s="664"/>
      <c r="BI191" s="11"/>
      <c r="BJ191" s="11"/>
      <c r="BK191" s="11"/>
      <c r="BL191" s="571"/>
    </row>
    <row r="192" spans="1:64" ht="6" customHeight="1">
      <c r="A192" s="125"/>
      <c r="B192" s="54"/>
      <c r="C192" s="36"/>
      <c r="D192" s="36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161"/>
      <c r="AN192" s="161"/>
      <c r="AO192" s="161"/>
      <c r="AP192" s="339"/>
      <c r="AQ192" s="339"/>
      <c r="AR192" s="339"/>
      <c r="AS192" s="339"/>
      <c r="AT192" s="339"/>
      <c r="AU192" s="339"/>
      <c r="AV192" s="339"/>
      <c r="AX192" s="98"/>
      <c r="AY192" s="416"/>
      <c r="AZ192" s="416"/>
      <c r="BA192" s="416"/>
      <c r="BB192" s="416"/>
      <c r="BC192" s="416"/>
      <c r="BD192" s="416"/>
      <c r="BE192" s="416"/>
      <c r="BF192" s="631"/>
      <c r="BG192" s="631"/>
      <c r="BH192" s="631"/>
      <c r="BI192" s="385"/>
      <c r="BJ192" s="385"/>
      <c r="BK192" s="571"/>
      <c r="BL192" s="571"/>
    </row>
    <row r="193" spans="1:80" ht="11.1" customHeight="1">
      <c r="A193" s="129" t="s">
        <v>152</v>
      </c>
      <c r="B193" s="51" t="s">
        <v>3</v>
      </c>
      <c r="C193" s="51" t="s">
        <v>3</v>
      </c>
      <c r="D193" s="51" t="s">
        <v>3</v>
      </c>
      <c r="E193" s="224" t="s">
        <v>3</v>
      </c>
      <c r="F193" s="224" t="s">
        <v>3</v>
      </c>
      <c r="G193" s="224" t="s">
        <v>3</v>
      </c>
      <c r="H193" s="224" t="s">
        <v>3</v>
      </c>
      <c r="I193" s="224" t="s">
        <v>3</v>
      </c>
      <c r="J193" s="224" t="s">
        <v>3</v>
      </c>
      <c r="K193" s="224" t="s">
        <v>3</v>
      </c>
      <c r="L193" s="224" t="s">
        <v>3</v>
      </c>
      <c r="M193" s="224" t="s">
        <v>3</v>
      </c>
      <c r="N193" s="33">
        <f>SUM('MasterA1(current$)'!N193)/0.24978</f>
        <v>4.0035231003282892</v>
      </c>
      <c r="O193" s="33">
        <f>SUM('MasterA1(current$)'!O193)/0.26337</f>
        <v>3.7969396666286972</v>
      </c>
      <c r="P193" s="33">
        <f>SUM('MasterA1(current$)'!P193)/0.28703</f>
        <v>3.4839563808661116</v>
      </c>
      <c r="Q193" s="33">
        <f>SUM('MasterA1(current$)'!Q193)/0.31361</f>
        <v>3.1886738305538724</v>
      </c>
      <c r="R193" s="33">
        <f>SUM('MasterA1(current$)'!R193)/0.33083</f>
        <v>3.0227004806093762</v>
      </c>
      <c r="S193" s="33">
        <f>SUM('MasterA1(current$)'!S193)/0.35135</f>
        <v>5.692329585883023</v>
      </c>
      <c r="T193" s="33">
        <f>SUM('MasterA1(current$)'!T193)/0.37602</f>
        <v>5.3188660177650124</v>
      </c>
      <c r="U193" s="33">
        <f>SUM('MasterA1(current$)'!U193)/0.40706</f>
        <v>2.4566402987274603</v>
      </c>
      <c r="V193" s="33">
        <f>SUM('MasterA1(current$)'!V193)/0.44377</f>
        <v>2.2534195641886563</v>
      </c>
      <c r="W193" s="349" t="s">
        <v>3</v>
      </c>
      <c r="X193" s="349" t="s">
        <v>3</v>
      </c>
      <c r="Y193" s="349" t="s">
        <v>3</v>
      </c>
      <c r="Z193" s="349" t="s">
        <v>3</v>
      </c>
      <c r="AA193" s="349" t="s">
        <v>3</v>
      </c>
      <c r="AB193" s="349" t="s">
        <v>3</v>
      </c>
      <c r="AC193" s="349" t="s">
        <v>3</v>
      </c>
      <c r="AD193" s="349" t="s">
        <v>3</v>
      </c>
      <c r="AE193" s="349" t="s">
        <v>3</v>
      </c>
      <c r="AF193" s="349" t="s">
        <v>3</v>
      </c>
      <c r="AG193" s="349" t="s">
        <v>3</v>
      </c>
      <c r="AH193" s="349" t="s">
        <v>3</v>
      </c>
      <c r="AI193" s="349" t="s">
        <v>3</v>
      </c>
      <c r="AJ193" s="349" t="s">
        <v>3</v>
      </c>
      <c r="AK193" s="349" t="s">
        <v>3</v>
      </c>
      <c r="AL193" s="349" t="s">
        <v>3</v>
      </c>
      <c r="AM193" s="349" t="s">
        <v>3</v>
      </c>
      <c r="AN193" s="349" t="s">
        <v>3</v>
      </c>
      <c r="AO193" s="349" t="s">
        <v>3</v>
      </c>
      <c r="AP193" s="349" t="s">
        <v>3</v>
      </c>
      <c r="AQ193" s="349" t="s">
        <v>3</v>
      </c>
      <c r="AR193" s="349" t="s">
        <v>3</v>
      </c>
      <c r="AS193" s="349" t="s">
        <v>3</v>
      </c>
      <c r="AT193" s="349" t="s">
        <v>3</v>
      </c>
      <c r="AU193" s="349" t="s">
        <v>3</v>
      </c>
      <c r="AV193" s="349" t="s">
        <v>3</v>
      </c>
      <c r="AW193" s="349" t="s">
        <v>3</v>
      </c>
      <c r="AX193" s="224" t="s">
        <v>3</v>
      </c>
      <c r="AY193" s="382" t="s">
        <v>3</v>
      </c>
      <c r="AZ193" s="382" t="s">
        <v>3</v>
      </c>
      <c r="BA193" s="382" t="s">
        <v>3</v>
      </c>
      <c r="BB193" s="382" t="s">
        <v>3</v>
      </c>
      <c r="BC193" s="382" t="s">
        <v>3</v>
      </c>
      <c r="BD193" s="382" t="s">
        <v>3</v>
      </c>
      <c r="BE193" s="382" t="s">
        <v>3</v>
      </c>
      <c r="BF193" s="655" t="s">
        <v>3</v>
      </c>
      <c r="BG193" s="655" t="s">
        <v>3</v>
      </c>
      <c r="BH193" s="655" t="s">
        <v>3</v>
      </c>
      <c r="BI193" s="419" t="s">
        <v>9</v>
      </c>
      <c r="BJ193" s="419" t="s">
        <v>9</v>
      </c>
      <c r="BK193" s="573" t="s">
        <v>9</v>
      </c>
      <c r="BL193" s="573" t="s">
        <v>9</v>
      </c>
      <c r="BM193" s="468"/>
      <c r="BN193" s="468"/>
      <c r="BO193" s="468"/>
      <c r="BP193" s="468"/>
      <c r="BQ193" s="468"/>
      <c r="BR193" s="468"/>
      <c r="BS193" s="468"/>
      <c r="BT193" s="468"/>
      <c r="BU193" s="468"/>
      <c r="BV193" s="468"/>
      <c r="BW193" s="468"/>
      <c r="BX193" s="468"/>
      <c r="BY193" s="468"/>
      <c r="BZ193" s="468"/>
      <c r="CA193" s="468"/>
      <c r="CB193" s="468"/>
    </row>
    <row r="194" spans="1:80" ht="6" customHeight="1">
      <c r="A194" s="125"/>
      <c r="B194" s="36"/>
      <c r="C194" s="36"/>
      <c r="D194" s="36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224"/>
      <c r="Y194" s="224"/>
      <c r="Z194" s="224"/>
      <c r="AA194" s="224"/>
      <c r="AB194" s="224"/>
      <c r="AC194" s="224"/>
      <c r="AD194" s="224"/>
      <c r="AE194" s="224"/>
      <c r="AF194" s="224"/>
      <c r="AG194" s="224"/>
      <c r="AH194" s="224"/>
      <c r="AI194" s="53"/>
      <c r="AJ194" s="53"/>
      <c r="AK194" s="53"/>
      <c r="AL194" s="53"/>
      <c r="AM194" s="161"/>
      <c r="AN194" s="161"/>
      <c r="AO194" s="161"/>
      <c r="AP194" s="161"/>
      <c r="AQ194" s="161"/>
      <c r="AR194" s="161"/>
      <c r="AS194" s="161"/>
      <c r="AT194" s="161"/>
      <c r="AU194" s="161"/>
      <c r="AV194" s="161"/>
      <c r="AX194" s="98"/>
      <c r="AY194" s="416"/>
      <c r="AZ194" s="416"/>
      <c r="BA194" s="416"/>
      <c r="BB194" s="416"/>
      <c r="BC194" s="416"/>
      <c r="BD194" s="416"/>
      <c r="BE194" s="416"/>
      <c r="BF194" s="631"/>
      <c r="BG194" s="631"/>
      <c r="BH194" s="631"/>
      <c r="BI194" s="385"/>
      <c r="BJ194" s="385"/>
      <c r="BK194" s="571"/>
      <c r="BL194" s="571"/>
    </row>
    <row r="195" spans="1:80" ht="11.1" customHeight="1">
      <c r="A195" s="129" t="s">
        <v>153</v>
      </c>
      <c r="B195" s="51" t="s">
        <v>3</v>
      </c>
      <c r="C195" s="51" t="s">
        <v>3</v>
      </c>
      <c r="D195" s="51" t="s">
        <v>3</v>
      </c>
      <c r="E195" s="224" t="s">
        <v>3</v>
      </c>
      <c r="F195" s="224" t="s">
        <v>3</v>
      </c>
      <c r="G195" s="224" t="s">
        <v>3</v>
      </c>
      <c r="H195" s="224" t="s">
        <v>3</v>
      </c>
      <c r="I195" s="224" t="s">
        <v>3</v>
      </c>
      <c r="J195" s="224" t="s">
        <v>3</v>
      </c>
      <c r="K195" s="224" t="s">
        <v>3</v>
      </c>
      <c r="L195" s="224" t="s">
        <v>3</v>
      </c>
      <c r="M195" s="224" t="s">
        <v>3</v>
      </c>
      <c r="N195" s="224" t="s">
        <v>3</v>
      </c>
      <c r="O195" s="224" t="s">
        <v>3</v>
      </c>
      <c r="P195" s="224" t="s">
        <v>3</v>
      </c>
      <c r="Q195" s="33">
        <f>SUM('MasterA1(current$)'!Q195)/0.31361</f>
        <v>0</v>
      </c>
      <c r="R195" s="33">
        <f>SUM('MasterA1(current$)'!R195)/0.33083</f>
        <v>3.0227004806093762</v>
      </c>
      <c r="S195" s="33">
        <f>SUM('MasterA1(current$)'!S195)/0.35135</f>
        <v>5.692329585883023</v>
      </c>
      <c r="T195" s="33">
        <f>SUM('MasterA1(current$)'!T195)/0.37602</f>
        <v>5.3188660177650124</v>
      </c>
      <c r="U195" s="33">
        <f>SUM('MasterA1(current$)'!U195)/0.40706</f>
        <v>7.3699208961823812</v>
      </c>
      <c r="V195" s="33">
        <f>SUM('MasterA1(current$)'!V195)/0.44377</f>
        <v>20.280776077697908</v>
      </c>
      <c r="W195" s="33">
        <f>SUM('MasterA1(current$)'!W195)/0.4852</f>
        <v>12.366034624896949</v>
      </c>
      <c r="X195" s="349" t="s">
        <v>3</v>
      </c>
      <c r="Y195" s="349" t="s">
        <v>3</v>
      </c>
      <c r="Z195" s="349" t="s">
        <v>3</v>
      </c>
      <c r="AA195" s="349" t="s">
        <v>3</v>
      </c>
      <c r="AB195" s="349" t="s">
        <v>3</v>
      </c>
      <c r="AC195" s="349" t="s">
        <v>3</v>
      </c>
      <c r="AD195" s="349" t="s">
        <v>3</v>
      </c>
      <c r="AE195" s="349" t="s">
        <v>3</v>
      </c>
      <c r="AF195" s="349" t="s">
        <v>3</v>
      </c>
      <c r="AG195" s="349" t="s">
        <v>3</v>
      </c>
      <c r="AH195" s="349" t="s">
        <v>3</v>
      </c>
      <c r="AI195" s="349" t="s">
        <v>3</v>
      </c>
      <c r="AJ195" s="349" t="s">
        <v>3</v>
      </c>
      <c r="AK195" s="349" t="s">
        <v>3</v>
      </c>
      <c r="AL195" s="349" t="s">
        <v>3</v>
      </c>
      <c r="AM195" s="349" t="s">
        <v>3</v>
      </c>
      <c r="AN195" s="349" t="s">
        <v>3</v>
      </c>
      <c r="AO195" s="349" t="s">
        <v>3</v>
      </c>
      <c r="AP195" s="349" t="s">
        <v>3</v>
      </c>
      <c r="AQ195" s="349" t="s">
        <v>3</v>
      </c>
      <c r="AR195" s="349" t="s">
        <v>3</v>
      </c>
      <c r="AS195" s="349" t="s">
        <v>3</v>
      </c>
      <c r="AT195" s="349" t="s">
        <v>3</v>
      </c>
      <c r="AU195" s="349" t="s">
        <v>3</v>
      </c>
      <c r="AV195" s="349" t="s">
        <v>3</v>
      </c>
      <c r="AW195" s="349" t="s">
        <v>3</v>
      </c>
      <c r="AX195" s="224" t="s">
        <v>3</v>
      </c>
      <c r="AY195" s="382" t="s">
        <v>3</v>
      </c>
      <c r="AZ195" s="382" t="s">
        <v>3</v>
      </c>
      <c r="BA195" s="382" t="s">
        <v>3</v>
      </c>
      <c r="BB195" s="382" t="s">
        <v>3</v>
      </c>
      <c r="BC195" s="382" t="s">
        <v>3</v>
      </c>
      <c r="BD195" s="382" t="s">
        <v>3</v>
      </c>
      <c r="BE195" s="382" t="s">
        <v>3</v>
      </c>
      <c r="BF195" s="655" t="s">
        <v>3</v>
      </c>
      <c r="BG195" s="655" t="s">
        <v>3</v>
      </c>
      <c r="BH195" s="655" t="s">
        <v>3</v>
      </c>
      <c r="BI195" s="419" t="s">
        <v>9</v>
      </c>
      <c r="BJ195" s="419" t="s">
        <v>9</v>
      </c>
      <c r="BK195" s="573" t="s">
        <v>9</v>
      </c>
      <c r="BL195" s="573" t="s">
        <v>9</v>
      </c>
    </row>
    <row r="196" spans="1:80" ht="6" customHeight="1">
      <c r="A196" s="125"/>
      <c r="B196" s="54"/>
      <c r="C196" s="36"/>
      <c r="D196" s="36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161"/>
      <c r="AN196" s="161"/>
      <c r="AO196" s="161"/>
      <c r="AP196" s="339"/>
      <c r="AQ196" s="339"/>
      <c r="AR196" s="339"/>
      <c r="AS196" s="339"/>
      <c r="AT196" s="339"/>
      <c r="AU196" s="339"/>
      <c r="AV196" s="339"/>
      <c r="AX196" s="98"/>
      <c r="AY196" s="416"/>
      <c r="AZ196" s="416"/>
      <c r="BA196" s="416"/>
      <c r="BB196" s="416"/>
      <c r="BC196" s="416"/>
      <c r="BD196" s="416"/>
      <c r="BE196" s="416"/>
      <c r="BF196" s="631"/>
      <c r="BG196" s="631"/>
      <c r="BH196" s="631"/>
      <c r="BI196" s="329"/>
      <c r="BJ196" s="329"/>
      <c r="BK196" s="570"/>
      <c r="BL196" s="570"/>
    </row>
    <row r="197" spans="1:80" ht="11.1" customHeight="1">
      <c r="A197" s="126" t="s">
        <v>50</v>
      </c>
      <c r="B197" s="54"/>
      <c r="C197" s="36"/>
      <c r="D197" s="36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161"/>
      <c r="AN197" s="161"/>
      <c r="AO197" s="161"/>
      <c r="AP197" s="339"/>
      <c r="AQ197" s="339"/>
      <c r="AR197" s="339"/>
      <c r="AS197" s="339"/>
      <c r="AT197" s="339"/>
      <c r="AU197" s="339"/>
      <c r="AV197" s="339"/>
      <c r="AX197" s="98"/>
      <c r="AY197" s="416"/>
      <c r="AZ197" s="416"/>
      <c r="BA197" s="416"/>
      <c r="BB197" s="416"/>
      <c r="BC197" s="416"/>
      <c r="BD197" s="416"/>
      <c r="BE197" s="416"/>
      <c r="BF197" s="631"/>
      <c r="BG197" s="631"/>
      <c r="BH197" s="631"/>
      <c r="BI197" s="329"/>
      <c r="BJ197" s="329"/>
      <c r="BK197" s="570"/>
      <c r="BL197" s="570"/>
    </row>
    <row r="198" spans="1:80" ht="11.1" customHeight="1">
      <c r="A198" s="129" t="s">
        <v>154</v>
      </c>
      <c r="B198" s="54">
        <f>SUM('MasterA1(current$)'!B198)/0.1756</f>
        <v>17.084282460136674</v>
      </c>
      <c r="C198" s="55">
        <f>SUM('MasterA1(current$)'!C198)/0.178</f>
        <v>16.853932584269664</v>
      </c>
      <c r="D198" s="55">
        <f>SUM('MasterA1(current$)'!D198)/0.1798</f>
        <v>16.685205784204673</v>
      </c>
      <c r="E198" s="33">
        <f>SUM('MasterA1(current$)'!E198)/0.182</f>
        <v>21.978021978021978</v>
      </c>
      <c r="F198" s="33">
        <f>SUM('MasterA1(current$)'!F198)/0.1842</f>
        <v>21.715526601520086</v>
      </c>
      <c r="G198" s="33">
        <f>SUM('MasterA1(current$)'!G198)/0.18702</f>
        <v>26.735108544540694</v>
      </c>
      <c r="H198" s="33">
        <f>SUM('MasterA1(current$)'!H198)/0.19227</f>
        <v>26.005096999011808</v>
      </c>
      <c r="I198" s="33">
        <f>SUM('MasterA1(current$)'!I198)/0.19786</f>
        <v>25.270393207318303</v>
      </c>
      <c r="J198" s="33">
        <f>SUM('MasterA1(current$)'!J198)/0.20627</f>
        <v>24.240073689824015</v>
      </c>
      <c r="K198" s="33">
        <f>SUM('MasterA1(current$)'!K198)/0.21642</f>
        <v>27.72387025228722</v>
      </c>
      <c r="L198" s="33">
        <f>SUM('MasterA1(current$)'!L198)/0.22784</f>
        <v>26.334269662921351</v>
      </c>
      <c r="M198" s="33">
        <f>SUM('MasterA1(current$)'!M198)/0.23941</f>
        <v>25.061609790735556</v>
      </c>
      <c r="N198" s="33">
        <f>SUM('MasterA1(current$)'!N198)/0.24978</f>
        <v>28.024661702298022</v>
      </c>
      <c r="O198" s="33">
        <f>SUM('MasterA1(current$)'!O198)/0.26337</f>
        <v>22.781637999772183</v>
      </c>
      <c r="P198" s="33">
        <f>SUM('MasterA1(current$)'!P198)/0.28703</f>
        <v>27.871651046928893</v>
      </c>
      <c r="Q198" s="33">
        <f>SUM('MasterA1(current$)'!Q198)/0.31361</f>
        <v>28.698064474984854</v>
      </c>
      <c r="R198" s="33">
        <f>SUM('MasterA1(current$)'!R198)/0.33083</f>
        <v>27.204304325484387</v>
      </c>
      <c r="S198" s="33">
        <f>SUM('MasterA1(current$)'!S198)/0.35135</f>
        <v>22.769318343532092</v>
      </c>
      <c r="T198" s="33">
        <f>SUM('MasterA1(current$)'!T198)/0.37602</f>
        <v>18.616031062177544</v>
      </c>
      <c r="U198" s="33">
        <f>SUM('MasterA1(current$)'!U198)/0.40706</f>
        <v>19.653122389819682</v>
      </c>
      <c r="V198" s="33">
        <f>SUM('MasterA1(current$)'!V198)/0.44377</f>
        <v>31.547873898641189</v>
      </c>
      <c r="W198" s="33">
        <f>SUM('MasterA1(current$)'!W198)/0.4852</f>
        <v>39.159109645507009</v>
      </c>
      <c r="X198" s="33">
        <f>SUM('MasterA1(current$)'!X198)/0.5153</f>
        <v>38.812342324859308</v>
      </c>
      <c r="Y198" s="33">
        <f>SUM('MasterA1(current$)'!Y198)/0.53565</f>
        <v>50.406048725847107</v>
      </c>
      <c r="Z198" s="33">
        <f>SUM('MasterA1(current$)'!Z198)/0.55466</f>
        <v>68.510438827389748</v>
      </c>
      <c r="AA198" s="33">
        <f>SUM('MasterA1(current$)'!AA198)/0.5724</f>
        <v>69.88120195667365</v>
      </c>
      <c r="AB198" s="33">
        <f>SUM('MasterA1(current$)'!AB198)/0.58395</f>
        <v>82.198818391985625</v>
      </c>
      <c r="AC198" s="33">
        <f>SUM('MasterA1(current$)'!AC198)/0.59885</f>
        <v>86.833096768806882</v>
      </c>
      <c r="AD198" s="33">
        <f>SUM('MasterA1(current$)'!AD198)/0.61982</f>
        <v>32.267432480397531</v>
      </c>
      <c r="AE198" s="33">
        <f>SUM('MasterA1(current$)'!AE198)/0.64392</f>
        <v>34.165734873897378</v>
      </c>
      <c r="AF198" s="33">
        <f>SUM('MasterA1(current$)'!AF198)/0.66773</f>
        <v>34.445060129094095</v>
      </c>
      <c r="AG198" s="33">
        <f>SUM('MasterA1(current$)'!AG198)/0.68996</f>
        <v>39.132703345121456</v>
      </c>
      <c r="AH198" s="33">
        <f>SUM('MasterA1(current$)'!AH198)/0.70569</f>
        <v>32.59221471184231</v>
      </c>
      <c r="AI198" s="33">
        <f>SUM('MasterA1(current$)'!AI198)/0.72248</f>
        <v>45.676004872107185</v>
      </c>
      <c r="AJ198" s="33">
        <f>SUM('MasterA1(current$)'!AJ198)/0.73785</f>
        <v>46.079826523006034</v>
      </c>
      <c r="AK198" s="33">
        <f>SUM('MasterA1(current$)'!AK198)/0.75324</f>
        <v>41.155541394509051</v>
      </c>
      <c r="AL198" s="33">
        <f>SUM('MasterA1(current$)'!AL198)/0.76699</f>
        <v>36.506342977092274</v>
      </c>
      <c r="AM198" s="33">
        <f>SUM('MasterA1(current$)'!AM198)/0.78012</f>
        <v>41.019330359431883</v>
      </c>
      <c r="AN198" s="33">
        <f>SUM('MasterA1(current$)'!AN198)/0.78859</f>
        <v>38.042582330488592</v>
      </c>
      <c r="AO198" s="33">
        <f>SUM('MasterA1(current$)'!AO198)/0.80065</f>
        <v>36.220570786236188</v>
      </c>
      <c r="AP198" s="339">
        <f>SUM('MasterA1(current$)'!AP198)/0.81887</f>
        <v>43.963022213538167</v>
      </c>
      <c r="AQ198" s="339">
        <f>SUM('MasterA1(current$)'!AQ198)/0.83754</f>
        <v>46.564940181961461</v>
      </c>
      <c r="AR198" s="339">
        <f>SUM('MasterA1(current$)'!AR198)/0.85039</f>
        <v>51.740965909759055</v>
      </c>
      <c r="AS198" s="339">
        <f>SUM('MasterA1(current$)'!AS198)/0.86735</f>
        <v>50.729232720355107</v>
      </c>
      <c r="AT198" s="339">
        <f>SUM('MasterA1(current$)'!AT198)/0.8912</f>
        <v>76.301615798922796</v>
      </c>
      <c r="AU198" s="339">
        <f>SUM('MasterA1(current$)'!AU198)/0.91988</f>
        <v>68.487193981823708</v>
      </c>
      <c r="AV198" s="339">
        <f>SUM('MasterA1(current$)'!AV198)/0.94814</f>
        <v>64.336490391714307</v>
      </c>
      <c r="AW198" s="339">
        <f>SUM('MasterA1(current$)'!AW198)/0.97337</f>
        <v>64.485361108344193</v>
      </c>
      <c r="AX198" s="341">
        <f>('MasterA1(current$)'!AX198*100)/99.246</f>
        <v>67.864076086069929</v>
      </c>
      <c r="AY198" s="420">
        <f>SUM('MasterA1(current$)'!AY198)</f>
        <v>67</v>
      </c>
      <c r="AZ198" s="420">
        <f>SUM('MasterA1(current$)'!AZ198*100)/101.221</f>
        <v>71.131484573359288</v>
      </c>
      <c r="BA198" s="420">
        <f>SUM('MasterA1(current$)'!BA198*100)/103.311</f>
        <v>68.724530785685928</v>
      </c>
      <c r="BB198" s="420">
        <f>SUM('MasterA1(current$)'!BB198*100)/105.214</f>
        <v>67.481513866975874</v>
      </c>
      <c r="BC198" s="420">
        <f>SUM('MasterA1(current$)'!BC198*100)/106.913</f>
        <v>67.34447634992938</v>
      </c>
      <c r="BD198" s="420">
        <f>SUM('MasterA1(current$)'!BD198*100)/108.828</f>
        <v>64.321681920094093</v>
      </c>
      <c r="BE198" s="420">
        <f>SUM('MasterA1(current$)'!BE198*100)/109.998</f>
        <v>65.455735558828337</v>
      </c>
      <c r="BF198" s="634">
        <f>SUM('MasterA1(current$)'!BF198*100)/111.298</f>
        <v>74.574565580693275</v>
      </c>
      <c r="BG198" s="634">
        <f>SUM('MasterA1(current$)'!BG198*100)/113.198</f>
        <v>72.439442392975138</v>
      </c>
      <c r="BH198" s="634">
        <f>SUM('MasterA1(current$)'!BH198*100)/115.198</f>
        <v>79.862497612805782</v>
      </c>
      <c r="BI198" s="385">
        <f t="shared" ref="BI198:BI200" si="85">(BG198-BF198)/BF198</f>
        <v>-2.8630715728512425E-2</v>
      </c>
      <c r="BJ198" s="385">
        <f t="shared" ref="BJ198:BJ200" si="86">(BH198-BG198)/BG198</f>
        <v>0.10247256155785235</v>
      </c>
      <c r="BK198" s="569">
        <f t="shared" ref="BK198:BK200" si="87">BG198-BF198</f>
        <v>-2.1351231877181363</v>
      </c>
      <c r="BL198" s="569">
        <f t="shared" ref="BL198:BL200" si="88">BH198-BG198</f>
        <v>7.4230552198306441</v>
      </c>
    </row>
    <row r="199" spans="1:80" ht="11.1" customHeight="1">
      <c r="A199" s="129" t="s">
        <v>155</v>
      </c>
      <c r="B199" s="56" t="s">
        <v>3</v>
      </c>
      <c r="C199" s="56" t="s">
        <v>3</v>
      </c>
      <c r="D199" s="56" t="s">
        <v>3</v>
      </c>
      <c r="E199" s="342" t="s">
        <v>3</v>
      </c>
      <c r="F199" s="342" t="s">
        <v>3</v>
      </c>
      <c r="G199" s="342" t="s">
        <v>3</v>
      </c>
      <c r="H199" s="342" t="s">
        <v>3</v>
      </c>
      <c r="I199" s="342" t="s">
        <v>3</v>
      </c>
      <c r="J199" s="342" t="s">
        <v>3</v>
      </c>
      <c r="K199" s="342" t="s">
        <v>3</v>
      </c>
      <c r="L199" s="342" t="s">
        <v>3</v>
      </c>
      <c r="M199" s="342" t="s">
        <v>3</v>
      </c>
      <c r="N199" s="342" t="s">
        <v>3</v>
      </c>
      <c r="O199" s="342" t="s">
        <v>3</v>
      </c>
      <c r="P199" s="342" t="s">
        <v>3</v>
      </c>
      <c r="Q199" s="342" t="s">
        <v>3</v>
      </c>
      <c r="R199" s="342" t="s">
        <v>3</v>
      </c>
      <c r="S199" s="342" t="s">
        <v>3</v>
      </c>
      <c r="T199" s="342" t="s">
        <v>3</v>
      </c>
      <c r="U199" s="342" t="s">
        <v>3</v>
      </c>
      <c r="V199" s="342" t="s">
        <v>3</v>
      </c>
      <c r="W199" s="342" t="s">
        <v>3</v>
      </c>
      <c r="X199" s="342" t="s">
        <v>3</v>
      </c>
      <c r="Y199" s="342" t="s">
        <v>3</v>
      </c>
      <c r="Z199" s="342" t="s">
        <v>3</v>
      </c>
      <c r="AA199" s="342" t="s">
        <v>3</v>
      </c>
      <c r="AB199" s="342" t="s">
        <v>3</v>
      </c>
      <c r="AC199" s="342" t="s">
        <v>3</v>
      </c>
      <c r="AD199" s="33">
        <f>SUM('MasterA1(current$)'!AD199)/0.61982</f>
        <v>43.561033848536667</v>
      </c>
      <c r="AE199" s="33">
        <f>SUM('MasterA1(current$)'!AE199)/0.64392</f>
        <v>66.778481798981232</v>
      </c>
      <c r="AF199" s="33">
        <f>SUM('MasterA1(current$)'!AF199)/0.66773</f>
        <v>61.402063708385121</v>
      </c>
      <c r="AG199" s="33">
        <f>SUM('MasterA1(current$)'!AG199)/0.68996</f>
        <v>63.771812858716444</v>
      </c>
      <c r="AH199" s="33">
        <f>SUM('MasterA1(current$)'!AH199)/0.70569</f>
        <v>62.350323796567892</v>
      </c>
      <c r="AI199" s="33">
        <f>SUM('MasterA1(current$)'!AI199)/0.72248</f>
        <v>53.980733030672127</v>
      </c>
      <c r="AJ199" s="33">
        <f>SUM('MasterA1(current$)'!AJ199)/0.73785</f>
        <v>48.79040455377109</v>
      </c>
      <c r="AK199" s="33">
        <f>SUM('MasterA1(current$)'!AK199)/0.75324</f>
        <v>54.431522489511977</v>
      </c>
      <c r="AL199" s="33">
        <f>SUM('MasterA1(current$)'!AL199)/0.76699</f>
        <v>56.063312429105991</v>
      </c>
      <c r="AM199" s="33">
        <f>SUM('MasterA1(current$)'!AM199)/0.78012</f>
        <v>55.119725170486589</v>
      </c>
      <c r="AN199" s="33">
        <f>SUM('MasterA1(current$)'!AN199)/0.78859</f>
        <v>58.331959573415844</v>
      </c>
      <c r="AO199" s="33">
        <f>SUM('MasterA1(current$)'!AO199)/0.80065</f>
        <v>68.694185973896211</v>
      </c>
      <c r="AP199" s="339">
        <f>SUM('MasterA1(current$)'!AP199)/0.81887</f>
        <v>74.492898750717458</v>
      </c>
      <c r="AQ199" s="339">
        <f>SUM('MasterA1(current$)'!AQ199)/0.83754</f>
        <v>84.772070587673426</v>
      </c>
      <c r="AR199" s="339">
        <f>SUM('MasterA1(current$)'!AR199)/0.85039</f>
        <v>77.611448864638575</v>
      </c>
      <c r="AS199" s="339">
        <f>SUM('MasterA1(current$)'!AS199)/0.86735</f>
        <v>78.399723295094262</v>
      </c>
      <c r="AT199" s="339">
        <f>SUM('MasterA1(current$)'!AT199)/0.8912</f>
        <v>85.278276481149007</v>
      </c>
      <c r="AU199" s="339">
        <f>SUM('MasterA1(current$)'!AU199)/0.91988</f>
        <v>77.183980519198158</v>
      </c>
      <c r="AV199" s="339">
        <f>SUM('MasterA1(current$)'!AV199)/0.94814</f>
        <v>85.430421667686204</v>
      </c>
      <c r="AW199" s="339">
        <f>SUM('MasterA1(current$)'!AW199)/0.97337</f>
        <v>88.352836023300497</v>
      </c>
      <c r="AX199" s="341">
        <f>('MasterA1(current$)'!AX199*100)/99.246</f>
        <v>80.607782681417902</v>
      </c>
      <c r="AY199" s="420">
        <f>SUM('MasterA1(current$)'!AY199)</f>
        <v>83</v>
      </c>
      <c r="AZ199" s="420">
        <f>SUM('MasterA1(current$)'!AZ199*100)/101.221</f>
        <v>89.902293002440203</v>
      </c>
      <c r="BA199" s="420">
        <f>SUM('MasterA1(current$)'!BA199*100)/103.311</f>
        <v>101.63486947178906</v>
      </c>
      <c r="BB199" s="420">
        <f>SUM('MasterA1(current$)'!BB199*100)/105.214</f>
        <v>94.093941870853683</v>
      </c>
      <c r="BC199" s="420">
        <f>SUM('MasterA1(current$)'!BC199*100)/106.913</f>
        <v>104.75807432211238</v>
      </c>
      <c r="BD199" s="420">
        <f>SUM('MasterA1(current$)'!BD199*100)/108.828</f>
        <v>92.8069981989929</v>
      </c>
      <c r="BE199" s="420">
        <f>SUM('MasterA1(current$)'!BE199*100)/109.998</f>
        <v>87.274314078437783</v>
      </c>
      <c r="BF199" s="634">
        <f>SUM('MasterA1(current$)'!BF199*100)/111.298</f>
        <v>96.138295387158792</v>
      </c>
      <c r="BG199" s="634">
        <f>SUM('MasterA1(current$)'!BG199*100)/113.198</f>
        <v>114.84301842788743</v>
      </c>
      <c r="BH199" s="634">
        <f>SUM('MasterA1(current$)'!BH199*100)/115.198</f>
        <v>105.03654577336413</v>
      </c>
      <c r="BI199" s="385">
        <f t="shared" si="85"/>
        <v>0.19456058551280525</v>
      </c>
      <c r="BJ199" s="385">
        <f t="shared" si="86"/>
        <v>-8.5390237811286837E-2</v>
      </c>
      <c r="BK199" s="569">
        <f t="shared" si="87"/>
        <v>18.704723040728638</v>
      </c>
      <c r="BL199" s="569">
        <f t="shared" si="88"/>
        <v>-9.8064726545233043</v>
      </c>
    </row>
    <row r="200" spans="1:80" ht="11.1" customHeight="1">
      <c r="A200" s="129" t="s">
        <v>4</v>
      </c>
      <c r="B200" s="148">
        <f>SUM('MasterA1(current$)'!B200)/0.1756</f>
        <v>125.28473804100227</v>
      </c>
      <c r="C200" s="65">
        <f>SUM('MasterA1(current$)'!C200)/0.178</f>
        <v>134.83146067415731</v>
      </c>
      <c r="D200" s="65">
        <f>SUM('MasterA1(current$)'!D200)/0.1798</f>
        <v>139.04338153503895</v>
      </c>
      <c r="E200" s="344">
        <f>SUM('MasterA1(current$)'!E200)/0.182</f>
        <v>148.35164835164835</v>
      </c>
      <c r="F200" s="344">
        <f>SUM('MasterA1(current$)'!F200)/0.1842</f>
        <v>146.57980456026058</v>
      </c>
      <c r="G200" s="344">
        <f>SUM('MasterA1(current$)'!G200)/0.18702</f>
        <v>165.75767297615229</v>
      </c>
      <c r="H200" s="344">
        <f>SUM('MasterA1(current$)'!H200)/0.19227</f>
        <v>176.83465959328029</v>
      </c>
      <c r="I200" s="344">
        <f>SUM('MasterA1(current$)'!I200)/0.19786</f>
        <v>181.94683109269178</v>
      </c>
      <c r="J200" s="344">
        <f>SUM('MasterA1(current$)'!J200)/0.20627</f>
        <v>184.22456004266252</v>
      </c>
      <c r="K200" s="344">
        <f>SUM('MasterA1(current$)'!K200)/0.21642</f>
        <v>198.68773680805842</v>
      </c>
      <c r="L200" s="344">
        <f>SUM('MasterA1(current$)'!L200)/0.22784</f>
        <v>215.06320224719101</v>
      </c>
      <c r="M200" s="344">
        <f>SUM('MasterA1(current$)'!M200)/0.23941</f>
        <v>229.73142308174261</v>
      </c>
      <c r="N200" s="344">
        <f>SUM('MasterA1(current$)'!N200)/0.24978</f>
        <v>232.20433981904074</v>
      </c>
      <c r="O200" s="344">
        <f>SUM('MasterA1(current$)'!O200)/0.26337</f>
        <v>235.41025933097924</v>
      </c>
      <c r="P200" s="344">
        <f>SUM('MasterA1(current$)'!P200)/0.28703</f>
        <v>254.32881580322615</v>
      </c>
      <c r="Q200" s="344">
        <f>SUM('MasterA1(current$)'!Q200)/0.31361</f>
        <v>226.39584196932495</v>
      </c>
      <c r="R200" s="344">
        <f>SUM('MasterA1(current$)'!R200)/0.33083</f>
        <v>253.9068403711876</v>
      </c>
      <c r="S200" s="344">
        <f>SUM('MasterA1(current$)'!S200)/0.35135</f>
        <v>247.61633698591149</v>
      </c>
      <c r="T200" s="344">
        <f>SUM('MasterA1(current$)'!T200)/0.37602</f>
        <v>244.66783681719056</v>
      </c>
      <c r="U200" s="33">
        <f>SUM('MasterA1(current$)'!U200)/0.40706</f>
        <v>238.29410897656368</v>
      </c>
      <c r="V200" s="344">
        <f>SUM('MasterA1(current$)'!V200)/0.44377</f>
        <v>232.1022151114316</v>
      </c>
      <c r="W200" s="344">
        <f>SUM('MasterA1(current$)'!W200)/0.4852</f>
        <v>230.83264633140971</v>
      </c>
      <c r="X200" s="344">
        <f>SUM('MasterA1(current$)'!X200)/0.5153</f>
        <v>250.33960799534253</v>
      </c>
      <c r="Y200" s="344">
        <f>SUM('MasterA1(current$)'!Y200)/0.53565</f>
        <v>270.69915056473445</v>
      </c>
      <c r="Z200" s="344">
        <f>SUM('MasterA1(current$)'!Z200)/0.55466</f>
        <v>286.66209930407814</v>
      </c>
      <c r="AA200" s="344">
        <f>SUM('MasterA1(current$)'!AA200)/0.5724</f>
        <v>342.41788958770087</v>
      </c>
      <c r="AB200" s="344">
        <f>SUM('MasterA1(current$)'!AB200)/0.58395</f>
        <v>349.34497816593887</v>
      </c>
      <c r="AC200" s="344">
        <f>SUM('MasterA1(current$)'!AC200)/0.59885</f>
        <v>385.73933372296904</v>
      </c>
      <c r="AD200" s="344">
        <f>SUM('MasterA1(current$)'!AD200)/0.61982</f>
        <v>404.95627762898903</v>
      </c>
      <c r="AE200" s="344">
        <f>SUM('MasterA1(current$)'!AE200)/0.64392</f>
        <v>473.66132438812269</v>
      </c>
      <c r="AF200" s="344">
        <f>SUM('MasterA1(current$)'!AF200)/0.66773</f>
        <v>479.23561918739608</v>
      </c>
      <c r="AG200" s="344">
        <f>SUM('MasterA1(current$)'!AG200)/0.68996</f>
        <v>513.07322163603681</v>
      </c>
      <c r="AH200" s="344">
        <f>SUM('MasterA1(current$)'!AH200)/0.70569</f>
        <v>551.23354447420252</v>
      </c>
      <c r="AI200" s="344">
        <f>SUM('MasterA1(current$)'!AI200)/0.72248</f>
        <v>627.00697597165322</v>
      </c>
      <c r="AJ200" s="344">
        <f>SUM('MasterA1(current$)'!AJ200)/0.73785</f>
        <v>668.15748458358746</v>
      </c>
      <c r="AK200" s="344">
        <f>SUM('MasterA1(current$)'!AK200)/0.75324</f>
        <v>700.9718018161542</v>
      </c>
      <c r="AL200" s="344">
        <f>SUM('MasterA1(current$)'!AL200)/0.76699</f>
        <v>757.50661677466462</v>
      </c>
      <c r="AM200" s="344">
        <f>SUM('MasterA1(current$)'!AM200)/0.78012</f>
        <v>878.07004050658873</v>
      </c>
      <c r="AN200" s="344">
        <f>SUM('MasterA1(current$)'!AN200)/0.78859</f>
        <v>906.68154554331147</v>
      </c>
      <c r="AO200" s="344">
        <f>SUM('MasterA1(current$)'!AO200)/0.80065</f>
        <v>1049.147567601324</v>
      </c>
      <c r="AP200" s="332">
        <f>SUM('MasterA1(current$)'!AP200)/0.81887</f>
        <v>1064.8820936168133</v>
      </c>
      <c r="AQ200" s="332">
        <f>SUM('MasterA1(current$)'!AQ200)/0.83754</f>
        <v>1192.7788523533204</v>
      </c>
      <c r="AR200" s="332">
        <f>SUM('MasterA1(current$)'!AR200)/0.85039</f>
        <v>1358.2003551311752</v>
      </c>
      <c r="AS200" s="332">
        <f>SUM('MasterA1(current$)'!AS200)/0.86735</f>
        <v>1320.1129878365136</v>
      </c>
      <c r="AT200" s="332">
        <f>SUM('MasterA1(current$)'!AT200)/0.8912</f>
        <v>1399.2369838420109</v>
      </c>
      <c r="AU200" s="332">
        <f>SUM('MasterA1(current$)'!AU200)/0.91988</f>
        <v>1524.1118406748706</v>
      </c>
      <c r="AV200" s="192">
        <f>SUM('MasterA1(current$)'!AV200)/0.94814</f>
        <v>1595.7559010272744</v>
      </c>
      <c r="AW200" s="192">
        <f>SUM('MasterA1(current$)'!AW200)/0.97337</f>
        <v>1837.9444609963325</v>
      </c>
      <c r="AX200" s="236">
        <f>('MasterA1(current$)'!AX200*100)/99.246</f>
        <v>1882.1917256111078</v>
      </c>
      <c r="AY200" s="420">
        <f>SUM('MasterA1(current$)'!AY200)</f>
        <v>1984</v>
      </c>
      <c r="AZ200" s="420">
        <f>SUM('MasterA1(current$)'!AZ200*100)/101.221</f>
        <v>1930.4294563381115</v>
      </c>
      <c r="BA200" s="420">
        <f>SUM('MasterA1(current$)'!BA200*100)/103.311</f>
        <v>2049.1525587788328</v>
      </c>
      <c r="BB200" s="420">
        <f>SUM('MasterA1(current$)'!BB200*100)/105.214</f>
        <v>2216.4350751801089</v>
      </c>
      <c r="BC200" s="420">
        <f>SUM('MasterA1(current$)'!BC200*100)/106.913</f>
        <v>2382.3108508787518</v>
      </c>
      <c r="BD200" s="420">
        <f>SUM('MasterA1(current$)'!BD200*100)/108.828</f>
        <v>2465.3581798801779</v>
      </c>
      <c r="BE200" s="420">
        <f>SUM('MasterA1(current$)'!BE200*100)/109.998</f>
        <v>2762.7775050455461</v>
      </c>
      <c r="BF200" s="634">
        <f>SUM('MasterA1(current$)'!BF200*100)/111.298</f>
        <v>2867.9760642599149</v>
      </c>
      <c r="BG200" s="634">
        <f>SUM('MasterA1(current$)'!BG200*100)/113.198</f>
        <v>2886.0933938762169</v>
      </c>
      <c r="BH200" s="634">
        <f>SUM('MasterA1(current$)'!BH200*100)/115.198</f>
        <v>3011.3370023785137</v>
      </c>
      <c r="BI200" s="385">
        <f t="shared" si="85"/>
        <v>6.317113257002429E-3</v>
      </c>
      <c r="BJ200" s="385">
        <f t="shared" si="86"/>
        <v>4.3395549419170495E-2</v>
      </c>
      <c r="BK200" s="569">
        <f t="shared" si="87"/>
        <v>18.117329616301959</v>
      </c>
      <c r="BL200" s="569">
        <f t="shared" si="88"/>
        <v>125.24360850229687</v>
      </c>
    </row>
    <row r="201" spans="1:80" ht="11.1" customHeight="1">
      <c r="A201" s="404" t="s">
        <v>32</v>
      </c>
      <c r="B201" s="119" t="e">
        <f>SUM(#REF!)/0.1756</f>
        <v>#REF!</v>
      </c>
      <c r="C201" s="119">
        <f>SUM('MasterA1(current$)'!C201)/0.178</f>
        <v>151.68539325842698</v>
      </c>
      <c r="D201" s="118">
        <f>SUM('MasterA1(current$)'!D201)/0.1798</f>
        <v>155.72858731924362</v>
      </c>
      <c r="E201" s="464">
        <f>SUM('MasterA1(current$)'!E201)/0.182</f>
        <v>170.32967032967034</v>
      </c>
      <c r="F201" s="464">
        <f>SUM('MasterA1(current$)'!F201)/0.1842</f>
        <v>168.29533116178067</v>
      </c>
      <c r="G201" s="464">
        <f>SUM('MasterA1(current$)'!G201)/0.18702</f>
        <v>192.49278152069297</v>
      </c>
      <c r="H201" s="464">
        <f>SUM('MasterA1(current$)'!H201)/0.19227</f>
        <v>202.8397565922921</v>
      </c>
      <c r="I201" s="464">
        <f>SUM('MasterA1(current$)'!I201)/0.19786</f>
        <v>207.21722430001009</v>
      </c>
      <c r="J201" s="464">
        <f>SUM('MasterA1(current$)'!J201)/0.20627</f>
        <v>208.46463373248653</v>
      </c>
      <c r="K201" s="464">
        <f>SUM('MasterA1(current$)'!K201)/0.21642</f>
        <v>226.41160706034563</v>
      </c>
      <c r="L201" s="464">
        <f>SUM('MasterA1(current$)'!L201)/0.22784</f>
        <v>241.39747191011239</v>
      </c>
      <c r="M201" s="464">
        <f>SUM('MasterA1(current$)'!M201)/0.23941</f>
        <v>254.79303287247816</v>
      </c>
      <c r="N201" s="464">
        <f>SUM('MasterA1(current$)'!N201)/0.24978</f>
        <v>260.22900152133877</v>
      </c>
      <c r="O201" s="464">
        <f>SUM('MasterA1(current$)'!O201)/0.26337</f>
        <v>258.19189733075143</v>
      </c>
      <c r="P201" s="464">
        <f>SUM('MasterA1(current$)'!P201)/0.28703</f>
        <v>282.20046685015501</v>
      </c>
      <c r="Q201" s="464">
        <f>SUM('MasterA1(current$)'!Q201)/0.31361</f>
        <v>255.09390644430982</v>
      </c>
      <c r="R201" s="464">
        <f>SUM('MasterA1(current$)'!R201)/0.33083</f>
        <v>281.111144696672</v>
      </c>
      <c r="S201" s="464">
        <f>SUM('MasterA1(current$)'!S201)/0.35135</f>
        <v>270.38565532944358</v>
      </c>
      <c r="T201" s="464">
        <f>SUM('MasterA1(current$)'!T201)/0.37602</f>
        <v>263.28386787936813</v>
      </c>
      <c r="U201" s="464">
        <f>SUM('MasterA1(current$)'!U201)/0.40706</f>
        <v>257.94723136638333</v>
      </c>
      <c r="V201" s="464">
        <f>SUM('MasterA1(current$)'!V201)/0.44377</f>
        <v>263.6500890100728</v>
      </c>
      <c r="W201" s="464">
        <f>SUM('MasterA1(current$)'!W201)/0.4852</f>
        <v>269.99175597691675</v>
      </c>
      <c r="X201" s="464">
        <f>SUM('MasterA1(current$)'!X201)/0.5153</f>
        <v>289.15195032020182</v>
      </c>
      <c r="Y201" s="464">
        <f>SUM('MasterA1(current$)'!Y201)/0.53565</f>
        <v>321.10519929058154</v>
      </c>
      <c r="Z201" s="464">
        <f>SUM('MasterA1(current$)'!Z201)/0.55466</f>
        <v>355.17253813146789</v>
      </c>
      <c r="AA201" s="464">
        <f>SUM('MasterA1(current$)'!AA201)/0.5724</f>
        <v>412.29909154437456</v>
      </c>
      <c r="AB201" s="464">
        <f>SUM('MasterA1(current$)'!AB201)/0.58395</f>
        <v>431.54379655792451</v>
      </c>
      <c r="AC201" s="464">
        <f>SUM('MasterA1(current$)'!AC201)/0.59885</f>
        <v>472.57243049177589</v>
      </c>
      <c r="AD201" s="464">
        <f>SUM('MasterA1(current$)'!AD201)/0.61982</f>
        <v>480.78474395792324</v>
      </c>
      <c r="AE201" s="464">
        <f>SUM('MasterA1(current$)'!AE201)/0.64392</f>
        <v>574.6055410610013</v>
      </c>
      <c r="AF201" s="464">
        <f>SUM('MasterA1(current$)'!AF201)/0.66773</f>
        <v>575.0827430248753</v>
      </c>
      <c r="AG201" s="464">
        <f>SUM('MasterA1(current$)'!AG201)/0.68996</f>
        <v>615.97773783987475</v>
      </c>
      <c r="AH201" s="464">
        <f>SUM('MasterA1(current$)'!AH201)/0.70569</f>
        <v>646.17608298261268</v>
      </c>
      <c r="AI201" s="464">
        <f>SUM('MasterA1(current$)'!AI201)/0.72248</f>
        <v>726.66371387443246</v>
      </c>
      <c r="AJ201" s="464">
        <f>SUM('MasterA1(current$)'!AJ201)/0.73785</f>
        <v>763.02771566036461</v>
      </c>
      <c r="AK201" s="464">
        <f>SUM('MasterA1(current$)'!AK201)/0.75324</f>
        <v>796.55886570017526</v>
      </c>
      <c r="AL201" s="464">
        <f>SUM('MasterA1(current$)'!AL201)/0.76699</f>
        <v>850.07627218086293</v>
      </c>
      <c r="AM201" s="464">
        <f>SUM('MasterA1(current$)'!AM201)/0.78012</f>
        <v>974.20909603650716</v>
      </c>
      <c r="AN201" s="464">
        <f>SUM('MasterA1(current$)'!AN201)/0.78859</f>
        <v>1003.0560874472159</v>
      </c>
      <c r="AO201" s="464">
        <f>SUM('MasterA1(current$)'!AO201)/0.80065</f>
        <v>1154.0623243614564</v>
      </c>
      <c r="AP201" s="138">
        <f>SUM('MasterA1(current$)'!AP201)/0.81887</f>
        <v>1183.338014581069</v>
      </c>
      <c r="AQ201" s="138">
        <f>SUM('MasterA1(current$)'!AQ201)/0.83754</f>
        <v>1324.1158631229555</v>
      </c>
      <c r="AR201" s="138">
        <f>SUM('MasterA1(current$)'!AR201)/0.85039</f>
        <v>1487.5527699055729</v>
      </c>
      <c r="AS201" s="138">
        <f>SUM('MasterA1(current$)'!AS201)/0.86735</f>
        <v>1449.241943851963</v>
      </c>
      <c r="AT201" s="138">
        <f>SUM('MasterA1(current$)'!AT201)/0.8912</f>
        <v>1560.8168761220827</v>
      </c>
      <c r="AU201" s="138">
        <f>SUM('MasterA1(current$)'!AU201)/0.91988</f>
        <v>1669.7830151758924</v>
      </c>
      <c r="AV201" s="138">
        <f>SUM('MasterA1(current$)'!AV201)/0.94814</f>
        <v>1745.5228130866749</v>
      </c>
      <c r="AW201" s="138">
        <f>SUM('MasterA1(current$)'!AW201)/0.97337</f>
        <v>1990.7826581279771</v>
      </c>
      <c r="AX201" s="669">
        <f>('MasterA1(current$)'!AX201*100)/99.246</f>
        <v>2030.6635843785957</v>
      </c>
      <c r="AY201" s="418">
        <f>SUM('MasterA1(current$)'!AY201)</f>
        <v>2134</v>
      </c>
      <c r="AZ201" s="418">
        <f>SUM('MasterA1(current$)'!AZ201*100)/101.221</f>
        <v>2091.4632339139112</v>
      </c>
      <c r="BA201" s="418">
        <f>SUM('MasterA1(current$)'!BA201*100)/103.311</f>
        <v>2219.5119590363079</v>
      </c>
      <c r="BB201" s="418">
        <f>SUM('MasterA1(current$)'!BB201*100)/105.214</f>
        <v>2378.0105309179389</v>
      </c>
      <c r="BC201" s="418">
        <f>SUM('MasterA1(current$)'!BC201*100)/106.913</f>
        <v>2554.4134015507939</v>
      </c>
      <c r="BD201" s="418">
        <f>SUM('MasterA1(current$)'!BD201*100)/108.828</f>
        <v>2622.4868599992647</v>
      </c>
      <c r="BE201" s="418">
        <f>SUM('MasterA1(current$)'!BE201*100)/109.998</f>
        <v>2915.5075546828125</v>
      </c>
      <c r="BF201" s="632">
        <f>SUM('MasterA1(current$)'!BF201*100)/111.298</f>
        <v>3038.688925227767</v>
      </c>
      <c r="BG201" s="632">
        <f>SUM('MasterA1(current$)'!BG201*100)/113.198</f>
        <v>3073.3758546970798</v>
      </c>
      <c r="BH201" s="632">
        <f>SUM('MasterA1(current$)'!BH201*100)/115.198</f>
        <v>3196.2360457646837</v>
      </c>
      <c r="BI201" s="415">
        <f>(BG201-BF201)/BF201</f>
        <v>1.1415097208975707E-2</v>
      </c>
      <c r="BJ201" s="415">
        <f>(BH201-BG201)/BG201</f>
        <v>3.9975647911671804E-2</v>
      </c>
      <c r="BK201" s="572">
        <f>BG201-BF201</f>
        <v>34.686929469312872</v>
      </c>
      <c r="BL201" s="572">
        <f>BH201-BG201</f>
        <v>122.86019106760386</v>
      </c>
    </row>
    <row r="202" spans="1:80" ht="6" customHeight="1">
      <c r="A202" s="125"/>
      <c r="B202" s="54"/>
      <c r="C202" s="36"/>
      <c r="D202" s="36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339"/>
      <c r="AQ202" s="339"/>
      <c r="AR202" s="339"/>
      <c r="AS202" s="339"/>
      <c r="AT202" s="339"/>
      <c r="AU202" s="339"/>
      <c r="AV202" s="339"/>
      <c r="AX202" s="98"/>
      <c r="AY202" s="416"/>
      <c r="AZ202" s="416"/>
      <c r="BA202" s="416"/>
      <c r="BB202" s="416"/>
      <c r="BC202" s="416"/>
      <c r="BD202" s="416"/>
      <c r="BE202" s="416"/>
      <c r="BF202" s="631"/>
      <c r="BG202" s="631"/>
      <c r="BH202" s="631"/>
      <c r="BI202" s="329"/>
      <c r="BJ202" s="329"/>
      <c r="BK202" s="570"/>
      <c r="BL202" s="570"/>
    </row>
    <row r="203" spans="1:80" ht="11.1" customHeight="1">
      <c r="A203" s="126" t="s">
        <v>35</v>
      </c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664"/>
      <c r="BG203" s="664"/>
      <c r="BH203" s="664"/>
      <c r="BI203" s="329"/>
      <c r="BJ203" s="329"/>
      <c r="BK203" s="570"/>
      <c r="BL203" s="570"/>
    </row>
    <row r="204" spans="1:80" ht="11.1" customHeight="1">
      <c r="A204" s="125" t="s">
        <v>11</v>
      </c>
      <c r="B204" s="54">
        <f>SUM('MasterA1(current$)'!B204)/0.1756</f>
        <v>28.473804100227788</v>
      </c>
      <c r="C204" s="55">
        <f>SUM('MasterA1(current$)'!C204)/0.178</f>
        <v>28.08988764044944</v>
      </c>
      <c r="D204" s="55">
        <f>SUM('MasterA1(current$)'!D204)/0.1798</f>
        <v>33.370411568409345</v>
      </c>
      <c r="E204" s="33">
        <f>SUM('MasterA1(current$)'!E204)/0.182</f>
        <v>32.967032967032971</v>
      </c>
      <c r="F204" s="33">
        <f>SUM('MasterA1(current$)'!F204)/0.1842</f>
        <v>38.002171552660151</v>
      </c>
      <c r="G204" s="33">
        <f>SUM('MasterA1(current$)'!G204)/0.18702</f>
        <v>37.429151962356968</v>
      </c>
      <c r="H204" s="33">
        <f>SUM('MasterA1(current$)'!H204)/0.19227</f>
        <v>36.40713579861653</v>
      </c>
      <c r="I204" s="33">
        <f>SUM('MasterA1(current$)'!I204)/0.19786</f>
        <v>40.432629131709291</v>
      </c>
      <c r="J204" s="33">
        <f>SUM('MasterA1(current$)'!J204)/0.20627</f>
        <v>38.784117903718425</v>
      </c>
      <c r="K204" s="33">
        <f>SUM('MasterA1(current$)'!K204)/0.21642</f>
        <v>36.965160336382958</v>
      </c>
      <c r="L204" s="33">
        <f>SUM('MasterA1(current$)'!L204)/0.22784</f>
        <v>39.501404494382022</v>
      </c>
      <c r="M204" s="33">
        <f>SUM('MasterA1(current$)'!M204)/0.23941</f>
        <v>45.946284616348521</v>
      </c>
      <c r="N204" s="33">
        <f>SUM('MasterA1(current$)'!N204)/0.24978</f>
        <v>48.042277203939463</v>
      </c>
      <c r="O204" s="33">
        <f>SUM('MasterA1(current$)'!O204)/0.26337</f>
        <v>45.563275999544366</v>
      </c>
      <c r="P204" s="33">
        <f>SUM('MasterA1(current$)'!P204)/0.28703</f>
        <v>48.775389332125563</v>
      </c>
      <c r="Q204" s="33">
        <f>SUM('MasterA1(current$)'!Q204)/0.31361</f>
        <v>57.396128949969707</v>
      </c>
      <c r="R204" s="33">
        <f>SUM('MasterA1(current$)'!R204)/0.33083</f>
        <v>63.4767100927969</v>
      </c>
      <c r="S204" s="33">
        <f>SUM('MasterA1(current$)'!S204)/0.35135</f>
        <v>74.000284616479291</v>
      </c>
      <c r="T204" s="33">
        <f>SUM('MasterA1(current$)'!T204)/0.37602</f>
        <v>95.73958831977022</v>
      </c>
      <c r="U204" s="33">
        <f>SUM('MasterA1(current$)'!U204)/0.40706</f>
        <v>98.265611949098414</v>
      </c>
      <c r="V204" s="33">
        <f>SUM('MasterA1(current$)'!V204)/0.44377</f>
        <v>110.41755864524416</v>
      </c>
      <c r="W204" s="33">
        <f>SUM('MasterA1(current$)'!W204)/0.4852</f>
        <v>100.98928276999175</v>
      </c>
      <c r="X204" s="33">
        <f>SUM('MasterA1(current$)'!X204)/0.5153</f>
        <v>83.446535998447516</v>
      </c>
      <c r="Y204" s="33">
        <f>SUM('MasterA1(current$)'!Y204)/0.53565</f>
        <v>80.276299822645385</v>
      </c>
      <c r="Z204" s="33">
        <f>SUM('MasterA1(current$)'!Z204)/0.55466</f>
        <v>75.722063967114977</v>
      </c>
      <c r="AA204" s="33">
        <f>SUM('MasterA1(current$)'!AA204)/0.5724</f>
        <v>71.62823200559049</v>
      </c>
      <c r="AB204" s="33">
        <f>SUM('MasterA1(current$)'!AB204)/0.58395</f>
        <v>70.211490709821049</v>
      </c>
      <c r="AC204" s="33">
        <f>SUM('MasterA1(current$)'!AC204)/0.59885</f>
        <v>71.804291558821078</v>
      </c>
      <c r="AD204" s="33">
        <f>SUM('MasterA1(current$)'!AD204)/0.61982</f>
        <v>69.374979832854692</v>
      </c>
      <c r="AE204" s="33">
        <f>SUM('MasterA1(current$)'!AE204)/0.64392</f>
        <v>69.884457696608266</v>
      </c>
      <c r="AF204" s="33">
        <f>SUM('MasterA1(current$)'!AF204)/0.66773</f>
        <v>70.387731568148794</v>
      </c>
      <c r="AG204" s="33">
        <f>SUM('MasterA1(current$)'!AG204)/0.68996</f>
        <v>76.816047307090258</v>
      </c>
      <c r="AH204" s="33">
        <f>SUM('MasterA1(current$)'!AH204)/0.70569</f>
        <v>79.354957559268229</v>
      </c>
      <c r="AI204" s="33">
        <f>SUM('MasterA1(current$)'!AI204)/0.72248</f>
        <v>85.815524305171081</v>
      </c>
      <c r="AJ204" s="33">
        <f>SUM('MasterA1(current$)'!AJ204)/0.73785</f>
        <v>104.35725418445483</v>
      </c>
      <c r="AK204" s="33">
        <f>SUM('MasterA1(current$)'!AK204)/0.75324</f>
        <v>107.53544686952365</v>
      </c>
      <c r="AL204" s="33">
        <f>SUM('MasterA1(current$)'!AL204)/0.76699</f>
        <v>97.784847260068588</v>
      </c>
      <c r="AM204" s="33">
        <f>SUM('MasterA1(current$)'!AM204)/0.78012</f>
        <v>134.59467774188585</v>
      </c>
      <c r="AN204" s="33">
        <f>SUM('MasterA1(current$)'!AN204)/0.78859</f>
        <v>134.41712423439301</v>
      </c>
      <c r="AO204" s="33">
        <f>SUM('MasterA1(current$)'!AO204)/0.80065</f>
        <v>123.64953475301319</v>
      </c>
      <c r="AP204" s="339">
        <f>SUM('MasterA1(current$)'!AP204)/0.81887</f>
        <v>124.56189627169148</v>
      </c>
      <c r="AQ204" s="339">
        <f>SUM('MasterA1(current$)'!AQ204)/0.83754</f>
        <v>133.72495641999188</v>
      </c>
      <c r="AR204" s="339">
        <f>SUM('MasterA1(current$)'!AR204)/0.85039</f>
        <v>143.46358729524101</v>
      </c>
      <c r="AS204" s="339">
        <f>SUM('MasterA1(current$)'!AS204)/0.86735</f>
        <v>134.89364155185336</v>
      </c>
      <c r="AT204" s="339">
        <f>SUM('MasterA1(current$)'!AT204)/0.8912</f>
        <v>144.74865350089766</v>
      </c>
      <c r="AU204" s="339">
        <f>SUM('MasterA1(current$)'!AU204)/0.91988</f>
        <v>147.84537113536547</v>
      </c>
      <c r="AV204" s="339">
        <f>SUM('MasterA1(current$)'!AV204)/0.94814</f>
        <v>143.43873267660894</v>
      </c>
      <c r="AW204" s="339">
        <f>SUM('MasterA1(current$)'!AW204)/0.97337</f>
        <v>152.0490666447497</v>
      </c>
      <c r="AX204" s="341">
        <f>('MasterA1(current$)'!AX204*100)/99.246</f>
        <v>171.29153819801303</v>
      </c>
      <c r="AY204" s="420">
        <f>SUM('MasterA1(current$)'!AY204)</f>
        <v>153</v>
      </c>
      <c r="AZ204" s="420">
        <f>SUM('MasterA1(current$)'!AZ204*100)/101.221</f>
        <v>169.92521314746938</v>
      </c>
      <c r="BA204" s="420">
        <f>SUM('MasterA1(current$)'!BA204*100)/103.311</f>
        <v>158.74398660355624</v>
      </c>
      <c r="BB204" s="420">
        <f>SUM('MasterA1(current$)'!BB204*100)/105.214</f>
        <v>155.87279259414146</v>
      </c>
      <c r="BC204" s="420">
        <f>SUM('MasterA1(current$)'!BC204*100)/106.913</f>
        <v>150.58973183803653</v>
      </c>
      <c r="BD204" s="420">
        <f>SUM('MasterA1(current$)'!BD204*100)/108.828</f>
        <v>135.99441320248465</v>
      </c>
      <c r="BE204" s="420">
        <f>SUM('MasterA1(current$)'!BE204*100)/109.998</f>
        <v>142.72986781577848</v>
      </c>
      <c r="BF204" s="634">
        <f>SUM('MasterA1(current$)'!BF204*100)/111.298</f>
        <v>162.6264622904275</v>
      </c>
      <c r="BG204" s="634">
        <f>SUM('MasterA1(current$)'!BG204*100)/113.198</f>
        <v>145.76229262001095</v>
      </c>
      <c r="BH204" s="634">
        <f>SUM('MasterA1(current$)'!BH204*100)/115.198</f>
        <v>143.23165332731472</v>
      </c>
      <c r="BI204" s="385">
        <f t="shared" ref="BI204" si="89">(BG204-BF204)/BF204</f>
        <v>-0.1036988041976807</v>
      </c>
      <c r="BJ204" s="385">
        <f t="shared" ref="BJ204" si="90">(BH204-BG204)/BG204</f>
        <v>-1.7361412524522942E-2</v>
      </c>
      <c r="BK204" s="569">
        <f t="shared" ref="BK204" si="91">BG204-BF204</f>
        <v>-16.864169670416544</v>
      </c>
      <c r="BL204" s="569">
        <f t="shared" ref="BL204" si="92">BH204-BG204</f>
        <v>-2.530639292696236</v>
      </c>
    </row>
    <row r="205" spans="1:80" ht="6" customHeight="1">
      <c r="A205" s="125"/>
      <c r="B205" s="54"/>
      <c r="C205" s="36"/>
      <c r="D205" s="36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339"/>
      <c r="AQ205" s="339"/>
      <c r="AR205" s="339"/>
      <c r="AS205" s="339"/>
      <c r="AT205" s="339"/>
      <c r="AU205" s="339"/>
      <c r="AV205" s="339"/>
      <c r="AW205" s="339"/>
      <c r="AX205" s="341"/>
      <c r="AY205" s="420"/>
      <c r="AZ205" s="420"/>
      <c r="BA205" s="420"/>
      <c r="BB205" s="420"/>
      <c r="BC205" s="420"/>
      <c r="BD205" s="420"/>
      <c r="BE205" s="420"/>
      <c r="BF205" s="634"/>
      <c r="BG205" s="634"/>
      <c r="BH205" s="634"/>
      <c r="BI205" s="385"/>
      <c r="BJ205" s="385"/>
      <c r="BK205" s="571"/>
      <c r="BL205" s="571"/>
    </row>
    <row r="206" spans="1:80" ht="13.5" customHeight="1">
      <c r="A206" s="126" t="s">
        <v>125</v>
      </c>
      <c r="B206" s="54"/>
      <c r="C206" s="36"/>
      <c r="D206" s="36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339"/>
      <c r="AQ206" s="339"/>
      <c r="AR206" s="339"/>
      <c r="AS206" s="339"/>
      <c r="AT206" s="339"/>
      <c r="AU206" s="339"/>
      <c r="AV206" s="339"/>
      <c r="AW206" s="339"/>
      <c r="AX206" s="341"/>
      <c r="AY206" s="420"/>
      <c r="AZ206" s="420"/>
      <c r="BA206" s="420"/>
      <c r="BB206" s="420"/>
      <c r="BC206" s="420"/>
      <c r="BD206" s="420"/>
      <c r="BE206" s="420"/>
      <c r="BF206" s="634"/>
      <c r="BG206" s="634"/>
      <c r="BH206" s="634"/>
      <c r="BI206" s="385"/>
      <c r="BJ206" s="385"/>
      <c r="BK206" s="571"/>
      <c r="BL206" s="571"/>
    </row>
    <row r="207" spans="1:80" ht="11.25" customHeight="1">
      <c r="A207" s="129" t="s">
        <v>156</v>
      </c>
      <c r="B207" s="56" t="s">
        <v>3</v>
      </c>
      <c r="C207" s="56" t="s">
        <v>3</v>
      </c>
      <c r="D207" s="56" t="s">
        <v>3</v>
      </c>
      <c r="E207" s="56" t="s">
        <v>3</v>
      </c>
      <c r="F207" s="56" t="s">
        <v>3</v>
      </c>
      <c r="G207" s="56" t="s">
        <v>3</v>
      </c>
      <c r="H207" s="56" t="s">
        <v>3</v>
      </c>
      <c r="I207" s="56" t="s">
        <v>3</v>
      </c>
      <c r="J207" s="56" t="s">
        <v>3</v>
      </c>
      <c r="K207" s="56" t="s">
        <v>3</v>
      </c>
      <c r="L207" s="56" t="s">
        <v>3</v>
      </c>
      <c r="M207" s="56" t="s">
        <v>3</v>
      </c>
      <c r="N207" s="56" t="s">
        <v>3</v>
      </c>
      <c r="O207" s="56" t="s">
        <v>3</v>
      </c>
      <c r="P207" s="56" t="s">
        <v>3</v>
      </c>
      <c r="Q207" s="56" t="s">
        <v>3</v>
      </c>
      <c r="R207" s="56" t="s">
        <v>3</v>
      </c>
      <c r="S207" s="56" t="s">
        <v>3</v>
      </c>
      <c r="T207" s="56" t="s">
        <v>3</v>
      </c>
      <c r="U207" s="33">
        <f>SUM('MasterA1(current$)'!U207)/0.40706</f>
        <v>9.826561194909841</v>
      </c>
      <c r="V207" s="33">
        <f>SUM('MasterA1(current$)'!V207)/0.44377</f>
        <v>13.520517385131937</v>
      </c>
      <c r="W207" s="33">
        <f>SUM('MasterA1(current$)'!W207)/0.4852</f>
        <v>8.2440230832646328</v>
      </c>
      <c r="X207" s="33">
        <f>SUM('MasterA1(current$)'!X207)/0.5153</f>
        <v>9.7030855812148271</v>
      </c>
      <c r="Y207" s="33">
        <f>SUM('MasterA1(current$)'!Y207)/0.53565</f>
        <v>7.4675627741995712</v>
      </c>
      <c r="Z207" s="33">
        <f>SUM('MasterA1(current$)'!Z207)/0.55466</f>
        <v>9.0145314246565462</v>
      </c>
      <c r="AA207" s="33">
        <f>SUM('MasterA1(current$)'!AA207)/0.5724</f>
        <v>10.482180293501047</v>
      </c>
      <c r="AB207" s="33">
        <f>SUM('MasterA1(current$)'!AB207)/0.58395</f>
        <v>8.5623769158318357</v>
      </c>
      <c r="AC207" s="33">
        <f>SUM('MasterA1(current$)'!AC207)/0.59885</f>
        <v>8.3493362277698928</v>
      </c>
      <c r="AD207" s="33">
        <f>SUM('MasterA1(current$)'!AD207)/0.61982</f>
        <v>8.0668581200993827</v>
      </c>
      <c r="AE207" s="33">
        <f>SUM('MasterA1(current$)'!AE207)/0.64392</f>
        <v>7.7649397440675854</v>
      </c>
      <c r="AF207" s="33">
        <f>SUM('MasterA1(current$)'!AF207)/0.66773</f>
        <v>7.4880565498030638</v>
      </c>
      <c r="AG207" s="33">
        <f>SUM('MasterA1(current$)'!AG207)/0.68996</f>
        <v>7.2467969157632321</v>
      </c>
      <c r="AH207" s="33">
        <f>SUM('MasterA1(current$)'!AH207)/0.70569</f>
        <v>7.0852640677918064</v>
      </c>
      <c r="AI207" s="33">
        <f>SUM('MasterA1(current$)'!AI207)/0.72248</f>
        <v>8.3047281585649433</v>
      </c>
      <c r="AJ207" s="33">
        <f>SUM('MasterA1(current$)'!AJ207)/0.73785</f>
        <v>8.1317340922951811</v>
      </c>
      <c r="AK207" s="33">
        <f>SUM('MasterA1(current$)'!AK207)/0.75324</f>
        <v>9.2931867665020444</v>
      </c>
      <c r="AL207" s="33">
        <f>SUM('MasterA1(current$)'!AL207)/0.76699</f>
        <v>6.5189898173379062</v>
      </c>
      <c r="AM207" s="33">
        <f>SUM('MasterA1(current$)'!AM207)/0.78012</f>
        <v>6.4092703686612316</v>
      </c>
      <c r="AN207" s="33">
        <f>SUM('MasterA1(current$)'!AN207)/0.78859</f>
        <v>6.3404303884147657</v>
      </c>
      <c r="AO207" s="33">
        <f>SUM('MasterA1(current$)'!AO207)/0.80065</f>
        <v>6.244925997626928</v>
      </c>
      <c r="AP207" s="339">
        <f>SUM('MasterA1(current$)'!AP207)/0.81887</f>
        <v>7.3271703689230279</v>
      </c>
      <c r="AQ207" s="339">
        <f>SUM('MasterA1(current$)'!AQ207)/0.83754</f>
        <v>7.1638369510709943</v>
      </c>
      <c r="AR207" s="339">
        <f>SUM('MasterA1(current$)'!AR207)/0.85039</f>
        <v>8.2315173038253047</v>
      </c>
      <c r="AS207" s="339">
        <f>SUM('MasterA1(current$)'!AS207)/0.86735</f>
        <v>8.070559750965586</v>
      </c>
      <c r="AT207" s="339">
        <f>SUM('MasterA1(current$)'!AT207)/0.8912</f>
        <v>8.9766606822262123</v>
      </c>
      <c r="AU207" s="339">
        <f>SUM('MasterA1(current$)'!AU207)/0.91988</f>
        <v>7.609688220202635</v>
      </c>
      <c r="AV207" s="339">
        <f>SUM('MasterA1(current$)'!AV207)/0.94814</f>
        <v>8.4375725103887618</v>
      </c>
      <c r="AW207" s="339">
        <f>SUM('MasterA1(current$)'!AW207)/0.97337</f>
        <v>8.2188684672837677</v>
      </c>
      <c r="AX207" s="341">
        <f>('MasterA1(current$)'!AX207*100)/99.246</f>
        <v>8.0607782681417888</v>
      </c>
      <c r="AY207" s="420">
        <f>SUM('MasterA1(current$)'!AY207)</f>
        <v>8</v>
      </c>
      <c r="AZ207" s="420">
        <f>SUM('MasterA1(current$)'!AZ207*100)/101.221</f>
        <v>7.9034982859288085</v>
      </c>
      <c r="BA207" s="420">
        <f>SUM('MasterA1(current$)'!BA207*100)/103.311</f>
        <v>7.7436091026125</v>
      </c>
      <c r="BB207" s="420">
        <f>SUM('MasterA1(current$)'!BB207*100)/105.214</f>
        <v>7.6035508582508031</v>
      </c>
      <c r="BC207" s="420">
        <f>SUM('MasterA1(current$)'!BC207*100)/106.913</f>
        <v>7.4827195944365981</v>
      </c>
      <c r="BD207" s="420">
        <f>SUM('MasterA1(current$)'!BD207*100)/108.828</f>
        <v>8.2699305325835262</v>
      </c>
      <c r="BE207" s="420">
        <f>SUM('MasterA1(current$)'!BE207*100)/109.998</f>
        <v>8.093988805661569</v>
      </c>
      <c r="BF207" s="634">
        <f>SUM('MasterA1(current$)'!BF207*100)/111.298</f>
        <v>8.9848874193606356</v>
      </c>
      <c r="BG207" s="634">
        <f>SUM('MasterA1(current$)'!BG207*100)/113.198</f>
        <v>8.8340783406067249</v>
      </c>
      <c r="BH207" s="634">
        <f>SUM('MasterA1(current$)'!BH207*100)/115.198</f>
        <v>9.5487768884876481</v>
      </c>
      <c r="BI207" s="385">
        <f t="shared" ref="BI207" si="93">(BG207-BF207)/BF207</f>
        <v>-1.6784748847152753E-2</v>
      </c>
      <c r="BJ207" s="385">
        <f t="shared" ref="BJ207" si="94">(BH207-BG207)/BG207</f>
        <v>8.0902446223024727E-2</v>
      </c>
      <c r="BK207" s="569">
        <f t="shared" ref="BK207" si="95">BG207-BF207</f>
        <v>-0.1508090787539107</v>
      </c>
      <c r="BL207" s="569">
        <f t="shared" ref="BL207" si="96">BH207-BG207</f>
        <v>0.71469854788092313</v>
      </c>
    </row>
    <row r="208" spans="1:80" ht="6" customHeight="1">
      <c r="A208" s="125"/>
      <c r="B208" s="54"/>
      <c r="C208" s="36"/>
      <c r="D208" s="36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339"/>
      <c r="AQ208" s="339"/>
      <c r="AR208" s="339"/>
      <c r="AS208" s="339"/>
      <c r="AT208" s="339"/>
      <c r="AU208" s="339"/>
      <c r="AV208" s="339"/>
      <c r="AW208" s="339"/>
      <c r="AX208" s="341"/>
      <c r="AY208" s="420"/>
      <c r="AZ208" s="420"/>
      <c r="BA208" s="420"/>
      <c r="BB208" s="420"/>
      <c r="BC208" s="420"/>
      <c r="BD208" s="420"/>
      <c r="BE208" s="420"/>
      <c r="BF208" s="634"/>
      <c r="BG208" s="634"/>
      <c r="BH208" s="634"/>
      <c r="BI208" s="385"/>
      <c r="BJ208" s="385"/>
      <c r="BK208" s="571"/>
      <c r="BL208" s="571"/>
    </row>
    <row r="209" spans="1:64" ht="11.25" customHeight="1">
      <c r="A209" s="126" t="s">
        <v>124</v>
      </c>
      <c r="B209" s="54"/>
      <c r="C209" s="36"/>
      <c r="D209" s="36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339"/>
      <c r="AQ209" s="339"/>
      <c r="AR209" s="339"/>
      <c r="AS209" s="339"/>
      <c r="AT209" s="339"/>
      <c r="AU209" s="339"/>
      <c r="AV209" s="339"/>
      <c r="AW209" s="339"/>
      <c r="AX209" s="341"/>
      <c r="AY209" s="420"/>
      <c r="AZ209" s="420"/>
      <c r="BA209" s="420"/>
      <c r="BB209" s="420"/>
      <c r="BC209" s="420"/>
      <c r="BD209" s="420"/>
      <c r="BE209" s="420"/>
      <c r="BF209" s="634"/>
      <c r="BG209" s="634"/>
      <c r="BH209" s="634"/>
      <c r="BI209" s="513"/>
      <c r="BJ209" s="513"/>
      <c r="BK209" s="578"/>
      <c r="BL209" s="578"/>
    </row>
    <row r="210" spans="1:64" ht="11.25" customHeight="1">
      <c r="A210" s="140" t="s">
        <v>157</v>
      </c>
      <c r="B210" s="56" t="s">
        <v>3</v>
      </c>
      <c r="C210" s="56" t="s">
        <v>3</v>
      </c>
      <c r="D210" s="56" t="s">
        <v>3</v>
      </c>
      <c r="E210" s="56" t="s">
        <v>3</v>
      </c>
      <c r="F210" s="56" t="s">
        <v>3</v>
      </c>
      <c r="G210" s="56" t="s">
        <v>3</v>
      </c>
      <c r="H210" s="56" t="s">
        <v>3</v>
      </c>
      <c r="I210" s="56" t="s">
        <v>3</v>
      </c>
      <c r="J210" s="56" t="s">
        <v>3</v>
      </c>
      <c r="K210" s="56" t="s">
        <v>3</v>
      </c>
      <c r="L210" s="56" t="s">
        <v>3</v>
      </c>
      <c r="M210" s="56" t="s">
        <v>3</v>
      </c>
      <c r="N210" s="56" t="s">
        <v>3</v>
      </c>
      <c r="O210" s="56" t="s">
        <v>3</v>
      </c>
      <c r="P210" s="56" t="s">
        <v>3</v>
      </c>
      <c r="Q210" s="56" t="s">
        <v>3</v>
      </c>
      <c r="R210" s="56" t="s">
        <v>3</v>
      </c>
      <c r="S210" s="56" t="s">
        <v>3</v>
      </c>
      <c r="T210" s="33">
        <f>SUM('MasterA1(current$)'!T210)/0.37602</f>
        <v>5.3188660177650124</v>
      </c>
      <c r="U210" s="33">
        <f>SUM('MasterA1(current$)'!U210)/0.40706</f>
        <v>7.3699208961823812</v>
      </c>
      <c r="V210" s="33">
        <f>SUM('MasterA1(current$)'!V210)/0.44377</f>
        <v>13.520517385131937</v>
      </c>
      <c r="W210" s="33">
        <f>SUM('MasterA1(current$)'!W210)/0.4852</f>
        <v>14.427040395713107</v>
      </c>
      <c r="X210" s="33">
        <f>SUM('MasterA1(current$)'!X210)/0.5153</f>
        <v>9.7030855812148271</v>
      </c>
      <c r="Y210" s="33">
        <f>SUM('MasterA1(current$)'!Y210)/0.53565</f>
        <v>11.201344161299357</v>
      </c>
      <c r="Z210" s="33">
        <f>SUM('MasterA1(current$)'!Z210)/0.55466</f>
        <v>10.817437709587855</v>
      </c>
      <c r="AA210" s="33">
        <f>SUM('MasterA1(current$)'!AA210)/0.5724</f>
        <v>10.482180293501047</v>
      </c>
      <c r="AB210" s="33">
        <f>SUM('MasterA1(current$)'!AB210)/0.58395</f>
        <v>10.274852298998203</v>
      </c>
      <c r="AC210" s="33">
        <f>SUM('MasterA1(current$)'!AC210)/0.59885</f>
        <v>10.019203473323872</v>
      </c>
      <c r="AD210" s="33">
        <f>SUM('MasterA1(current$)'!AD210)/0.61982</f>
        <v>9.6802297441192593</v>
      </c>
      <c r="AE210" s="33">
        <f>SUM('MasterA1(current$)'!AE210)/0.64392</f>
        <v>9.3179276928811028</v>
      </c>
      <c r="AF210" s="33">
        <f>SUM('MasterA1(current$)'!AF210)/0.66773</f>
        <v>8.9856678597636765</v>
      </c>
      <c r="AG210" s="33">
        <f>SUM('MasterA1(current$)'!AG210)/0.68996</f>
        <v>7.2467969157632321</v>
      </c>
      <c r="AH210" s="33">
        <f>SUM('MasterA1(current$)'!AH210)/0.70569</f>
        <v>8.5023168813501666</v>
      </c>
      <c r="AI210" s="33">
        <f>SUM('MasterA1(current$)'!AI210)/0.72248</f>
        <v>6.9206067988041191</v>
      </c>
      <c r="AJ210" s="33">
        <f>SUM('MasterA1(current$)'!AJ210)/0.73785</f>
        <v>8.1317340922951811</v>
      </c>
      <c r="AK210" s="33">
        <f>SUM('MasterA1(current$)'!AK210)/0.75324</f>
        <v>10.620784876002336</v>
      </c>
      <c r="AL210" s="33">
        <f>SUM('MasterA1(current$)'!AL210)/0.76699</f>
        <v>6.5189898173379062</v>
      </c>
      <c r="AM210" s="33">
        <f>SUM('MasterA1(current$)'!AM210)/0.78012</f>
        <v>6.4092703686612316</v>
      </c>
      <c r="AN210" s="33">
        <f>SUM('MasterA1(current$)'!AN210)/0.78859</f>
        <v>6.3404303884147657</v>
      </c>
      <c r="AO210" s="33">
        <f>SUM('MasterA1(current$)'!AO210)/0.80065</f>
        <v>6.244925997626928</v>
      </c>
      <c r="AP210" s="339">
        <f>SUM('MasterA1(current$)'!AP210)/0.81887</f>
        <v>7.3271703689230279</v>
      </c>
      <c r="AQ210" s="339">
        <f>SUM('MasterA1(current$)'!AQ210)/0.83754</f>
        <v>5.9698641258924949</v>
      </c>
      <c r="AR210" s="339">
        <f>SUM('MasterA1(current$)'!AR210)/0.85039</f>
        <v>5.8796552170180743</v>
      </c>
      <c r="AS210" s="339">
        <f>SUM('MasterA1(current$)'!AS210)/0.86735</f>
        <v>6.917622643684787</v>
      </c>
      <c r="AT210" s="339">
        <f>SUM('MasterA1(current$)'!AT210)/0.8912</f>
        <v>5.6104129263913824</v>
      </c>
      <c r="AU210" s="339">
        <f>SUM('MasterA1(current$)'!AU210)/0.91988</f>
        <v>6.5225899030308296</v>
      </c>
      <c r="AV210" s="339">
        <f>SUM('MasterA1(current$)'!AV210)/0.94814</f>
        <v>6.3281793827915713</v>
      </c>
      <c r="AW210" s="339">
        <f>SUM('MasterA1(current$)'!AW210)/0.97337</f>
        <v>6.1641513504628254</v>
      </c>
      <c r="AX210" s="341">
        <f>('MasterA1(current$)'!AX210*100)/99.246</f>
        <v>7.0531809846240661</v>
      </c>
      <c r="AY210" s="420">
        <f>SUM('MasterA1(current$)'!AY210)</f>
        <v>7</v>
      </c>
      <c r="AZ210" s="420">
        <f>SUM('MasterA1(current$)'!AZ210*100)/101.221</f>
        <v>7.9034982859288085</v>
      </c>
      <c r="BA210" s="420">
        <f>SUM('MasterA1(current$)'!BA210*100)/103.311</f>
        <v>6.7756579647859372</v>
      </c>
      <c r="BB210" s="420">
        <f>SUM('MasterA1(current$)'!BB210*100)/105.214</f>
        <v>6.6531070009694524</v>
      </c>
      <c r="BC210" s="420">
        <f>SUM('MasterA1(current$)'!BC210*100)/106.913</f>
        <v>8.4180595437411725</v>
      </c>
      <c r="BD210" s="420">
        <f>SUM('MasterA1(current$)'!BD210*100)/108.828</f>
        <v>8.2699305325835262</v>
      </c>
      <c r="BE210" s="420">
        <f>SUM('MasterA1(current$)'!BE210*100)/109.998</f>
        <v>8.1819669448535421</v>
      </c>
      <c r="BF210" s="634">
        <f>SUM('MasterA1(current$)'!BF210*100)/111.298</f>
        <v>8.0863986774245724</v>
      </c>
      <c r="BG210" s="634">
        <f>SUM('MasterA1(current$)'!BG210*100)/113.198</f>
        <v>7.0672626724853798</v>
      </c>
      <c r="BH210" s="634">
        <f>SUM('MasterA1(current$)'!BH210*100)/115.198</f>
        <v>6.9445650098091987</v>
      </c>
      <c r="BI210" s="385">
        <f t="shared" ref="BI210" si="97">(BG210-BF210)/BF210</f>
        <v>-0.12603088786413583</v>
      </c>
      <c r="BJ210" s="385">
        <f t="shared" ref="BJ210" si="98">(BH210-BG210)/BG210</f>
        <v>-1.7361412524522935E-2</v>
      </c>
      <c r="BK210" s="569">
        <f t="shared" ref="BK210" si="99">BG210-BF210</f>
        <v>-1.0191360049391927</v>
      </c>
      <c r="BL210" s="569">
        <f t="shared" ref="BL210" si="100">BH210-BG210</f>
        <v>-0.1226976626761811</v>
      </c>
    </row>
    <row r="211" spans="1:64" ht="6" customHeight="1">
      <c r="A211" s="125"/>
      <c r="B211" s="54"/>
      <c r="C211" s="36"/>
      <c r="D211" s="36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339"/>
      <c r="AQ211" s="339"/>
      <c r="AR211" s="339"/>
      <c r="AS211" s="339"/>
      <c r="AT211" s="339"/>
      <c r="AU211" s="339"/>
      <c r="AV211" s="339"/>
      <c r="AW211" s="339"/>
      <c r="AX211" s="341"/>
      <c r="AY211" s="420"/>
      <c r="AZ211" s="420"/>
      <c r="BA211" s="420"/>
      <c r="BB211" s="420"/>
      <c r="BC211" s="420"/>
      <c r="BD211" s="420"/>
      <c r="BE211" s="420"/>
      <c r="BF211" s="634"/>
      <c r="BG211" s="634"/>
      <c r="BH211" s="634"/>
      <c r="BI211" s="329"/>
      <c r="BJ211" s="329"/>
      <c r="BK211" s="570"/>
      <c r="BL211" s="570"/>
    </row>
    <row r="212" spans="1:64" ht="11.1" customHeight="1">
      <c r="A212" s="125" t="s">
        <v>18</v>
      </c>
      <c r="B212" s="51" t="s">
        <v>3</v>
      </c>
      <c r="C212" s="51" t="s">
        <v>3</v>
      </c>
      <c r="D212" s="51" t="s">
        <v>3</v>
      </c>
      <c r="E212" s="224" t="s">
        <v>3</v>
      </c>
      <c r="F212" s="224" t="s">
        <v>3</v>
      </c>
      <c r="G212" s="224" t="s">
        <v>3</v>
      </c>
      <c r="H212" s="224" t="s">
        <v>3</v>
      </c>
      <c r="I212" s="224" t="s">
        <v>3</v>
      </c>
      <c r="J212" s="224" t="s">
        <v>3</v>
      </c>
      <c r="K212" s="224" t="s">
        <v>3</v>
      </c>
      <c r="L212" s="224" t="s">
        <v>3</v>
      </c>
      <c r="M212" s="224" t="s">
        <v>3</v>
      </c>
      <c r="N212" s="224" t="s">
        <v>3</v>
      </c>
      <c r="O212" s="224" t="s">
        <v>3</v>
      </c>
      <c r="P212" s="224" t="s">
        <v>3</v>
      </c>
      <c r="Q212" s="342" t="s">
        <v>3</v>
      </c>
      <c r="R212" s="33">
        <f>SUM('MasterA1(current$)'!R212)/0.33083</f>
        <v>12.090801922437505</v>
      </c>
      <c r="S212" s="33">
        <f>SUM('MasterA1(current$)'!S212)/0.35135</f>
        <v>19.92315355059058</v>
      </c>
      <c r="T212" s="33">
        <f>SUM('MasterA1(current$)'!T212)/0.37602</f>
        <v>18.616031062177544</v>
      </c>
      <c r="U212" s="33">
        <f>SUM('MasterA1(current$)'!U212)/0.40706</f>
        <v>17.196482091092225</v>
      </c>
      <c r="V212" s="33">
        <f>SUM('MasterA1(current$)'!V212)/0.44377</f>
        <v>22.534195641886562</v>
      </c>
      <c r="W212" s="33">
        <f>SUM('MasterA1(current$)'!W212)/0.4852</f>
        <v>18.549051937345425</v>
      </c>
      <c r="X212" s="33">
        <f>SUM('MasterA1(current$)'!X212)/0.5153</f>
        <v>17.465554046186689</v>
      </c>
      <c r="Y212" s="33">
        <f>SUM('MasterA1(current$)'!Y212)/0.53565</f>
        <v>16.802016241949037</v>
      </c>
      <c r="Z212" s="33">
        <f>SUM('MasterA1(current$)'!Z212)/0.55466</f>
        <v>18.029062849313092</v>
      </c>
      <c r="AA212" s="33">
        <f>SUM('MasterA1(current$)'!AA212)/0.5724</f>
        <v>20.964360587002094</v>
      </c>
      <c r="AB212" s="33">
        <f>SUM('MasterA1(current$)'!AB212)/0.58395</f>
        <v>22.26217998116277</v>
      </c>
      <c r="AC212" s="33">
        <f>SUM('MasterA1(current$)'!AC212)/0.59885</f>
        <v>21.708274192201721</v>
      </c>
      <c r="AD212" s="33">
        <f>SUM('MasterA1(current$)'!AD212)/0.61982</f>
        <v>22.587202736278272</v>
      </c>
      <c r="AE212" s="33">
        <f>SUM('MasterA1(current$)'!AE212)/0.64392</f>
        <v>24.847807181016272</v>
      </c>
      <c r="AF212" s="33">
        <f>SUM('MasterA1(current$)'!AF212)/0.66773</f>
        <v>22.46416964940919</v>
      </c>
      <c r="AG212" s="33">
        <f>SUM('MasterA1(current$)'!AG212)/0.68996</f>
        <v>24.639109513594992</v>
      </c>
      <c r="AH212" s="33">
        <f>SUM('MasterA1(current$)'!AH212)/0.70569</f>
        <v>26.924003457608862</v>
      </c>
      <c r="AI212" s="33">
        <f>SUM('MasterA1(current$)'!AI212)/0.72248</f>
        <v>27.682427195216476</v>
      </c>
      <c r="AJ212" s="33">
        <f>SUM('MasterA1(current$)'!AJ212)/0.73785</f>
        <v>31.171647353798196</v>
      </c>
      <c r="AK212" s="33">
        <f>SUM('MasterA1(current$)'!AK212)/0.75324</f>
        <v>33.189952737507298</v>
      </c>
      <c r="AL212" s="33">
        <f>SUM('MasterA1(current$)'!AL212)/0.76699</f>
        <v>33.898747050157112</v>
      </c>
      <c r="AM212" s="33">
        <f>SUM('MasterA1(current$)'!AM212)/0.78012</f>
        <v>35.891914064502899</v>
      </c>
      <c r="AN212" s="33">
        <f>SUM('MasterA1(current$)'!AN212)/0.78859</f>
        <v>39.310668408171544</v>
      </c>
      <c r="AO212" s="33">
        <f>SUM('MasterA1(current$)'!AO212)/0.80065</f>
        <v>41.216511584337724</v>
      </c>
      <c r="AP212" s="339">
        <f>SUM('MasterA1(current$)'!AP212)/0.81887</f>
        <v>48.847802459486857</v>
      </c>
      <c r="AQ212" s="339">
        <f>SUM('MasterA1(current$)'!AQ212)/0.83754</f>
        <v>50.146858657496956</v>
      </c>
      <c r="AR212" s="339">
        <f>SUM('MasterA1(current$)'!AR212)/0.85039</f>
        <v>50.56503486635544</v>
      </c>
      <c r="AS212" s="339">
        <f>SUM('MasterA1(current$)'!AS212)/0.86735</f>
        <v>53.035106934916705</v>
      </c>
      <c r="AT212" s="339">
        <f>SUM('MasterA1(current$)'!AT212)/0.8912</f>
        <v>56.104129263913826</v>
      </c>
      <c r="AU212" s="339">
        <f>SUM('MasterA1(current$)'!AU212)/0.91988</f>
        <v>59.790407444449272</v>
      </c>
      <c r="AV212" s="339">
        <f>SUM('MasterA1(current$)'!AV212)/0.94814</f>
        <v>54.844221317526952</v>
      </c>
      <c r="AW212" s="339">
        <f>SUM('MasterA1(current$)'!AW212)/0.97337</f>
        <v>54.450003595754957</v>
      </c>
      <c r="AX212" s="341">
        <f>('MasterA1(current$)'!AX212*100)/99.246</f>
        <v>57.433045160510247</v>
      </c>
      <c r="AY212" s="420">
        <f>SUM('MasterA1(current$)'!AY212)</f>
        <v>63</v>
      </c>
      <c r="AZ212" s="420">
        <f>SUM('MasterA1(current$)'!AZ212*100)/101.221</f>
        <v>63.227986287430468</v>
      </c>
      <c r="BA212" s="420">
        <f>SUM('MasterA1(current$)'!BA212*100)/103.311</f>
        <v>61.9488728209</v>
      </c>
      <c r="BB212" s="420">
        <f>SUM('MasterA1(current$)'!BB212*100)/105.214</f>
        <v>63.679738437850474</v>
      </c>
      <c r="BC212" s="420">
        <f>SUM('MasterA1(current$)'!BC212*100)/106.913</f>
        <v>60.797096704797362</v>
      </c>
      <c r="BD212" s="420">
        <f>SUM('MasterA1(current$)'!BD212*100)/108.828</f>
        <v>57.88951372808468</v>
      </c>
      <c r="BE212" s="420">
        <f>SUM('MasterA1(current$)'!BE212*100)/109.998</f>
        <v>60.001090928925976</v>
      </c>
      <c r="BF212" s="634">
        <f>SUM('MasterA1(current$)'!BF212*100)/111.298</f>
        <v>61.995723193588383</v>
      </c>
      <c r="BG212" s="634">
        <f>SUM('MasterA1(current$)'!BG212*100)/113.198</f>
        <v>74.206258061096491</v>
      </c>
      <c r="BH212" s="634">
        <f>SUM('MasterA1(current$)'!BH212*100)/115.198</f>
        <v>62.501085088282785</v>
      </c>
      <c r="BI212" s="385">
        <f t="shared" ref="BI212" si="101">(BG212-BF212)/BF212</f>
        <v>0.19695769705564023</v>
      </c>
      <c r="BJ212" s="385">
        <f t="shared" ref="BJ212" si="102">(BH212-BG212)/BG212</f>
        <v>-0.15773835359244831</v>
      </c>
      <c r="BK212" s="569">
        <f t="shared" ref="BK212" si="103">BG212-BF212</f>
        <v>12.210534867508109</v>
      </c>
      <c r="BL212" s="569">
        <f t="shared" ref="BL212" si="104">BH212-BG212</f>
        <v>-11.705172972813706</v>
      </c>
    </row>
    <row r="213" spans="1:64" ht="6" customHeight="1">
      <c r="A213" s="125"/>
      <c r="B213" s="54"/>
      <c r="C213" s="36"/>
      <c r="D213" s="36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339"/>
      <c r="AQ213" s="339"/>
      <c r="AR213" s="339"/>
      <c r="AS213" s="339"/>
      <c r="AT213" s="339"/>
      <c r="AU213" s="339"/>
      <c r="AV213" s="339"/>
      <c r="AW213" s="339"/>
      <c r="AX213" s="341"/>
      <c r="AY213" s="420"/>
      <c r="AZ213" s="420"/>
      <c r="BA213" s="420"/>
      <c r="BB213" s="420"/>
      <c r="BC213" s="420"/>
      <c r="BD213" s="420"/>
      <c r="BE213" s="420"/>
      <c r="BF213" s="634"/>
      <c r="BG213" s="634"/>
      <c r="BH213" s="634"/>
      <c r="BI213" s="329"/>
      <c r="BJ213" s="329"/>
      <c r="BK213" s="570"/>
      <c r="BL213" s="570"/>
    </row>
    <row r="214" spans="1:64" ht="11.1" customHeight="1">
      <c r="A214" s="125" t="s">
        <v>14</v>
      </c>
      <c r="B214" s="54">
        <f>SUM('MasterA1(current$)'!B214)/0.1756</f>
        <v>39.863325740318906</v>
      </c>
      <c r="C214" s="55">
        <f>SUM('MasterA1(current$)'!C214)/0.178</f>
        <v>44.943820224719104</v>
      </c>
      <c r="D214" s="55">
        <f>SUM('MasterA1(current$)'!D214)/0.1798</f>
        <v>55.61735261401558</v>
      </c>
      <c r="E214" s="33">
        <f>SUM('MasterA1(current$)'!E214)/0.182</f>
        <v>60.439560439560438</v>
      </c>
      <c r="F214" s="33">
        <f>SUM('MasterA1(current$)'!F214)/0.1842</f>
        <v>65.146579804560261</v>
      </c>
      <c r="G214" s="33">
        <f>SUM('MasterA1(current$)'!G214)/0.18702</f>
        <v>74.858303924713937</v>
      </c>
      <c r="H214" s="33">
        <f>SUM('MasterA1(current$)'!H214)/0.19227</f>
        <v>72.814271597233059</v>
      </c>
      <c r="I214" s="33">
        <f>SUM('MasterA1(current$)'!I214)/0.19786</f>
        <v>70.757100980491259</v>
      </c>
      <c r="J214" s="33">
        <f>SUM('MasterA1(current$)'!J214)/0.20627</f>
        <v>72.720221069472046</v>
      </c>
      <c r="K214" s="33">
        <f>SUM('MasterA1(current$)'!K214)/0.21642</f>
        <v>73.930320672765916</v>
      </c>
      <c r="L214" s="33">
        <f>SUM('MasterA1(current$)'!L214)/0.22784</f>
        <v>87.780898876404493</v>
      </c>
      <c r="M214" s="33">
        <f>SUM('MasterA1(current$)'!M214)/0.23941</f>
        <v>91.892569232697042</v>
      </c>
      <c r="N214" s="33">
        <f>SUM('MasterA1(current$)'!N214)/0.24978</f>
        <v>100.08807750820722</v>
      </c>
      <c r="O214" s="33">
        <f>SUM('MasterA1(current$)'!O214)/0.26337</f>
        <v>102.51737099897483</v>
      </c>
      <c r="P214" s="33">
        <f>SUM('MasterA1(current$)'!P214)/0.28703</f>
        <v>111.48660418771557</v>
      </c>
      <c r="Q214" s="33">
        <f>SUM('MasterA1(current$)'!Q214)/0.31361</f>
        <v>124.35827939160103</v>
      </c>
      <c r="R214" s="33">
        <f>SUM('MasterA1(current$)'!R214)/0.33083</f>
        <v>132.99882114681256</v>
      </c>
      <c r="S214" s="33">
        <f>SUM('MasterA1(current$)'!S214)/0.35135</f>
        <v>148.00056923295858</v>
      </c>
      <c r="T214" s="33">
        <f>SUM('MasterA1(current$)'!T214)/0.37602</f>
        <v>156.90654752406786</v>
      </c>
      <c r="U214" s="33">
        <f>SUM('MasterA1(current$)'!U214)/0.40706</f>
        <v>152.31169852110256</v>
      </c>
      <c r="V214" s="33">
        <f>SUM('MasterA1(current$)'!V214)/0.44377</f>
        <v>155.48594992901729</v>
      </c>
      <c r="W214" s="33">
        <f>SUM('MasterA1(current$)'!W214)/0.4852</f>
        <v>144.27040395713107</v>
      </c>
      <c r="X214" s="33">
        <f>SUM('MasterA1(current$)'!X214)/0.5153</f>
        <v>131.96196390452164</v>
      </c>
      <c r="Y214" s="33">
        <f>SUM('MasterA1(current$)'!Y214)/0.53565</f>
        <v>121.34789508074303</v>
      </c>
      <c r="Z214" s="33">
        <f>SUM('MasterA1(current$)'!Z214)/0.55466</f>
        <v>118.9918148054664</v>
      </c>
      <c r="AA214" s="33">
        <f>SUM('MasterA1(current$)'!AA214)/0.5724</f>
        <v>113.55695317959469</v>
      </c>
      <c r="AB214" s="33">
        <f>SUM('MasterA1(current$)'!AB214)/0.58395</f>
        <v>106.17347375631476</v>
      </c>
      <c r="AC214" s="33">
        <f>SUM('MasterA1(current$)'!AC214)/0.59885</f>
        <v>110.21123820656258</v>
      </c>
      <c r="AD214" s="33">
        <f>SUM('MasterA1(current$)'!AD214)/0.61982</f>
        <v>111.32264205737148</v>
      </c>
      <c r="AE214" s="33">
        <f>SUM('MasterA1(current$)'!AE214)/0.64392</f>
        <v>100.94421667287861</v>
      </c>
      <c r="AF214" s="33">
        <f>SUM('MasterA1(current$)'!AF214)/0.66773</f>
        <v>106.3304030072035</v>
      </c>
      <c r="AG214" s="33">
        <f>SUM('MasterA1(current$)'!AG214)/0.68996</f>
        <v>107.25259435329583</v>
      </c>
      <c r="AH214" s="33">
        <f>SUM('MasterA1(current$)'!AH214)/0.70569</f>
        <v>120.4494891524607</v>
      </c>
      <c r="AI214" s="33">
        <f>SUM('MasterA1(current$)'!AI214)/0.72248</f>
        <v>119.03443693943085</v>
      </c>
      <c r="AJ214" s="33">
        <f>SUM('MasterA1(current$)'!AJ214)/0.73785</f>
        <v>134.17361252287051</v>
      </c>
      <c r="AK214" s="33">
        <f>SUM('MasterA1(current$)'!AK214)/0.75324</f>
        <v>120.81142796452657</v>
      </c>
      <c r="AL214" s="33">
        <f>SUM('MasterA1(current$)'!AL214)/0.76699</f>
        <v>130.37979634675813</v>
      </c>
      <c r="AM214" s="33">
        <f>SUM('MasterA1(current$)'!AM214)/0.78012</f>
        <v>132.03096959442138</v>
      </c>
      <c r="AN214" s="33">
        <f>SUM('MasterA1(current$)'!AN214)/0.78859</f>
        <v>133.14903815671008</v>
      </c>
      <c r="AO214" s="33">
        <f>SUM('MasterA1(current$)'!AO214)/0.80065</f>
        <v>141.13532754636859</v>
      </c>
      <c r="AP214" s="339">
        <f>SUM('MasterA1(current$)'!AP214)/0.81887</f>
        <v>152.64938268589643</v>
      </c>
      <c r="AQ214" s="339">
        <f>SUM('MasterA1(current$)'!AQ214)/0.83754</f>
        <v>165.96222269981135</v>
      </c>
      <c r="AR214" s="339">
        <f>SUM('MasterA1(current$)'!AR214)/0.85039</f>
        <v>190.50082903138559</v>
      </c>
      <c r="AS214" s="339">
        <f>SUM('MasterA1(current$)'!AS214)/0.86735</f>
        <v>191.38755980861245</v>
      </c>
      <c r="AT214" s="339">
        <f>SUM('MasterA1(current$)'!AT214)/0.8912</f>
        <v>205.34111310592459</v>
      </c>
      <c r="AU214" s="339">
        <f>SUM('MasterA1(current$)'!AU214)/0.91988</f>
        <v>205.46158194547115</v>
      </c>
      <c r="AV214" s="339">
        <f>SUM('MasterA1(current$)'!AV214)/0.94814</f>
        <v>211.99400932351762</v>
      </c>
      <c r="AW214" s="339">
        <f>SUM('MasterA1(current$)'!AW214)/0.97337</f>
        <v>219.85473149984077</v>
      </c>
      <c r="AX214" s="341">
        <f>('MasterA1(current$)'!AX214*100)/99.246</f>
        <v>232.75497249259416</v>
      </c>
      <c r="AY214" s="420">
        <f>SUM('MasterA1(current$)'!AY214)</f>
        <v>265</v>
      </c>
      <c r="AZ214" s="420">
        <f>SUM('MasterA1(current$)'!AZ214*100)/101.221</f>
        <v>264.7671925786151</v>
      </c>
      <c r="BA214" s="420">
        <f>SUM('MasterA1(current$)'!BA214*100)/103.311</f>
        <v>278.76992769405001</v>
      </c>
      <c r="BB214" s="420">
        <f>SUM('MasterA1(current$)'!BB214*100)/105.214</f>
        <v>279.43049404071701</v>
      </c>
      <c r="BC214" s="420">
        <f>SUM('MasterA1(current$)'!BC214*100)/106.913</f>
        <v>260.95984585597637</v>
      </c>
      <c r="BD214" s="420">
        <f>SUM('MasterA1(current$)'!BD214*100)/108.828</f>
        <v>300.47414268386814</v>
      </c>
      <c r="BE214" s="420">
        <f>SUM('MasterA1(current$)'!BE214*100)/109.998</f>
        <v>275.45955381006928</v>
      </c>
      <c r="BF214" s="634">
        <f>SUM('MasterA1(current$)'!BF214*100)/111.298</f>
        <v>283.92244245179609</v>
      </c>
      <c r="BG214" s="634">
        <f>SUM('MasterA1(current$)'!BG214*100)/113.198</f>
        <v>244.70397003480628</v>
      </c>
      <c r="BH214" s="634">
        <f>SUM('MasterA1(current$)'!BH214*100)/115.198</f>
        <v>277.78260039236795</v>
      </c>
      <c r="BI214" s="385">
        <f t="shared" ref="BI214" si="105">(BG214-BF214)/BF214</f>
        <v>-0.13813093490715608</v>
      </c>
      <c r="BJ214" s="385">
        <f t="shared" ref="BJ214" si="106">(BH214-BG214)/BG214</f>
        <v>0.13517815159621901</v>
      </c>
      <c r="BK214" s="569">
        <f t="shared" ref="BK214" si="107">BG214-BF214</f>
        <v>-39.218472416989812</v>
      </c>
      <c r="BL214" s="569">
        <f t="shared" ref="BL214" si="108">BH214-BG214</f>
        <v>33.078630357561678</v>
      </c>
    </row>
    <row r="215" spans="1:64" ht="6" customHeight="1">
      <c r="A215" s="125"/>
      <c r="B215" s="54"/>
      <c r="C215" s="36"/>
      <c r="D215" s="36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339"/>
      <c r="AQ215" s="339"/>
      <c r="AR215" s="339"/>
      <c r="AS215" s="339"/>
      <c r="AT215" s="339"/>
      <c r="AU215" s="339"/>
      <c r="AV215" s="339"/>
      <c r="AW215" s="339"/>
      <c r="AX215" s="341"/>
      <c r="AY215" s="420"/>
      <c r="AZ215" s="420"/>
      <c r="BA215" s="420"/>
      <c r="BB215" s="420"/>
      <c r="BC215" s="420"/>
      <c r="BD215" s="420"/>
      <c r="BE215" s="420"/>
      <c r="BF215" s="634"/>
      <c r="BG215" s="634"/>
      <c r="BH215" s="634"/>
      <c r="BI215" s="329"/>
      <c r="BJ215" s="329"/>
      <c r="BK215" s="570"/>
      <c r="BL215" s="570"/>
    </row>
    <row r="216" spans="1:64" ht="11.1" customHeight="1">
      <c r="A216" s="129" t="s">
        <v>158</v>
      </c>
      <c r="B216" s="54">
        <f>SUM('MasterA1(current$)'!B216)/0.1756</f>
        <v>11.389521640091116</v>
      </c>
      <c r="C216" s="55">
        <f>SUM('MasterA1(current$)'!C216)/0.178</f>
        <v>16.853932584269664</v>
      </c>
      <c r="D216" s="55">
        <f>SUM('MasterA1(current$)'!D216)/0.1798</f>
        <v>16.685205784204673</v>
      </c>
      <c r="E216" s="33">
        <f>SUM('MasterA1(current$)'!E216)/0.182</f>
        <v>16.483516483516485</v>
      </c>
      <c r="F216" s="33">
        <f>SUM('MasterA1(current$)'!F216)/0.1842</f>
        <v>16.286644951140065</v>
      </c>
      <c r="G216" s="33">
        <f>SUM('MasterA1(current$)'!G216)/0.18702</f>
        <v>16.041065126724416</v>
      </c>
      <c r="H216" s="33">
        <f>SUM('MasterA1(current$)'!H216)/0.19227</f>
        <v>15.603058199407084</v>
      </c>
      <c r="I216" s="33">
        <f>SUM('MasterA1(current$)'!I216)/0.19786</f>
        <v>15.162235924390982</v>
      </c>
      <c r="J216" s="33">
        <f>SUM('MasterA1(current$)'!J216)/0.20627</f>
        <v>19.392058951859212</v>
      </c>
      <c r="K216" s="33">
        <f>SUM('MasterA1(current$)'!K216)/0.21642</f>
        <v>18.482580168191479</v>
      </c>
      <c r="L216" s="33">
        <f>SUM('MasterA1(current$)'!L216)/0.22784</f>
        <v>17.556179775280899</v>
      </c>
      <c r="M216" s="33">
        <f>SUM('MasterA1(current$)'!M216)/0.23941</f>
        <v>16.707739860490371</v>
      </c>
      <c r="N216" s="33">
        <f>SUM('MasterA1(current$)'!N216)/0.24978</f>
        <v>20.017615501641444</v>
      </c>
      <c r="O216" s="33">
        <f>SUM('MasterA1(current$)'!O216)/0.26337</f>
        <v>22.781637999772183</v>
      </c>
      <c r="P216" s="33">
        <f>SUM('MasterA1(current$)'!P216)/0.28703</f>
        <v>24.387694666062782</v>
      </c>
      <c r="Q216" s="33">
        <f>SUM('MasterA1(current$)'!Q216)/0.31361</f>
        <v>25.509390644430979</v>
      </c>
      <c r="R216" s="33">
        <f>SUM('MasterA1(current$)'!R216)/0.33083</f>
        <v>30.227004806093763</v>
      </c>
      <c r="S216" s="33">
        <f>SUM('MasterA1(current$)'!S216)/0.35135</f>
        <v>31.307812722356626</v>
      </c>
      <c r="T216" s="33">
        <f>SUM('MasterA1(current$)'!T216)/0.37602</f>
        <v>31.913196106590075</v>
      </c>
      <c r="U216" s="33">
        <f>SUM('MasterA1(current$)'!U216)/0.40706</f>
        <v>29.479683584729525</v>
      </c>
      <c r="V216" s="33">
        <f>SUM('MasterA1(current$)'!V216)/0.44377</f>
        <v>31.547873898641189</v>
      </c>
      <c r="W216" s="33">
        <f>SUM('MasterA1(current$)'!W216)/0.4852</f>
        <v>32.976092333058531</v>
      </c>
      <c r="X216" s="33">
        <f>SUM('MasterA1(current$)'!X216)/0.5153</f>
        <v>32.99049097613041</v>
      </c>
      <c r="Y216" s="33">
        <f>SUM('MasterA1(current$)'!Y216)/0.53565</f>
        <v>35.470923177447965</v>
      </c>
      <c r="Z216" s="33">
        <f>SUM('MasterA1(current$)'!Z216)/0.55466</f>
        <v>41.46684455342011</v>
      </c>
      <c r="AA216" s="33">
        <f>SUM('MasterA1(current$)'!AA216)/0.5724</f>
        <v>36.687631027253666</v>
      </c>
      <c r="AB216" s="33">
        <f>SUM('MasterA1(current$)'!AB216)/0.58395</f>
        <v>47.949310728658276</v>
      </c>
      <c r="AC216" s="33">
        <f>SUM('MasterA1(current$)'!AC216)/0.59885</f>
        <v>45.086415629957422</v>
      </c>
      <c r="AD216" s="33">
        <f>SUM('MasterA1(current$)'!AD216)/0.61982</f>
        <v>59.694750088735432</v>
      </c>
      <c r="AE216" s="33">
        <f>SUM('MasterA1(current$)'!AE216)/0.64392</f>
        <v>55.907566157286617</v>
      </c>
      <c r="AF216" s="33">
        <f>SUM('MasterA1(current$)'!AF216)/0.66773</f>
        <v>55.41161846854267</v>
      </c>
      <c r="AG216" s="33">
        <f>SUM('MasterA1(current$)'!AG216)/0.68996</f>
        <v>55.075656559800564</v>
      </c>
      <c r="AH216" s="33">
        <f>SUM('MasterA1(current$)'!AH216)/0.70569</f>
        <v>59.516218169451172</v>
      </c>
      <c r="AI216" s="33">
        <f>SUM('MasterA1(current$)'!AI216)/0.72248</f>
        <v>59.517218469715424</v>
      </c>
      <c r="AJ216" s="33">
        <f>SUM('MasterA1(current$)'!AJ216)/0.73785</f>
        <v>58.277427661448804</v>
      </c>
      <c r="AK216" s="33">
        <f>SUM('MasterA1(current$)'!AK216)/0.75324</f>
        <v>57.086718708512556</v>
      </c>
      <c r="AL216" s="33">
        <f>SUM('MasterA1(current$)'!AL216)/0.76699</f>
        <v>50.848120575235662</v>
      </c>
      <c r="AM216" s="33">
        <f>SUM('MasterA1(current$)'!AM216)/0.78012</f>
        <v>51.274162949289853</v>
      </c>
      <c r="AN216" s="33">
        <f>SUM('MasterA1(current$)'!AN216)/0.78859</f>
        <v>50.723443107318126</v>
      </c>
      <c r="AO216" s="33">
        <f>SUM('MasterA1(current$)'!AO216)/0.80065</f>
        <v>54.955348779116967</v>
      </c>
      <c r="AP216" s="339">
        <f>SUM('MasterA1(current$)'!AP216)/0.81887</f>
        <v>57.396167889897058</v>
      </c>
      <c r="AQ216" s="339">
        <f>SUM('MasterA1(current$)'!AQ216)/0.83754</f>
        <v>58.504668433746453</v>
      </c>
      <c r="AR216" s="339">
        <f>SUM('MasterA1(current$)'!AR216)/0.85039</f>
        <v>61.148414256987969</v>
      </c>
      <c r="AS216" s="339">
        <f>SUM('MasterA1(current$)'!AS216)/0.86735</f>
        <v>59.952729578601492</v>
      </c>
      <c r="AT216" s="339">
        <f>SUM('MasterA1(current$)'!AT216)/0.8912</f>
        <v>60.592459605026932</v>
      </c>
      <c r="AU216" s="339">
        <f>SUM('MasterA1(current$)'!AU216)/0.91988</f>
        <v>65.225899030308298</v>
      </c>
      <c r="AV216" s="339">
        <f>SUM('MasterA1(current$)'!AV216)/0.94814</f>
        <v>67.500580083110094</v>
      </c>
      <c r="AW216" s="339">
        <f>SUM('MasterA1(current$)'!AW216)/0.97337</f>
        <v>64.723589179859673</v>
      </c>
      <c r="AX216" s="341">
        <f>('MasterA1(current$)'!AX216*100)/99.246</f>
        <v>68.516615279205212</v>
      </c>
      <c r="AY216" s="420">
        <f>SUM('MasterA1(current$)'!AY216)</f>
        <v>74</v>
      </c>
      <c r="AZ216" s="420">
        <f>SUM('MasterA1(current$)'!AZ216*100)/101.221</f>
        <v>77.059108287805884</v>
      </c>
      <c r="BA216" s="420">
        <f>SUM('MasterA1(current$)'!BA216*100)/103.311</f>
        <v>76.468139888298438</v>
      </c>
      <c r="BB216" s="420">
        <f>SUM('MasterA1(current$)'!BB216*100)/105.214</f>
        <v>76.985952439789386</v>
      </c>
      <c r="BC216" s="420">
        <f>SUM('MasterA1(current$)'!BC216*100)/106.913</f>
        <v>76.697875842975137</v>
      </c>
      <c r="BD216" s="420">
        <f>SUM('MasterA1(current$)'!BD216*100)/108.828</f>
        <v>76.267137133825855</v>
      </c>
      <c r="BE216" s="420">
        <f>SUM('MasterA1(current$)'!BE216*100)/109.998</f>
        <v>74.546809941998944</v>
      </c>
      <c r="BF216" s="634">
        <f>SUM('MasterA1(current$)'!BF216*100)/111.298</f>
        <v>78.168520548437527</v>
      </c>
      <c r="BG216" s="634">
        <f>SUM('MasterA1(current$)'!BG216*100)/113.198</f>
        <v>87.457375572006583</v>
      </c>
      <c r="BH216" s="634">
        <f>SUM('MasterA1(current$)'!BH216*100)/115.198</f>
        <v>76.390215107901184</v>
      </c>
      <c r="BI216" s="385">
        <f t="shared" ref="BI216" si="109">(BG216-BF216)/BF216</f>
        <v>0.11883114786358492</v>
      </c>
      <c r="BJ216" s="385">
        <f t="shared" ref="BJ216" si="110">(BH216-BG216)/BG216</f>
        <v>-0.12654347779957603</v>
      </c>
      <c r="BK216" s="569">
        <f t="shared" ref="BK216" si="111">BG216-BF216</f>
        <v>9.2888550235690559</v>
      </c>
      <c r="BL216" s="569">
        <f t="shared" ref="BL216" si="112">BH216-BG216</f>
        <v>-11.067160464105399</v>
      </c>
    </row>
    <row r="217" spans="1:64" ht="6" customHeight="1">
      <c r="A217" s="125"/>
      <c r="B217" s="54"/>
      <c r="C217" s="36"/>
      <c r="D217" s="36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161"/>
      <c r="AN217" s="161"/>
      <c r="AO217" s="161"/>
      <c r="AP217" s="339"/>
      <c r="AQ217" s="339"/>
      <c r="AR217" s="339"/>
      <c r="AS217" s="339"/>
      <c r="AT217" s="339"/>
      <c r="AU217" s="339"/>
      <c r="AV217" s="339"/>
      <c r="AW217" s="339"/>
      <c r="AX217" s="341"/>
      <c r="AY217" s="420"/>
      <c r="AZ217" s="420"/>
      <c r="BA217" s="420"/>
      <c r="BB217" s="420"/>
      <c r="BC217" s="420"/>
      <c r="BD217" s="420"/>
      <c r="BE217" s="420"/>
      <c r="BF217" s="634"/>
      <c r="BG217" s="634"/>
      <c r="BH217" s="634"/>
      <c r="BI217" s="329"/>
      <c r="BJ217" s="329"/>
      <c r="BK217" s="570"/>
      <c r="BL217" s="570"/>
    </row>
    <row r="218" spans="1:64" ht="11.1" customHeight="1">
      <c r="A218" s="126" t="s">
        <v>51</v>
      </c>
      <c r="B218" s="54"/>
      <c r="C218" s="36"/>
      <c r="D218" s="36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161"/>
      <c r="AN218" s="161"/>
      <c r="AO218" s="161"/>
      <c r="AP218" s="339"/>
      <c r="AQ218" s="339"/>
      <c r="AR218" s="339"/>
      <c r="AS218" s="339"/>
      <c r="AT218" s="339"/>
      <c r="AU218" s="339"/>
      <c r="AV218" s="339"/>
      <c r="AW218" s="339"/>
      <c r="AX218" s="341"/>
      <c r="AY218" s="420"/>
      <c r="AZ218" s="420"/>
      <c r="BA218" s="420"/>
      <c r="BB218" s="420"/>
      <c r="BC218" s="420"/>
      <c r="BD218" s="420"/>
      <c r="BE218" s="420"/>
      <c r="BF218" s="634"/>
      <c r="BG218" s="634"/>
      <c r="BH218" s="634"/>
      <c r="BI218" s="329"/>
      <c r="BJ218" s="329"/>
      <c r="BK218" s="570"/>
      <c r="BL218" s="570"/>
    </row>
    <row r="219" spans="1:64" ht="11.1" customHeight="1">
      <c r="A219" s="125" t="s">
        <v>26</v>
      </c>
      <c r="B219" s="54">
        <f>SUM('MasterA1(current$)'!B219)/0.1756</f>
        <v>5.6947608200455582</v>
      </c>
      <c r="C219" s="55">
        <f>SUM('MasterA1(current$)'!C219)/0.178</f>
        <v>11.235955056179776</v>
      </c>
      <c r="D219" s="55">
        <f>SUM('MasterA1(current$)'!D219)/0.1798</f>
        <v>11.123470522803116</v>
      </c>
      <c r="E219" s="33">
        <f>SUM('MasterA1(current$)'!E219)/0.182</f>
        <v>10.989010989010989</v>
      </c>
      <c r="F219" s="33">
        <f>SUM('MasterA1(current$)'!F219)/0.1842</f>
        <v>10.857763300760043</v>
      </c>
      <c r="G219" s="33">
        <f>SUM('MasterA1(current$)'!G219)/0.18702</f>
        <v>10.694043417816276</v>
      </c>
      <c r="H219" s="33">
        <f>SUM('MasterA1(current$)'!H219)/0.19227</f>
        <v>10.402038799604723</v>
      </c>
      <c r="I219" s="33">
        <f>SUM('MasterA1(current$)'!I219)/0.19786</f>
        <v>10.108157282927323</v>
      </c>
      <c r="J219" s="33">
        <f>SUM('MasterA1(current$)'!J219)/0.20627</f>
        <v>14.544044213894409</v>
      </c>
      <c r="K219" s="33">
        <f>SUM('MasterA1(current$)'!K219)/0.21642</f>
        <v>13.86193512614361</v>
      </c>
      <c r="L219" s="33">
        <f>SUM('MasterA1(current$)'!L219)/0.22784</f>
        <v>13.167134831460675</v>
      </c>
      <c r="M219" s="33">
        <f>SUM('MasterA1(current$)'!M219)/0.23941</f>
        <v>16.707739860490371</v>
      </c>
      <c r="N219" s="33">
        <f>SUM('MasterA1(current$)'!N219)/0.24978</f>
        <v>16.014092401313157</v>
      </c>
      <c r="O219" s="33">
        <f>SUM('MasterA1(current$)'!O219)/0.26337</f>
        <v>18.984698333143488</v>
      </c>
      <c r="P219" s="33">
        <f>SUM('MasterA1(current$)'!P219)/0.28703</f>
        <v>17.419781904330556</v>
      </c>
      <c r="Q219" s="33">
        <f>SUM('MasterA1(current$)'!Q219)/0.31361</f>
        <v>19.132042983323235</v>
      </c>
      <c r="R219" s="33">
        <f>SUM('MasterA1(current$)'!R219)/0.33083</f>
        <v>21.158903364265633</v>
      </c>
      <c r="S219" s="33">
        <f>SUM('MasterA1(current$)'!S219)/0.35135</f>
        <v>25.615483136473603</v>
      </c>
      <c r="T219" s="33">
        <f>SUM('MasterA1(current$)'!T219)/0.37602</f>
        <v>31.913196106590075</v>
      </c>
      <c r="U219" s="33">
        <f>SUM('MasterA1(current$)'!U219)/0.40706</f>
        <v>31.936323883456986</v>
      </c>
      <c r="V219" s="33">
        <f>SUM('MasterA1(current$)'!V219)/0.44377</f>
        <v>31.547873898641189</v>
      </c>
      <c r="W219" s="33">
        <f>SUM('MasterA1(current$)'!W219)/0.4852</f>
        <v>28.854080791426213</v>
      </c>
      <c r="X219" s="33">
        <f>SUM('MasterA1(current$)'!X219)/0.5153</f>
        <v>27.168639627401515</v>
      </c>
      <c r="Y219" s="33">
        <f>SUM('MasterA1(current$)'!Y219)/0.53565</f>
        <v>28.003360403248394</v>
      </c>
      <c r="Z219" s="33">
        <f>SUM('MasterA1(current$)'!Z219)/0.55466</f>
        <v>28.846500558900946</v>
      </c>
      <c r="AA219" s="33">
        <f>SUM('MasterA1(current$)'!AA219)/0.5724</f>
        <v>29.699510831586302</v>
      </c>
      <c r="AB219" s="33">
        <f>SUM('MasterA1(current$)'!AB219)/0.58395</f>
        <v>29.11208151382824</v>
      </c>
      <c r="AC219" s="33">
        <f>SUM('MasterA1(current$)'!AC219)/0.59885</f>
        <v>28.387743174417633</v>
      </c>
      <c r="AD219" s="33">
        <f>SUM('MasterA1(current$)'!AD219)/0.61982</f>
        <v>29.040689232357778</v>
      </c>
      <c r="AE219" s="33">
        <f>SUM('MasterA1(current$)'!AE219)/0.64392</f>
        <v>32.612746925083862</v>
      </c>
      <c r="AF219" s="33">
        <f>SUM('MasterA1(current$)'!AF219)/0.66773</f>
        <v>28.454614889251641</v>
      </c>
      <c r="AG219" s="33">
        <f>SUM('MasterA1(current$)'!AG219)/0.68996</f>
        <v>31.885906429358222</v>
      </c>
      <c r="AH219" s="33">
        <f>SUM('MasterA1(current$)'!AH219)/0.70569</f>
        <v>35.42632033895903</v>
      </c>
      <c r="AI219" s="33">
        <f>SUM('MasterA1(current$)'!AI219)/0.72248</f>
        <v>37.371276713542244</v>
      </c>
      <c r="AJ219" s="33">
        <f>SUM('MasterA1(current$)'!AJ219)/0.73785</f>
        <v>35.237514399945788</v>
      </c>
      <c r="AK219" s="33">
        <f>SUM('MasterA1(current$)'!AK219)/0.75324</f>
        <v>34.517550847007591</v>
      </c>
      <c r="AL219" s="33">
        <f>SUM('MasterA1(current$)'!AL219)/0.76699</f>
        <v>36.506342977092274</v>
      </c>
      <c r="AM219" s="33">
        <f>SUM('MasterA1(current$)'!AM219)/0.78012</f>
        <v>35.891914064502899</v>
      </c>
      <c r="AN219" s="33">
        <f>SUM('MasterA1(current$)'!AN219)/0.78859</f>
        <v>38.042582330488592</v>
      </c>
      <c r="AO219" s="33">
        <f>SUM('MasterA1(current$)'!AO219)/0.80065</f>
        <v>38.718541185286959</v>
      </c>
      <c r="AP219" s="339">
        <f>SUM('MasterA1(current$)'!AP219)/0.81887</f>
        <v>41.520632090563829</v>
      </c>
      <c r="AQ219" s="339">
        <f>SUM('MasterA1(current$)'!AQ219)/0.83754</f>
        <v>44.176994531604464</v>
      </c>
      <c r="AR219" s="339">
        <f>SUM('MasterA1(current$)'!AR219)/0.85039</f>
        <v>44.685379649337364</v>
      </c>
      <c r="AS219" s="339">
        <f>SUM('MasterA1(current$)'!AS219)/0.86735</f>
        <v>46.117484291231918</v>
      </c>
      <c r="AT219" s="339">
        <f>SUM('MasterA1(current$)'!AT219)/0.8912</f>
        <v>49.371633752244165</v>
      </c>
      <c r="AU219" s="339">
        <f>SUM('MasterA1(current$)'!AU219)/0.91988</f>
        <v>50.006522589903028</v>
      </c>
      <c r="AV219" s="339">
        <f>SUM('MasterA1(current$)'!AV219)/0.94814</f>
        <v>49.57073849853397</v>
      </c>
      <c r="AW219" s="339">
        <f>SUM('MasterA1(current$)'!AW219)/0.97337</f>
        <v>62.668872063038727</v>
      </c>
      <c r="AX219" s="341">
        <f>('MasterA1(current$)'!AX219*100)/99.246</f>
        <v>47.357072325333014</v>
      </c>
      <c r="AY219" s="420">
        <f>SUM('MasterA1(current$)'!AY219)</f>
        <v>46</v>
      </c>
      <c r="AZ219" s="420">
        <f>SUM('MasterA1(current$)'!AZ219*100)/101.221</f>
        <v>51.372738858537261</v>
      </c>
      <c r="BA219" s="420">
        <f>SUM('MasterA1(current$)'!BA219*100)/103.311</f>
        <v>51.30141030480781</v>
      </c>
      <c r="BB219" s="420">
        <f>SUM('MasterA1(current$)'!BB219*100)/105.214</f>
        <v>49.42308057863022</v>
      </c>
      <c r="BC219" s="420">
        <f>SUM('MasterA1(current$)'!BC219*100)/106.913</f>
        <v>45.831657515924164</v>
      </c>
      <c r="BD219" s="420">
        <f>SUM('MasterA1(current$)'!BD219*100)/108.828</f>
        <v>45.944058514352925</v>
      </c>
      <c r="BE219" s="420">
        <f>SUM('MasterA1(current$)'!BE219*100)/109.998</f>
        <v>47.273586792487137</v>
      </c>
      <c r="BF219" s="634">
        <f>SUM('MasterA1(current$)'!BF219*100)/111.298</f>
        <v>50.315369548419561</v>
      </c>
      <c r="BG219" s="634">
        <f>SUM('MasterA1(current$)'!BG219*100)/113.198</f>
        <v>57.421509213943715</v>
      </c>
      <c r="BH219" s="634">
        <f>SUM('MasterA1(current$)'!BH219*100)/115.198</f>
        <v>66.841438219413533</v>
      </c>
      <c r="BI219" s="385">
        <f t="shared" ref="BI219" si="113">(BG219-BF219)/BF219</f>
        <v>0.14123198794526914</v>
      </c>
      <c r="BJ219" s="385">
        <f t="shared" ref="BJ219" si="114">(BH219-BG219)/BG219</f>
        <v>0.16404878824018038</v>
      </c>
      <c r="BK219" s="569">
        <f t="shared" ref="BK219" si="115">BG219-BF219</f>
        <v>7.1061396655241538</v>
      </c>
      <c r="BL219" s="569">
        <f t="shared" ref="BL219" si="116">BH219-BG219</f>
        <v>9.4199290054698182</v>
      </c>
    </row>
    <row r="220" spans="1:64" ht="6" customHeight="1">
      <c r="A220" s="125"/>
      <c r="B220" s="54"/>
      <c r="C220" s="36"/>
      <c r="D220" s="36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339"/>
      <c r="AQ220" s="339"/>
      <c r="AR220" s="339"/>
      <c r="AS220" s="339"/>
      <c r="AT220" s="339"/>
      <c r="AU220" s="339"/>
      <c r="AV220" s="339"/>
      <c r="AW220" s="339"/>
      <c r="AX220" s="341"/>
      <c r="AY220" s="420"/>
      <c r="AZ220" s="420"/>
      <c r="BA220" s="420"/>
      <c r="BB220" s="420"/>
      <c r="BC220" s="420"/>
      <c r="BD220" s="420"/>
      <c r="BE220" s="420"/>
      <c r="BF220" s="634"/>
      <c r="BG220" s="634"/>
      <c r="BH220" s="634"/>
      <c r="BI220" s="329"/>
      <c r="BJ220" s="329"/>
      <c r="BK220" s="570"/>
      <c r="BL220" s="570"/>
    </row>
    <row r="221" spans="1:64" ht="11.1" customHeight="1">
      <c r="A221" s="125" t="s">
        <v>19</v>
      </c>
      <c r="B221" s="148">
        <f>SUM('MasterA1(current$)'!B221)/0.1756</f>
        <v>45.558086560364465</v>
      </c>
      <c r="C221" s="65">
        <f>SUM('MasterA1(current$)'!C221)/0.178</f>
        <v>56.17977528089888</v>
      </c>
      <c r="D221" s="65">
        <f>SUM('MasterA1(current$)'!D221)/0.1798</f>
        <v>61.179087875417132</v>
      </c>
      <c r="E221" s="344">
        <f>SUM('MasterA1(current$)'!E221)/0.182</f>
        <v>71.428571428571431</v>
      </c>
      <c r="F221" s="344">
        <f>SUM('MasterA1(current$)'!F221)/0.1842</f>
        <v>76.004343105320302</v>
      </c>
      <c r="G221" s="344">
        <f>SUM('MasterA1(current$)'!G221)/0.18702</f>
        <v>80.205325633622081</v>
      </c>
      <c r="H221" s="344">
        <f>SUM('MasterA1(current$)'!H221)/0.19227</f>
        <v>83.216310396837784</v>
      </c>
      <c r="I221" s="344">
        <f>SUM('MasterA1(current$)'!I221)/0.19786</f>
        <v>85.919336904882243</v>
      </c>
      <c r="J221" s="344">
        <f>SUM('MasterA1(current$)'!J221)/0.20627</f>
        <v>87.264265283366456</v>
      </c>
      <c r="K221" s="344">
        <f>SUM('MasterA1(current$)'!K221)/0.21642</f>
        <v>87.792255798909522</v>
      </c>
      <c r="L221" s="344">
        <f>SUM('MasterA1(current$)'!L221)/0.22784</f>
        <v>96.558988764044955</v>
      </c>
      <c r="M221" s="344">
        <f>SUM('MasterA1(current$)'!M221)/0.23941</f>
        <v>96.06950419781964</v>
      </c>
      <c r="N221" s="344">
        <f>SUM('MasterA1(current$)'!N221)/0.24978</f>
        <v>104.09160060853551</v>
      </c>
      <c r="O221" s="344">
        <f>SUM('MasterA1(current$)'!O221)/0.26337</f>
        <v>113.90818999886092</v>
      </c>
      <c r="P221" s="344">
        <f>SUM('MasterA1(current$)'!P221)/0.28703</f>
        <v>121.9384733303139</v>
      </c>
      <c r="Q221" s="344">
        <f>SUM('MasterA1(current$)'!Q221)/0.31361</f>
        <v>140.30164854437041</v>
      </c>
      <c r="R221" s="344">
        <f>SUM('MasterA1(current$)'!R221)/0.33083</f>
        <v>154.15772451107819</v>
      </c>
      <c r="S221" s="344">
        <f>SUM('MasterA1(current$)'!S221)/0.35135</f>
        <v>153.69289881884163</v>
      </c>
      <c r="T221" s="344">
        <f>SUM('MasterA1(current$)'!T221)/0.37602</f>
        <v>162.22541354183286</v>
      </c>
      <c r="U221" s="33">
        <f>SUM('MasterA1(current$)'!U221)/0.40706</f>
        <v>162.13825971601239</v>
      </c>
      <c r="V221" s="344">
        <f>SUM('MasterA1(current$)'!V221)/0.44377</f>
        <v>166.75304774996056</v>
      </c>
      <c r="W221" s="344">
        <f>SUM('MasterA1(current$)'!W221)/0.4852</f>
        <v>160.75845012366034</v>
      </c>
      <c r="X221" s="344">
        <f>SUM('MasterA1(current$)'!X221)/0.5153</f>
        <v>153.30875218319426</v>
      </c>
      <c r="Y221" s="344">
        <f>SUM('MasterA1(current$)'!Y221)/0.53565</f>
        <v>168.02016241949036</v>
      </c>
      <c r="Z221" s="344">
        <f>SUM('MasterA1(current$)'!Z221)/0.55466</f>
        <v>165.86737821368044</v>
      </c>
      <c r="AA221" s="344">
        <f>SUM('MasterA1(current$)'!AA221)/0.5724</f>
        <v>179.94409503843465</v>
      </c>
      <c r="AB221" s="344">
        <f>SUM('MasterA1(current$)'!AB221)/0.58395</f>
        <v>178.09743984930216</v>
      </c>
      <c r="AC221" s="344">
        <f>SUM('MasterA1(current$)'!AC221)/0.59885</f>
        <v>180.34566251982969</v>
      </c>
      <c r="AD221" s="344">
        <f>SUM('MasterA1(current$)'!AD221)/0.61982</f>
        <v>203.28482462650445</v>
      </c>
      <c r="AE221" s="344">
        <f>SUM('MasterA1(current$)'!AE221)/0.64392</f>
        <v>217.4183128338924</v>
      </c>
      <c r="AF221" s="344">
        <f>SUM('MasterA1(current$)'!AF221)/0.66773</f>
        <v>230.63214173393436</v>
      </c>
      <c r="AG221" s="344">
        <f>SUM('MasterA1(current$)'!AG221)/0.68996</f>
        <v>260.88468896747639</v>
      </c>
      <c r="AH221" s="344">
        <f>SUM('MasterA1(current$)'!AH221)/0.70569</f>
        <v>324.50509430486471</v>
      </c>
      <c r="AI221" s="344">
        <f>SUM('MasterA1(current$)'!AI221)/0.72248</f>
        <v>332.18912634259772</v>
      </c>
      <c r="AJ221" s="344">
        <f>SUM('MasterA1(current$)'!AJ221)/0.73785</f>
        <v>351.01985498407532</v>
      </c>
      <c r="AK221" s="344">
        <f>SUM('MasterA1(current$)'!AK221)/0.75324</f>
        <v>370.39987255058151</v>
      </c>
      <c r="AL221" s="344">
        <f>SUM('MasterA1(current$)'!AL221)/0.76699</f>
        <v>370.27862162479306</v>
      </c>
      <c r="AM221" s="344">
        <f>SUM('MasterA1(current$)'!AM221)/0.78012</f>
        <v>387.11993026713839</v>
      </c>
      <c r="AN221" s="344">
        <f>SUM('MasterA1(current$)'!AN221)/0.78859</f>
        <v>381.6939093825689</v>
      </c>
      <c r="AO221" s="344">
        <f>SUM('MasterA1(current$)'!AO221)/0.80065</f>
        <v>423.40598263910573</v>
      </c>
      <c r="AP221" s="332">
        <f>SUM('MasterA1(current$)'!AP221)/0.81887</f>
        <v>435.96663695092019</v>
      </c>
      <c r="AQ221" s="332">
        <f>SUM('MasterA1(current$)'!AQ221)/0.83754</f>
        <v>500.27461374979106</v>
      </c>
      <c r="AR221" s="332">
        <f>SUM('MasterA1(current$)'!AR221)/0.85039</f>
        <v>562.09503874692791</v>
      </c>
      <c r="AS221" s="332">
        <f>SUM('MasterA1(current$)'!AS221)/0.86735</f>
        <v>540.72750331469422</v>
      </c>
      <c r="AT221" s="332">
        <f>SUM('MasterA1(current$)'!AT221)/0.8912</f>
        <v>794.43447037701981</v>
      </c>
      <c r="AU221" s="332">
        <f>SUM('MasterA1(current$)'!AU221)/0.91988</f>
        <v>940.34004435361135</v>
      </c>
      <c r="AV221" s="192">
        <f>SUM('MasterA1(current$)'!AV221)/0.94814</f>
        <v>919.69540363237502</v>
      </c>
      <c r="AW221" s="192">
        <f>SUM('MasterA1(current$)'!AW221)/0.97337</f>
        <v>851.68024492228039</v>
      </c>
      <c r="AX221" s="239">
        <f>('MasterA1(current$)'!AX221*100)/99.246</f>
        <v>885.67801221207912</v>
      </c>
      <c r="AY221" s="420">
        <f>SUM('MasterA1(current$)'!AY221)</f>
        <v>952</v>
      </c>
      <c r="AZ221" s="417">
        <f>SUM('MasterA1(current$)'!AZ221*100)/101.221</f>
        <v>990.90109759832444</v>
      </c>
      <c r="BA221" s="417">
        <f>SUM('MasterA1(current$)'!BA221*100)/103.311</f>
        <v>1123.791271016639</v>
      </c>
      <c r="BB221" s="417">
        <f>SUM('MasterA1(current$)'!BB221*100)/105.214</f>
        <v>1121.5237515919935</v>
      </c>
      <c r="BC221" s="417">
        <f>SUM('MasterA1(current$)'!BC221*100)/106.913</f>
        <v>1202.8471748056832</v>
      </c>
      <c r="BD221" s="417">
        <f>SUM('MasterA1(current$)'!BD221*100)/108.828</f>
        <v>1189.9511155217408</v>
      </c>
      <c r="BE221" s="417">
        <f>SUM('MasterA1(current$)'!BE221*100)/109.998</f>
        <v>1293.6598847251767</v>
      </c>
      <c r="BF221" s="539">
        <f>SUM('MasterA1(current$)'!BF221*100)/111.298</f>
        <v>1467.2321155815916</v>
      </c>
      <c r="BG221" s="539">
        <f>SUM('MasterA1(current$)'!BG221*100)/113.198</f>
        <v>1428.4704676761075</v>
      </c>
      <c r="BH221" s="539">
        <f>SUM('MasterA1(current$)'!BH221*100)/115.198</f>
        <v>1457.4905814337055</v>
      </c>
      <c r="BI221" s="385">
        <f t="shared" ref="BI221" si="117">(BG221-BF221)/BF221</f>
        <v>-2.6418211197700974E-2</v>
      </c>
      <c r="BJ221" s="385">
        <f t="shared" ref="BJ221" si="118">(BH221-BG221)/BG221</f>
        <v>2.031551538115384E-2</v>
      </c>
      <c r="BK221" s="569">
        <f t="shared" ref="BK221" si="119">BG221-BF221</f>
        <v>-38.761647905484097</v>
      </c>
      <c r="BL221" s="569">
        <f t="shared" ref="BL221" si="120">BH221-BG221</f>
        <v>29.020113757597983</v>
      </c>
    </row>
    <row r="222" spans="1:64" ht="11.1" customHeight="1">
      <c r="A222" s="128" t="s">
        <v>52</v>
      </c>
      <c r="B222" s="119">
        <f>SUM('MasterA1(current$)'!B222)/0.1756</f>
        <v>273.34851936218678</v>
      </c>
      <c r="C222" s="118">
        <f>SUM('MasterA1(current$)'!C222)/0.178</f>
        <v>308.98876404494382</v>
      </c>
      <c r="D222" s="118">
        <f>SUM('MasterA1(current$)'!D222)/0.1798</f>
        <v>333.70411568409344</v>
      </c>
      <c r="E222" s="464">
        <f>SUM('MasterA1(current$)'!E222)/0.182</f>
        <v>362.63736263736263</v>
      </c>
      <c r="F222" s="464">
        <f>SUM('MasterA1(current$)'!F222)/0.1842</f>
        <v>374.5928338762215</v>
      </c>
      <c r="G222" s="464">
        <f>SUM('MasterA1(current$)'!G222)/0.18702</f>
        <v>411.72067158592665</v>
      </c>
      <c r="H222" s="464">
        <f>SUM('MasterA1(current$)'!H222)/0.19227</f>
        <v>421.2825713839913</v>
      </c>
      <c r="I222" s="464">
        <f>SUM('MasterA1(current$)'!I222)/0.19786</f>
        <v>429.59668452441116</v>
      </c>
      <c r="J222" s="464">
        <f>SUM('MasterA1(current$)'!J222)/0.20627</f>
        <v>441.16934115479711</v>
      </c>
      <c r="K222" s="464">
        <f>SUM('MasterA1(current$)'!K222)/0.21642</f>
        <v>457.4438591627391</v>
      </c>
      <c r="L222" s="464">
        <f>SUM('MasterA1(current$)'!L222)/0.22784</f>
        <v>495.96207865168543</v>
      </c>
      <c r="M222" s="464">
        <f>SUM('MasterA1(current$)'!M222)/0.23941</f>
        <v>522.11687064032412</v>
      </c>
      <c r="N222" s="464">
        <f>SUM('MasterA1(current$)'!N222)/0.24978</f>
        <v>552.4861878453039</v>
      </c>
      <c r="O222" s="464">
        <f>SUM('MasterA1(current$)'!O222)/0.26337</f>
        <v>565.74401032767594</v>
      </c>
      <c r="P222" s="464">
        <f>SUM('MasterA1(current$)'!P222)/0.28703</f>
        <v>609.6923666515695</v>
      </c>
      <c r="Q222" s="464">
        <f>SUM('MasterA1(current$)'!Q222)/0.31361</f>
        <v>624.98007078855903</v>
      </c>
      <c r="R222" s="464">
        <f>SUM('MasterA1(current$)'!R222)/0.33083</f>
        <v>701.26651150137525</v>
      </c>
      <c r="S222" s="464">
        <f>SUM('MasterA1(current$)'!S222)/0.35135</f>
        <v>734.31051657890998</v>
      </c>
      <c r="T222" s="464">
        <f>SUM('MasterA1(current$)'!T222)/0.37602</f>
        <v>776.55443859369177</v>
      </c>
      <c r="U222" s="464">
        <f>SUM('MasterA1(current$)'!U222)/0.40706</f>
        <v>776.29833439787751</v>
      </c>
      <c r="V222" s="464">
        <f>SUM('MasterA1(current$)'!V222)/0.44377</f>
        <v>831.51181918561417</v>
      </c>
      <c r="W222" s="464">
        <f>SUM('MasterA1(current$)'!W222)/0.4852</f>
        <v>791.42621599340475</v>
      </c>
      <c r="X222" s="464">
        <f>SUM('MasterA1(current$)'!X222)/0.5153</f>
        <v>754.90005821851355</v>
      </c>
      <c r="Y222" s="464">
        <f>SUM('MasterA1(current$)'!Y222)/0.53565</f>
        <v>789.69476337160461</v>
      </c>
      <c r="Z222" s="464">
        <f>SUM('MasterA1(current$)'!Z222)/0.55466</f>
        <v>823.92817221360826</v>
      </c>
      <c r="AA222" s="464">
        <f>SUM('MasterA1(current$)'!AA222)/0.5724</f>
        <v>885.74423480083851</v>
      </c>
      <c r="AB222" s="464">
        <f>SUM('MasterA1(current$)'!AB222)/0.58395</f>
        <v>904.18700231184187</v>
      </c>
      <c r="AC222" s="464">
        <f>SUM('MasterA1(current$)'!AC222)/0.59885</f>
        <v>948.48459547465973</v>
      </c>
      <c r="AD222" s="464">
        <f>SUM('MasterA1(current$)'!AD222)/0.61982</f>
        <v>993.83692039624395</v>
      </c>
      <c r="AE222" s="464">
        <f>SUM('MasterA1(current$)'!AE222)/0.64392</f>
        <v>1093.3035159647161</v>
      </c>
      <c r="AF222" s="464">
        <f>SUM('MasterA1(current$)'!AF222)/0.66773</f>
        <v>1105.2371467509322</v>
      </c>
      <c r="AG222" s="464">
        <f>SUM('MasterA1(current$)'!AG222)/0.68996</f>
        <v>1187.0253348020174</v>
      </c>
      <c r="AH222" s="464">
        <f>SUM('MasterA1(current$)'!AH222)/0.70569</f>
        <v>1307.9397469143673</v>
      </c>
      <c r="AI222" s="464">
        <f>SUM('MasterA1(current$)'!AI222)/0.72248</f>
        <v>1403.4990587974753</v>
      </c>
      <c r="AJ222" s="464">
        <f>SUM('MasterA1(current$)'!AJ222)/0.73785</f>
        <v>1493.5284949515485</v>
      </c>
      <c r="AK222" s="464">
        <f>SUM('MasterA1(current$)'!AK222)/0.75324</f>
        <v>1540.0138070203388</v>
      </c>
      <c r="AL222" s="464">
        <f>SUM('MasterA1(current$)'!AL222)/0.76699</f>
        <v>1582.8107276496435</v>
      </c>
      <c r="AM222" s="464">
        <f>SUM('MasterA1(current$)'!AM222)/0.78012</f>
        <v>1763.8312054555709</v>
      </c>
      <c r="AN222" s="464">
        <f>SUM('MasterA1(current$)'!AN222)/0.78859</f>
        <v>1793.0737138436957</v>
      </c>
      <c r="AO222" s="464">
        <f>SUM('MasterA1(current$)'!AO222)/0.80065</f>
        <v>1989.6334228439393</v>
      </c>
      <c r="AP222" s="138">
        <f>SUM('MasterA1(current$)'!AP222)/0.81887</f>
        <v>2058.934873667371</v>
      </c>
      <c r="AQ222" s="138">
        <f>SUM('MasterA1(current$)'!AQ222)/0.83754</f>
        <v>2290.0398786923611</v>
      </c>
      <c r="AR222" s="138">
        <f>SUM('MasterA1(current$)'!AR222)/0.85039</f>
        <v>2554.1222262726515</v>
      </c>
      <c r="AS222" s="138">
        <f>SUM('MasterA1(current$)'!AS222)/0.86735</f>
        <v>2490.3441517265233</v>
      </c>
      <c r="AT222" s="138">
        <f>SUM('MasterA1(current$)'!AT222)/0.8912</f>
        <v>2885.9964093357271</v>
      </c>
      <c r="AU222" s="138">
        <f>SUM('MasterA1(current$)'!AU222)/0.91988</f>
        <v>3152.5851197982342</v>
      </c>
      <c r="AV222" s="134">
        <f>SUM('MasterA1(current$)'!AV222)/0.94814</f>
        <v>3207.3322505115279</v>
      </c>
      <c r="AW222" s="134">
        <f>SUM('MasterA1(current$)'!AW222)/0.97337</f>
        <v>3410.5921858512479</v>
      </c>
      <c r="AX222" s="669">
        <f>('MasterA1(current$)'!AX222*100)/99.246</f>
        <v>3508.8087992990963</v>
      </c>
      <c r="AY222" s="418">
        <f>SUM('MasterA1(current$)'!AY222)</f>
        <v>3702</v>
      </c>
      <c r="AZ222" s="418">
        <f>SUM('MasterA1(current$)'!AZ222*100)/101.221</f>
        <v>3724.5235672439512</v>
      </c>
      <c r="BA222" s="418">
        <f>SUM('MasterA1(current$)'!BA222*100)/103.311</f>
        <v>3985.0548344319577</v>
      </c>
      <c r="BB222" s="418">
        <f>SUM('MasterA1(current$)'!BB222*100)/105.214</f>
        <v>4139.1829984602809</v>
      </c>
      <c r="BC222" s="418">
        <f>SUM('MasterA1(current$)'!BC222*100)/106.913</f>
        <v>4368.0375632523646</v>
      </c>
      <c r="BD222" s="418">
        <f>SUM('MasterA1(current$)'!BD222*100)/108.828</f>
        <v>4445.5471018487888</v>
      </c>
      <c r="BE222" s="418">
        <f>SUM('MasterA1(current$)'!BE222*100)/109.998</f>
        <v>4825.4543044477641</v>
      </c>
      <c r="BF222" s="632">
        <f>SUM('MasterA1(current$)'!BF222*100)/111.298</f>
        <v>5160.0208449388128</v>
      </c>
      <c r="BG222" s="632">
        <f>SUM('MasterA1(current$)'!BG222*100)/113.198</f>
        <v>5127.2990688881428</v>
      </c>
      <c r="BH222" s="632">
        <f>SUM('MasterA1(current$)'!BH222*100)/115.198</f>
        <v>5296.9669612319658</v>
      </c>
      <c r="BI222" s="415">
        <f t="shared" ref="BI222:BJ224" si="121">(BG222-BF222)/BF222</f>
        <v>-6.3414038497083044E-3</v>
      </c>
      <c r="BJ222" s="415">
        <f t="shared" si="121"/>
        <v>3.3091085591895386E-2</v>
      </c>
      <c r="BK222" s="572">
        <f t="shared" ref="BK222:BL224" si="122">BG222-BF222</f>
        <v>-32.721776050670087</v>
      </c>
      <c r="BL222" s="572">
        <f t="shared" si="122"/>
        <v>169.66789234382304</v>
      </c>
    </row>
    <row r="223" spans="1:64" ht="11.1" customHeight="1" thickBot="1">
      <c r="A223" s="130" t="s">
        <v>53</v>
      </c>
      <c r="B223" s="145">
        <f>SUM('MasterA1(current$)'!B223)/0.1756</f>
        <v>1019.3621867881549</v>
      </c>
      <c r="C223" s="146">
        <f>SUM('MasterA1(current$)'!C223)/0.178</f>
        <v>1174.1573033707866</v>
      </c>
      <c r="D223" s="146">
        <f>SUM('MasterA1(current$)'!D223)/0.1798</f>
        <v>1195.7730812013349</v>
      </c>
      <c r="E223" s="485">
        <f>SUM('MasterA1(current$)'!E223)/0.182</f>
        <v>1368.1318681318683</v>
      </c>
      <c r="F223" s="485">
        <f>SUM('MasterA1(current$)'!F223)/0.1842</f>
        <v>1460.3691639522258</v>
      </c>
      <c r="G223" s="485">
        <f>SUM('MasterA1(current$)'!G223)/0.18702</f>
        <v>1689.6588600149717</v>
      </c>
      <c r="H223" s="485">
        <f>SUM('MasterA1(current$)'!H223)/0.19227</f>
        <v>1607.1149945389297</v>
      </c>
      <c r="I223" s="485">
        <f>SUM('MasterA1(current$)'!I223)/0.19786</f>
        <v>1738.6030526634993</v>
      </c>
      <c r="J223" s="485">
        <f>SUM('MasterA1(current$)'!J223)/0.20627</f>
        <v>1818.0055267368011</v>
      </c>
      <c r="K223" s="485">
        <f>SUM('MasterA1(current$)'!K223)/0.21642</f>
        <v>1862.1199519452916</v>
      </c>
      <c r="L223" s="485">
        <f>SUM('MasterA1(current$)'!L223)/0.22784</f>
        <v>2137.4648876404494</v>
      </c>
      <c r="M223" s="485">
        <f>SUM('MasterA1(current$)'!M223)/0.23941</f>
        <v>2343.2605154337748</v>
      </c>
      <c r="N223" s="485">
        <f>SUM('MasterA1(current$)'!N223)/0.24978</f>
        <v>2213.9482744815436</v>
      </c>
      <c r="O223" s="485">
        <f>SUM('MasterA1(current$)'!O223)/0.26337</f>
        <v>1845.3126779815468</v>
      </c>
      <c r="P223" s="485">
        <f>SUM('MasterA1(current$)'!P223)/0.28703</f>
        <v>2114.7615231857299</v>
      </c>
      <c r="Q223" s="485">
        <f>SUM('MasterA1(current$)'!Q223)/0.31361</f>
        <v>2432.9581327126048</v>
      </c>
      <c r="R223" s="485">
        <f>SUM('MasterA1(current$)'!R223)/0.33083</f>
        <v>2608.5905147658918</v>
      </c>
      <c r="S223" s="485">
        <f>SUM('MasterA1(current$)'!S223)/0.35135</f>
        <v>2701.0103885014942</v>
      </c>
      <c r="T223" s="485">
        <f>SUM('MasterA1(current$)'!T223)/0.37602</f>
        <v>2561.0339875538534</v>
      </c>
      <c r="U223" s="485">
        <f>SUM('MasterA1(current$)'!U223)/0.40706</f>
        <v>2564.7324718714685</v>
      </c>
      <c r="V223" s="485">
        <f>SUM('MasterA1(current$)'!V223)/0.44377</f>
        <v>2810.0141965432545</v>
      </c>
      <c r="W223" s="485">
        <f>SUM('MasterA1(current$)'!W223)/0.4852</f>
        <v>2514.427040395713</v>
      </c>
      <c r="X223" s="485">
        <f>SUM('MasterA1(current$)'!X223)/0.5153</f>
        <v>2693.5765573452359</v>
      </c>
      <c r="Y223" s="485">
        <f>SUM('MasterA1(current$)'!Y223)/0.53565</f>
        <v>2632.3158779053488</v>
      </c>
      <c r="Z223" s="485">
        <f>SUM('MasterA1(current$)'!Z223)/0.55466</f>
        <v>2754.8408033750402</v>
      </c>
      <c r="AA223" s="485">
        <f>SUM('MasterA1(current$)'!AA223)/0.5724</f>
        <v>2982.1802935010483</v>
      </c>
      <c r="AB223" s="485">
        <f>SUM('MasterA1(current$)'!AB223)/0.58395</f>
        <v>3436.9380940148985</v>
      </c>
      <c r="AC223" s="485">
        <f>SUM('MasterA1(current$)'!AC223)/0.59885</f>
        <v>2974.0335643316357</v>
      </c>
      <c r="AD223" s="485">
        <f>SUM('MasterA1(current$)'!AD223)/0.61982</f>
        <v>3407.4408699299793</v>
      </c>
      <c r="AE223" s="485">
        <f>SUM('MasterA1(current$)'!AE223)/0.64392</f>
        <v>3534.6005714995649</v>
      </c>
      <c r="AF223" s="485">
        <f>SUM('MasterA1(current$)'!AF223)/0.66773</f>
        <v>3833.8849534991687</v>
      </c>
      <c r="AG223" s="485">
        <f>SUM('MasterA1(current$)'!AG223)/0.68996</f>
        <v>3687.1702707403329</v>
      </c>
      <c r="AH223" s="485">
        <f>SUM('MasterA1(current$)'!AH223)/0.70569</f>
        <v>4045.6857827091212</v>
      </c>
      <c r="AI223" s="485">
        <f>SUM('MasterA1(current$)'!AI223)/0.72248</f>
        <v>4620.1970988816302</v>
      </c>
      <c r="AJ223" s="485">
        <f>SUM('MasterA1(current$)'!AJ223)/0.73785</f>
        <v>4305.7532018702987</v>
      </c>
      <c r="AK223" s="485">
        <f>SUM('MasterA1(current$)'!AK223)/0.75324</f>
        <v>5006.3724709256012</v>
      </c>
      <c r="AL223" s="485">
        <f>SUM('MasterA1(current$)'!AL223)/0.76699</f>
        <v>4618.0523866021722</v>
      </c>
      <c r="AM223" s="485">
        <f>SUM('MasterA1(current$)'!AM223)/0.78012</f>
        <v>4980.0030764497769</v>
      </c>
      <c r="AN223" s="485">
        <f>SUM('MasterA1(current$)'!AN223)/0.78859</f>
        <v>4874.5228826132716</v>
      </c>
      <c r="AO223" s="485">
        <f>SUM('MasterA1(current$)'!AO223)/0.80065</f>
        <v>5113.345406856929</v>
      </c>
      <c r="AP223" s="147">
        <f>SUM('MasterA1(current$)'!AP223)/0.81887</f>
        <v>5380.5854409124768</v>
      </c>
      <c r="AQ223" s="147">
        <f>SUM('MasterA1(current$)'!AQ223)/0.83754</f>
        <v>5512.5725338491302</v>
      </c>
      <c r="AR223" s="147">
        <f>SUM('MasterA1(current$)'!AR223)/0.85039</f>
        <v>5927.8683897976225</v>
      </c>
      <c r="AS223" s="147">
        <f>SUM('MasterA1(current$)'!AS223)/0.86735</f>
        <v>5863.8381276301379</v>
      </c>
      <c r="AT223" s="147">
        <f>SUM('MasterA1(current$)'!AT223)/0.8912</f>
        <v>6354.3536804308796</v>
      </c>
      <c r="AU223" s="147">
        <f>SUM('MasterA1(current$)'!AU223)/0.91988</f>
        <v>6446.4930208288033</v>
      </c>
      <c r="AV223" s="147">
        <f>SUM('MasterA1(current$)'!AV223)/0.94814</f>
        <v>6700.4872698124755</v>
      </c>
      <c r="AW223" s="147">
        <f>SUM('MasterA1(current$)'!AW223)/0.97337</f>
        <v>6948.6117856232013</v>
      </c>
      <c r="AX223" s="670">
        <f>SUM('MasterA1(current$)'!AX223*100)/99.246</f>
        <v>7305.3239136462234</v>
      </c>
      <c r="AY223" s="436">
        <f>SUM('MasterA1(current$)'!AY223)</f>
        <v>7861</v>
      </c>
      <c r="AZ223" s="436">
        <f>SUM('MasterA1(current$)'!AZ223*100)/101.221</f>
        <v>8120.8444887918513</v>
      </c>
      <c r="BA223" s="436">
        <f>SUM('MasterA1(current$)'!BA223*100)/103.311</f>
        <v>8713.4961427147155</v>
      </c>
      <c r="BB223" s="436">
        <f>SUM('MasterA1(current$)'!BB223*100)/105.214</f>
        <v>9079.59016860874</v>
      </c>
      <c r="BC223" s="436">
        <f>SUM('MasterA1(current$)'!BC223*100)/106.913</f>
        <v>9707.8933338321822</v>
      </c>
      <c r="BD223" s="436">
        <f>SUM('MasterA1(current$)'!BD223*100)/108.828</f>
        <v>9745.4298211079458</v>
      </c>
      <c r="BE223" s="436">
        <f>SUM('MasterA1(current$)'!BE223*100)/109.998</f>
        <v>10283.735364103393</v>
      </c>
      <c r="BF223" s="651">
        <f>SUM('MasterA1(current$)'!BF223*100)/111.298</f>
        <v>10974.141494007079</v>
      </c>
      <c r="BG223" s="651">
        <f>SUM('MasterA1(current$)'!BG223*100)/113.198</f>
        <v>11059.382674605558</v>
      </c>
      <c r="BH223" s="651">
        <f>SUM('MasterA1(current$)'!BH223*100)/115.198</f>
        <v>11170.332818278095</v>
      </c>
      <c r="BI223" s="422">
        <f t="shared" si="121"/>
        <v>7.7674577683392448E-3</v>
      </c>
      <c r="BJ223" s="422">
        <f t="shared" si="121"/>
        <v>1.0032218518606775E-2</v>
      </c>
      <c r="BK223" s="574">
        <f t="shared" si="122"/>
        <v>85.241180598479332</v>
      </c>
      <c r="BL223" s="574">
        <f t="shared" si="122"/>
        <v>110.9501436725368</v>
      </c>
    </row>
    <row r="224" spans="1:64" ht="15.75" customHeight="1" thickBot="1">
      <c r="A224" s="169" t="s">
        <v>54</v>
      </c>
      <c r="B224" s="596">
        <f>SUM('MasterA1(current$)'!B224)/0.1756</f>
        <v>3035.3075170842822</v>
      </c>
      <c r="C224" s="597">
        <f>SUM('MasterA1(current$)'!C224)/0.178</f>
        <v>3539.3258426966295</v>
      </c>
      <c r="D224" s="597">
        <f>SUM('MasterA1(current$)'!D224)/0.1798</f>
        <v>3882.0912124582874</v>
      </c>
      <c r="E224" s="598">
        <f>SUM('MasterA1(current$)'!E224)/0.182</f>
        <v>4401.0989010989015</v>
      </c>
      <c r="F224" s="598">
        <f>SUM('MasterA1(current$)'!F224)/0.1842</f>
        <v>4663.4093376764386</v>
      </c>
      <c r="G224" s="598">
        <f>SUM('MasterA1(current$)'!G224)/0.18702</f>
        <v>4919.2599721954875</v>
      </c>
      <c r="H224" s="598">
        <f>SUM('MasterA1(current$)'!H224)/0.19227</f>
        <v>4966.1413637072865</v>
      </c>
      <c r="I224" s="598">
        <f>SUM('MasterA1(current$)'!I224)/0.19786</f>
        <v>5286.5662589709891</v>
      </c>
      <c r="J224" s="598">
        <f>SUM('MasterA1(current$)'!J224)/0.20627</f>
        <v>5790.9536044989572</v>
      </c>
      <c r="K224" s="598">
        <f>SUM('MasterA1(current$)'!K224)/0.21642</f>
        <v>6284.077257185103</v>
      </c>
      <c r="L224" s="598">
        <f>SUM('MasterA1(current$)'!L224)/0.22784</f>
        <v>6953.9940308988771</v>
      </c>
      <c r="M224" s="598">
        <f>SUM('MasterA1(current$)'!M224)/0.23941</f>
        <v>8308.0656614176514</v>
      </c>
      <c r="N224" s="598">
        <f>SUM('MasterA1(current$)'!N224)/0.24978</f>
        <v>9521.6230282648721</v>
      </c>
      <c r="O224" s="598">
        <f>SUM('MasterA1(current$)'!O224)/0.26337</f>
        <v>11444.754527850553</v>
      </c>
      <c r="P224" s="598">
        <f>SUM('MasterA1(current$)'!P224)/0.28703</f>
        <v>11184.322196286103</v>
      </c>
      <c r="Q224" s="598">
        <f>SUM('MasterA1(current$)'!Q224)/0.31361</f>
        <v>12403.759446446224</v>
      </c>
      <c r="R224" s="598">
        <f>SUM('MasterA1(current$)'!R224)/0.33083</f>
        <v>13796.221624399237</v>
      </c>
      <c r="S224" s="598">
        <f>SUM('MasterA1(current$)'!S224)/0.35135</f>
        <v>14529.417959299844</v>
      </c>
      <c r="T224" s="598">
        <f>SUM('MasterA1(current$)'!T224)/0.37602</f>
        <v>14738.505930535608</v>
      </c>
      <c r="U224" s="598">
        <f>SUM('MasterA1(current$)'!U224)/0.40706</f>
        <v>15246.85795705793</v>
      </c>
      <c r="V224" s="598">
        <f>SUM('MasterA1(current$)'!V224)/0.44377</f>
        <v>16455.731572661512</v>
      </c>
      <c r="W224" s="598">
        <f>SUM('MasterA1(current$)'!W224)/0.4852</f>
        <v>15777.734954657872</v>
      </c>
      <c r="X224" s="598">
        <f>SUM('MasterA1(current$)'!X224)/0.5153</f>
        <v>14735.389093731806</v>
      </c>
      <c r="Y224" s="598">
        <f>SUM('MasterA1(current$)'!Y224)/0.53565</f>
        <v>14740.27256604126</v>
      </c>
      <c r="Z224" s="598">
        <f>SUM('MasterA1(current$)'!Z224)/0.55466</f>
        <v>15094.840082212528</v>
      </c>
      <c r="AA224" s="598">
        <f>SUM('MasterA1(current$)'!AA224)/0.5724</f>
        <v>15585.209643605867</v>
      </c>
      <c r="AB224" s="598">
        <f>SUM('MasterA1(current$)'!AB224)/0.58395</f>
        <v>16304.019179724291</v>
      </c>
      <c r="AC224" s="598">
        <f>SUM('MasterA1(current$)'!AC224)/0.59885</f>
        <v>16748.427819988312</v>
      </c>
      <c r="AD224" s="598">
        <f>SUM('MasterA1(current$)'!AD224)/0.61982</f>
        <v>18174.124745893969</v>
      </c>
      <c r="AE224" s="598">
        <f>SUM('MasterA1(current$)'!AE224)/0.64392</f>
        <v>19225.302832650017</v>
      </c>
      <c r="AF224" s="598">
        <f>SUM('MasterA1(current$)'!AF224)/0.66773</f>
        <v>20492.067152891137</v>
      </c>
      <c r="AG224" s="598">
        <f>SUM('MasterA1(current$)'!AG224)/0.68996</f>
        <v>21922.282451156589</v>
      </c>
      <c r="AH224" s="598">
        <f>SUM('MasterA1(current$)'!AH224)/0.70569</f>
        <v>24011.320834927516</v>
      </c>
      <c r="AI224" s="598">
        <f>SUM('MasterA1(current$)'!AI224)/0.72248</f>
        <v>24687.553980733028</v>
      </c>
      <c r="AJ224" s="598">
        <f>SUM('MasterA1(current$)'!AJ224)/0.73785</f>
        <v>24667.13559666599</v>
      </c>
      <c r="AK224" s="598">
        <f>SUM('MasterA1(current$)'!AK224)/0.75324</f>
        <v>25853.645584408689</v>
      </c>
      <c r="AL224" s="598">
        <f>SUM('MasterA1(current$)'!AL224)/0.76699</f>
        <v>25291.072895344139</v>
      </c>
      <c r="AM224" s="598">
        <f>SUM('MasterA1(current$)'!AM224)/0.78012</f>
        <v>26666.410295851918</v>
      </c>
      <c r="AN224" s="598">
        <f>SUM('MasterA1(current$)'!AN224)/0.78859</f>
        <v>28501.502682002054</v>
      </c>
      <c r="AO224" s="598">
        <f>SUM('MasterA1(current$)'!AO224)/0.80065</f>
        <v>29548.491850371574</v>
      </c>
      <c r="AP224" s="599">
        <f>SUM('MasterA1(current$)'!AP224)/0.81887</f>
        <v>31036.195860308784</v>
      </c>
      <c r="AQ224" s="599">
        <f>SUM('MasterA1(current$)'!AQ224)/0.83754</f>
        <v>32338.239507279613</v>
      </c>
      <c r="AR224" s="599">
        <f>SUM('MasterA1(current$)'!AR224)/0.85039</f>
        <v>37742.4181251271</v>
      </c>
      <c r="AS224" s="599">
        <f>SUM('MasterA1(current$)'!AS224)/0.86735</f>
        <v>46728.540958090736</v>
      </c>
      <c r="AT224" s="599">
        <f>SUM('MasterA1(current$)'!AT224)/0.8912</f>
        <v>42324.95511669659</v>
      </c>
      <c r="AU224" s="599">
        <f>SUM('MasterA1(current$)'!AU224)/0.91988</f>
        <v>42764.273600904467</v>
      </c>
      <c r="AV224" s="599">
        <f>SUM('MasterA1(current$)'!AV224)/0.94814</f>
        <v>44282.489927647817</v>
      </c>
      <c r="AW224" s="599">
        <f>SUM('MasterA1(current$)'!AW224)/0.97337</f>
        <v>44993.85784146683</v>
      </c>
      <c r="AX224" s="673">
        <f>SUM('MasterA1(current$)'!AX224*100)/99.246</f>
        <v>47652.468513860906</v>
      </c>
      <c r="AY224" s="442">
        <f>SUM('MasterA1(current$)'!AY224)</f>
        <v>51403</v>
      </c>
      <c r="AZ224" s="442">
        <f>SUM('MasterA1(current$)'!AZ224*100)/101.221</f>
        <v>53236.97651673072</v>
      </c>
      <c r="BA224" s="442">
        <f>SUM('MasterA1(current$)'!BA224*100)/103.311</f>
        <v>54293.347271829713</v>
      </c>
      <c r="BB224" s="442">
        <f>SUM('MasterA1(current$)'!BB224*100)/105.214</f>
        <v>54922.348736860113</v>
      </c>
      <c r="BC224" s="442">
        <f>SUM('MasterA1(current$)'!BC224*100)/106.913</f>
        <v>53927.02477715526</v>
      </c>
      <c r="BD224" s="442">
        <f>SUM('MasterA1(current$)'!BD224*100)/108.828</f>
        <v>54169.658879806069</v>
      </c>
      <c r="BE224" s="442">
        <f>SUM('MasterA1(current$)'!BE224*100)/109.998</f>
        <v>55419.991331923527</v>
      </c>
      <c r="BF224" s="665">
        <f>SUM('MasterA1(current$)'!BF224*100)/111.298</f>
        <v>57218.458552714335</v>
      </c>
      <c r="BG224" s="665">
        <f>SUM('MasterA1(current$)'!BG224*100)/113.198</f>
        <v>58213.926041096136</v>
      </c>
      <c r="BH224" s="665">
        <f>SUM('MasterA1(current$)'!BH224*100)/115.198</f>
        <v>60203.30214066217</v>
      </c>
      <c r="BI224" s="600">
        <f t="shared" si="121"/>
        <v>1.7397663508615744E-2</v>
      </c>
      <c r="BJ224" s="600">
        <f t="shared" si="121"/>
        <v>3.4173542910705484E-2</v>
      </c>
      <c r="BK224" s="601">
        <f t="shared" si="122"/>
        <v>995.46748838180065</v>
      </c>
      <c r="BL224" s="601">
        <f t="shared" si="122"/>
        <v>1989.3760995660341</v>
      </c>
    </row>
    <row r="225" spans="1:88" s="182" customFormat="1" ht="11.1" customHeight="1" thickTop="1">
      <c r="A225" s="186" t="s">
        <v>55</v>
      </c>
      <c r="B225" s="676"/>
      <c r="C225" s="677"/>
      <c r="D225" s="678"/>
      <c r="E225" s="678"/>
      <c r="F225" s="678"/>
      <c r="G225" s="678"/>
      <c r="H225" s="678"/>
      <c r="I225" s="678"/>
      <c r="J225" s="678"/>
      <c r="K225" s="678"/>
      <c r="L225" s="678"/>
      <c r="M225" s="678"/>
      <c r="N225" s="678"/>
      <c r="O225" s="678"/>
      <c r="P225" s="678"/>
      <c r="Q225" s="678"/>
      <c r="R225" s="678"/>
      <c r="S225" s="678"/>
      <c r="T225" s="678"/>
      <c r="U225" s="678"/>
      <c r="V225" s="678"/>
      <c r="W225" s="678"/>
      <c r="X225" s="678"/>
      <c r="Y225" s="678"/>
      <c r="Z225" s="678"/>
      <c r="AA225" s="678"/>
      <c r="AB225" s="678"/>
      <c r="AC225" s="678"/>
      <c r="AD225" s="678"/>
      <c r="AE225" s="678"/>
      <c r="AF225" s="678"/>
      <c r="AG225" s="678"/>
      <c r="AH225" s="678"/>
      <c r="AI225" s="678"/>
      <c r="AJ225" s="678"/>
      <c r="AK225" s="678"/>
      <c r="AL225" s="678"/>
      <c r="AM225" s="679"/>
      <c r="AN225" s="221"/>
      <c r="AO225" s="680"/>
      <c r="AP225" s="680"/>
      <c r="AQ225" s="681"/>
      <c r="AR225" s="631"/>
      <c r="AS225" s="221"/>
      <c r="AT225" s="221"/>
      <c r="AU225" s="221"/>
      <c r="AV225" s="221"/>
      <c r="AW225" s="661"/>
      <c r="AX225" s="661"/>
      <c r="AY225" s="443"/>
      <c r="AZ225" s="666"/>
      <c r="BA225" s="666"/>
      <c r="BB225" s="635"/>
      <c r="BC225" s="635"/>
      <c r="BD225" s="533"/>
      <c r="BE225" s="682"/>
      <c r="BF225" s="402"/>
      <c r="BG225" s="402"/>
      <c r="BH225" s="402"/>
      <c r="BI225" s="402"/>
      <c r="BJ225" s="402"/>
      <c r="BK225" s="402"/>
      <c r="BL225" s="402"/>
      <c r="BM225" s="402"/>
      <c r="BN225" s="402"/>
      <c r="BO225" s="402"/>
      <c r="BP225" s="402"/>
      <c r="BQ225" s="402"/>
      <c r="BR225" s="402"/>
      <c r="BS225" s="402"/>
      <c r="BT225" s="402"/>
      <c r="BU225" s="402"/>
      <c r="BV225" s="402"/>
      <c r="BW225" s="402"/>
      <c r="BX225" s="402"/>
      <c r="BY225" s="402"/>
      <c r="BZ225" s="402"/>
      <c r="CA225" s="402"/>
      <c r="CB225" s="402"/>
      <c r="CC225" s="402"/>
    </row>
    <row r="226" spans="1:88" s="182" customFormat="1" ht="11.1" customHeight="1">
      <c r="A226" s="186" t="s">
        <v>59</v>
      </c>
      <c r="B226" s="676" t="s">
        <v>71</v>
      </c>
      <c r="C226" s="683"/>
      <c r="D226" s="183"/>
      <c r="E226" s="661"/>
      <c r="F226" s="661"/>
      <c r="G226" s="661"/>
      <c r="H226" s="661"/>
      <c r="I226" s="661"/>
      <c r="J226" s="661"/>
      <c r="K226" s="661"/>
      <c r="L226" s="661"/>
      <c r="M226" s="661"/>
      <c r="N226" s="661"/>
      <c r="O226" s="661"/>
      <c r="P226" s="661"/>
      <c r="Q226" s="661"/>
      <c r="R226" s="661"/>
      <c r="S226" s="661"/>
      <c r="T226" s="661"/>
      <c r="U226" s="661"/>
      <c r="V226" s="661"/>
      <c r="W226" s="661"/>
      <c r="X226" s="661"/>
      <c r="Y226" s="661"/>
      <c r="Z226" s="661"/>
      <c r="AA226" s="661"/>
      <c r="AB226" s="661"/>
      <c r="AC226" s="678"/>
      <c r="AD226" s="678"/>
      <c r="AE226" s="661"/>
      <c r="AF226" s="678"/>
      <c r="AG226" s="661"/>
      <c r="AH226" s="221"/>
      <c r="AI226" s="221"/>
      <c r="AJ226" s="221"/>
      <c r="AK226" s="221"/>
      <c r="AL226" s="221"/>
      <c r="AM226" s="680"/>
      <c r="AN226" s="221"/>
      <c r="AO226" s="221"/>
      <c r="AP226" s="221"/>
      <c r="AQ226" s="661"/>
      <c r="AR226" s="661"/>
      <c r="AS226" s="661"/>
      <c r="AT226" s="221"/>
      <c r="AU226" s="221"/>
      <c r="AV226" s="221"/>
      <c r="AW226" s="661"/>
      <c r="AX226" s="661"/>
      <c r="AY226" s="443"/>
      <c r="AZ226" s="443"/>
      <c r="BA226" s="443"/>
      <c r="BB226" s="443"/>
      <c r="BC226" s="533"/>
      <c r="BD226" s="533"/>
      <c r="BE226" s="533"/>
      <c r="BF226" s="682"/>
      <c r="BG226" s="402"/>
      <c r="BH226" s="402"/>
      <c r="BI226" s="402"/>
      <c r="BJ226" s="402"/>
      <c r="BK226" s="402"/>
      <c r="BL226" s="402"/>
      <c r="BM226" s="402"/>
      <c r="BN226" s="402"/>
      <c r="BO226" s="402"/>
      <c r="BP226" s="402"/>
      <c r="BQ226" s="402"/>
      <c r="BR226" s="402"/>
      <c r="BS226" s="402"/>
      <c r="BT226" s="402"/>
      <c r="BU226" s="402"/>
      <c r="BV226" s="402"/>
      <c r="BW226" s="402"/>
      <c r="BX226" s="402"/>
      <c r="BY226" s="402"/>
      <c r="BZ226" s="402"/>
      <c r="CA226" s="402"/>
      <c r="CB226" s="402"/>
      <c r="CC226" s="402"/>
    </row>
    <row r="227" spans="1:88" s="182" customFormat="1" ht="11.1" customHeight="1">
      <c r="A227" s="186" t="s">
        <v>56</v>
      </c>
      <c r="B227" s="295" t="s">
        <v>121</v>
      </c>
      <c r="C227" s="676"/>
      <c r="D227" s="183"/>
      <c r="E227" s="661"/>
      <c r="F227" s="661"/>
      <c r="G227" s="661"/>
      <c r="H227" s="661"/>
      <c r="I227" s="661"/>
      <c r="J227" s="661"/>
      <c r="K227" s="661"/>
      <c r="L227" s="661"/>
      <c r="M227" s="661"/>
      <c r="N227" s="661"/>
      <c r="O227" s="661"/>
      <c r="P227" s="661"/>
      <c r="Q227" s="661"/>
      <c r="R227" s="661"/>
      <c r="S227" s="661"/>
      <c r="T227" s="661"/>
      <c r="U227" s="661"/>
      <c r="V227" s="661"/>
      <c r="W227" s="661"/>
      <c r="X227" s="661"/>
      <c r="Y227" s="661"/>
      <c r="Z227" s="661"/>
      <c r="AA227" s="661"/>
      <c r="AB227" s="661"/>
      <c r="AC227" s="661"/>
      <c r="AD227" s="661"/>
      <c r="AE227" s="661"/>
      <c r="AF227" s="661"/>
      <c r="AG227" s="684"/>
      <c r="AH227" s="661"/>
      <c r="AI227" s="221"/>
      <c r="AJ227" s="221"/>
      <c r="AK227" s="221"/>
      <c r="AL227" s="221"/>
      <c r="AM227" s="221"/>
      <c r="AN227" s="661"/>
      <c r="AO227" s="221"/>
      <c r="AP227" s="685"/>
      <c r="AQ227" s="221"/>
      <c r="AR227" s="221"/>
      <c r="AS227" s="661"/>
      <c r="AT227" s="661"/>
      <c r="AU227" s="661"/>
      <c r="AV227" s="661"/>
      <c r="AW227" s="661"/>
      <c r="AX227" s="661"/>
      <c r="AY227" s="443"/>
      <c r="AZ227" s="443"/>
      <c r="BA227" s="443"/>
      <c r="BB227" s="443"/>
      <c r="BC227" s="443"/>
      <c r="BD227" s="443"/>
      <c r="BE227" s="443"/>
      <c r="BF227" s="443"/>
      <c r="BG227" s="443"/>
      <c r="BH227" s="443"/>
      <c r="BI227" s="533"/>
      <c r="BJ227" s="533"/>
      <c r="BK227" s="533"/>
      <c r="BL227" s="682"/>
      <c r="BM227" s="402"/>
      <c r="BN227" s="402"/>
      <c r="BO227" s="402"/>
      <c r="BP227" s="402"/>
      <c r="BQ227" s="402"/>
      <c r="BR227" s="402"/>
      <c r="BS227" s="402"/>
      <c r="BT227" s="402"/>
      <c r="BU227" s="402"/>
      <c r="BV227" s="402"/>
      <c r="BW227" s="402"/>
      <c r="BX227" s="402"/>
      <c r="BY227" s="402"/>
      <c r="BZ227" s="402"/>
      <c r="CA227" s="402"/>
      <c r="CB227" s="402"/>
      <c r="CC227" s="402"/>
      <c r="CD227" s="402"/>
    </row>
    <row r="228" spans="1:88" s="182" customFormat="1" ht="11.1" customHeight="1">
      <c r="A228" s="186"/>
      <c r="B228" s="676"/>
      <c r="C228" s="676"/>
      <c r="D228" s="183"/>
      <c r="E228" s="661"/>
      <c r="F228" s="661"/>
      <c r="G228" s="661"/>
      <c r="H228" s="661"/>
      <c r="I228" s="661"/>
      <c r="J228" s="661"/>
      <c r="K228" s="661"/>
      <c r="L228" s="661"/>
      <c r="M228" s="661"/>
      <c r="N228" s="661"/>
      <c r="O228" s="661"/>
      <c r="P228" s="661"/>
      <c r="Q228" s="661"/>
      <c r="R228" s="661"/>
      <c r="S228" s="661"/>
      <c r="T228" s="661"/>
      <c r="U228" s="661"/>
      <c r="V228" s="661"/>
      <c r="W228" s="661"/>
      <c r="X228" s="661"/>
      <c r="Y228" s="661"/>
      <c r="Z228" s="661"/>
      <c r="AA228" s="661"/>
      <c r="AB228" s="661"/>
      <c r="AC228" s="661"/>
      <c r="AD228" s="661"/>
      <c r="AE228" s="661"/>
      <c r="AF228" s="661"/>
      <c r="AG228" s="661"/>
      <c r="AH228" s="661"/>
      <c r="AI228" s="661"/>
      <c r="AJ228" s="661"/>
      <c r="AK228" s="686"/>
      <c r="AL228" s="661"/>
      <c r="AM228" s="221"/>
      <c r="AN228" s="661"/>
      <c r="AO228" s="661"/>
      <c r="AP228" s="661"/>
      <c r="AQ228" s="661"/>
      <c r="AR228" s="661"/>
      <c r="AS228" s="221"/>
      <c r="AT228" s="661"/>
      <c r="AU228" s="661"/>
      <c r="AV228" s="661"/>
      <c r="AW228" s="661"/>
      <c r="AX228" s="661"/>
      <c r="AY228" s="443"/>
      <c r="AZ228" s="443"/>
      <c r="BA228" s="443"/>
      <c r="BB228" s="443"/>
      <c r="BC228" s="443"/>
      <c r="BD228" s="443"/>
      <c r="BE228" s="443"/>
      <c r="BF228" s="443"/>
      <c r="BG228" s="443"/>
      <c r="BH228" s="443"/>
      <c r="BI228" s="635"/>
      <c r="BJ228" s="635"/>
      <c r="BK228" s="533"/>
      <c r="BL228" s="682"/>
      <c r="BM228" s="402"/>
      <c r="BN228" s="402"/>
      <c r="BO228" s="402"/>
      <c r="BP228" s="402"/>
      <c r="BQ228" s="402"/>
      <c r="BR228" s="402"/>
      <c r="BS228" s="402"/>
      <c r="BT228" s="402"/>
      <c r="BU228" s="402"/>
      <c r="BV228" s="402"/>
      <c r="BW228" s="402"/>
      <c r="BX228" s="402"/>
      <c r="BY228" s="402"/>
      <c r="BZ228" s="402"/>
      <c r="CA228" s="402"/>
      <c r="CB228" s="402"/>
      <c r="CC228" s="402"/>
      <c r="CD228" s="402"/>
      <c r="CE228" s="402"/>
      <c r="CF228" s="402"/>
      <c r="CG228" s="402"/>
      <c r="CH228" s="402"/>
      <c r="CI228" s="402"/>
      <c r="CJ228" s="402"/>
    </row>
    <row r="229" spans="1:88" s="182" customFormat="1">
      <c r="A229" s="687" t="s">
        <v>122</v>
      </c>
      <c r="B229" s="676"/>
      <c r="C229" s="641"/>
      <c r="D229" s="688"/>
      <c r="E229" s="661"/>
      <c r="F229" s="661"/>
      <c r="G229" s="661"/>
      <c r="H229" s="661"/>
      <c r="I229" s="661"/>
      <c r="J229" s="661"/>
      <c r="K229" s="661"/>
      <c r="L229" s="689"/>
      <c r="M229" s="689"/>
      <c r="N229" s="661"/>
      <c r="O229" s="661"/>
      <c r="P229" s="661"/>
      <c r="Q229" s="661"/>
      <c r="R229" s="661"/>
      <c r="S229" s="661"/>
      <c r="T229" s="661"/>
      <c r="U229" s="661"/>
      <c r="V229" s="661"/>
      <c r="W229" s="661"/>
      <c r="X229" s="661"/>
      <c r="Y229" s="661"/>
      <c r="Z229" s="661"/>
      <c r="AA229" s="661"/>
      <c r="AB229" s="661"/>
      <c r="AC229" s="661"/>
      <c r="AD229" s="661"/>
      <c r="AE229" s="661"/>
      <c r="AF229" s="661"/>
      <c r="AG229" s="661"/>
      <c r="AH229" s="661"/>
      <c r="AI229" s="661"/>
      <c r="AJ229" s="661"/>
      <c r="AK229" s="661"/>
      <c r="AL229" s="661"/>
      <c r="AM229" s="661"/>
      <c r="AN229" s="221"/>
      <c r="AO229" s="661"/>
      <c r="AP229" s="661"/>
      <c r="AQ229" s="661"/>
      <c r="AR229" s="661"/>
      <c r="AS229" s="689"/>
      <c r="AT229" s="221"/>
      <c r="AU229" s="221"/>
      <c r="AV229" s="221"/>
      <c r="AW229" s="661"/>
      <c r="AX229" s="661"/>
      <c r="AY229" s="443"/>
      <c r="AZ229" s="443"/>
      <c r="BA229" s="443"/>
      <c r="BB229" s="443"/>
      <c r="BC229" s="443"/>
      <c r="BD229" s="443"/>
      <c r="BE229" s="443"/>
      <c r="BF229" s="443"/>
      <c r="BG229" s="443"/>
      <c r="BH229" s="443"/>
      <c r="BI229" s="635"/>
      <c r="BJ229" s="635"/>
      <c r="BK229" s="533"/>
      <c r="BL229" s="682"/>
      <c r="BM229" s="402"/>
      <c r="BN229" s="402"/>
      <c r="BO229" s="402"/>
      <c r="BP229" s="402"/>
      <c r="BQ229" s="402"/>
      <c r="BR229" s="402"/>
      <c r="BS229" s="402"/>
      <c r="BT229" s="402"/>
      <c r="BU229" s="402"/>
      <c r="BV229" s="402"/>
      <c r="BW229" s="402"/>
      <c r="BX229" s="402"/>
      <c r="BY229" s="402"/>
      <c r="BZ229" s="402"/>
      <c r="CA229" s="402"/>
      <c r="CB229" s="402"/>
      <c r="CC229" s="402"/>
      <c r="CD229" s="402"/>
      <c r="CE229" s="402"/>
      <c r="CF229" s="402"/>
      <c r="CG229" s="402"/>
      <c r="CH229" s="402"/>
      <c r="CI229" s="402"/>
      <c r="CJ229" s="402"/>
    </row>
    <row r="230" spans="1:88" s="182" customFormat="1" ht="11.25" customHeight="1">
      <c r="A230" s="641" t="s">
        <v>64</v>
      </c>
      <c r="B230" s="641"/>
      <c r="C230" s="641"/>
      <c r="D230" s="688"/>
      <c r="E230" s="661"/>
      <c r="F230" s="661"/>
      <c r="G230" s="661"/>
      <c r="H230" s="661"/>
      <c r="I230" s="661"/>
      <c r="J230" s="661"/>
      <c r="K230" s="661"/>
      <c r="L230" s="689"/>
      <c r="M230" s="689"/>
      <c r="N230" s="661"/>
      <c r="O230" s="661"/>
      <c r="P230" s="661"/>
      <c r="Q230" s="661"/>
      <c r="R230" s="661"/>
      <c r="S230" s="661"/>
      <c r="T230" s="661"/>
      <c r="U230" s="661"/>
      <c r="V230" s="661"/>
      <c r="W230" s="661"/>
      <c r="X230" s="661"/>
      <c r="Y230" s="661"/>
      <c r="Z230" s="661"/>
      <c r="AA230" s="661"/>
      <c r="AB230" s="661"/>
      <c r="AC230" s="661"/>
      <c r="AD230" s="661"/>
      <c r="AE230" s="661"/>
      <c r="AF230" s="661"/>
      <c r="AG230" s="661"/>
      <c r="AH230" s="661"/>
      <c r="AI230" s="661"/>
      <c r="AJ230" s="661"/>
      <c r="AK230" s="661"/>
      <c r="AL230" s="661"/>
      <c r="AM230" s="661"/>
      <c r="AN230" s="221"/>
      <c r="AO230" s="221"/>
      <c r="AP230" s="221"/>
      <c r="AQ230" s="221"/>
      <c r="AR230" s="221"/>
      <c r="AS230" s="690"/>
      <c r="AT230" s="690"/>
      <c r="AU230" s="678"/>
      <c r="AV230" s="678"/>
      <c r="AW230" s="678"/>
      <c r="AX230" s="678"/>
      <c r="AY230" s="691"/>
      <c r="AZ230" s="443"/>
      <c r="BA230" s="443"/>
      <c r="BB230" s="443"/>
      <c r="BC230" s="443"/>
      <c r="BD230" s="443"/>
      <c r="BE230" s="443"/>
      <c r="BF230" s="443"/>
      <c r="BG230" s="443"/>
      <c r="BH230" s="443"/>
      <c r="BI230" s="635"/>
      <c r="BJ230" s="635"/>
      <c r="BK230" s="533"/>
      <c r="BL230" s="682"/>
      <c r="BM230" s="402"/>
      <c r="BN230" s="402"/>
      <c r="BO230" s="402"/>
      <c r="BP230" s="402"/>
      <c r="BQ230" s="402"/>
      <c r="BR230" s="402"/>
      <c r="BS230" s="402"/>
      <c r="BT230" s="402"/>
      <c r="BU230" s="402"/>
      <c r="BV230" s="402"/>
      <c r="BW230" s="402"/>
      <c r="BX230" s="402"/>
      <c r="BY230" s="402"/>
      <c r="BZ230" s="402"/>
      <c r="CA230" s="402"/>
      <c r="CB230" s="402"/>
      <c r="CC230" s="402"/>
      <c r="CD230" s="402"/>
      <c r="CE230" s="402"/>
      <c r="CF230" s="402"/>
      <c r="CG230" s="402"/>
      <c r="CH230" s="402"/>
      <c r="CI230" s="402"/>
      <c r="CJ230" s="402"/>
    </row>
    <row r="231" spans="1:88" s="182" customFormat="1">
      <c r="A231" s="186"/>
      <c r="B231" s="641"/>
      <c r="C231" s="676"/>
      <c r="D231" s="183"/>
      <c r="E231" s="661"/>
      <c r="F231" s="661"/>
      <c r="G231" s="661"/>
      <c r="H231" s="661"/>
      <c r="I231" s="661"/>
      <c r="J231" s="661"/>
      <c r="K231" s="661"/>
      <c r="L231" s="661"/>
      <c r="M231" s="661"/>
      <c r="N231" s="661"/>
      <c r="O231" s="661"/>
      <c r="P231" s="661"/>
      <c r="Q231" s="661"/>
      <c r="R231" s="661"/>
      <c r="S231" s="661"/>
      <c r="T231" s="661"/>
      <c r="U231" s="661"/>
      <c r="V231" s="661"/>
      <c r="W231" s="661"/>
      <c r="X231" s="661"/>
      <c r="Y231" s="661"/>
      <c r="Z231" s="661"/>
      <c r="AA231" s="661"/>
      <c r="AB231" s="661"/>
      <c r="AC231" s="661"/>
      <c r="AD231" s="661"/>
      <c r="AE231" s="661"/>
      <c r="AF231" s="661"/>
      <c r="AG231" s="661"/>
      <c r="AH231" s="661"/>
      <c r="AI231" s="661"/>
      <c r="AJ231" s="661"/>
      <c r="AK231" s="661"/>
      <c r="AL231" s="661"/>
      <c r="AM231" s="221"/>
      <c r="AN231" s="690"/>
      <c r="AO231" s="221"/>
      <c r="AP231" s="221"/>
      <c r="AQ231" s="221"/>
      <c r="AR231" s="221"/>
      <c r="AS231" s="690"/>
      <c r="AT231" s="690"/>
      <c r="AU231" s="678"/>
      <c r="AV231" s="635"/>
      <c r="AW231" s="533"/>
      <c r="AX231" s="682"/>
      <c r="AY231" s="402"/>
      <c r="AZ231" s="402"/>
      <c r="BA231" s="402"/>
      <c r="BB231" s="402"/>
      <c r="BC231" s="402"/>
      <c r="BD231" s="402"/>
      <c r="BE231" s="402"/>
      <c r="BF231" s="402"/>
      <c r="BG231" s="402"/>
      <c r="BH231" s="402"/>
      <c r="BI231" s="402"/>
      <c r="BJ231" s="402"/>
      <c r="BK231" s="402"/>
      <c r="BL231" s="402"/>
      <c r="BM231" s="402"/>
      <c r="BN231" s="402"/>
      <c r="BO231" s="402"/>
      <c r="BP231" s="402"/>
      <c r="BQ231" s="402"/>
      <c r="BR231" s="402"/>
      <c r="BS231" s="402"/>
      <c r="BT231" s="402"/>
      <c r="BU231" s="402"/>
      <c r="BV231" s="402"/>
    </row>
    <row r="232" spans="1:88" s="182" customFormat="1">
      <c r="A232" s="183"/>
      <c r="B232" s="676"/>
      <c r="C232" s="676"/>
      <c r="D232" s="183"/>
      <c r="E232" s="661"/>
      <c r="F232" s="661"/>
      <c r="G232" s="661"/>
      <c r="H232" s="661"/>
      <c r="I232" s="661"/>
      <c r="J232" s="661"/>
      <c r="K232" s="661"/>
      <c r="L232" s="661"/>
      <c r="M232" s="661"/>
      <c r="N232" s="661"/>
      <c r="O232" s="661"/>
      <c r="P232" s="661"/>
      <c r="Q232" s="661"/>
      <c r="R232" s="661"/>
      <c r="S232" s="661"/>
      <c r="T232" s="661"/>
      <c r="U232" s="661"/>
      <c r="V232" s="661"/>
      <c r="W232" s="661"/>
      <c r="X232" s="661"/>
      <c r="Y232" s="661"/>
      <c r="Z232" s="661"/>
      <c r="AA232" s="661"/>
      <c r="AB232" s="661"/>
      <c r="AC232" s="661"/>
      <c r="AD232" s="661"/>
      <c r="AE232" s="661"/>
      <c r="AF232" s="661"/>
      <c r="AG232" s="661"/>
      <c r="AH232" s="661"/>
      <c r="AI232" s="661"/>
      <c r="AJ232" s="661"/>
      <c r="AK232" s="661"/>
      <c r="AL232" s="661"/>
      <c r="AM232" s="221"/>
      <c r="AN232" s="690"/>
      <c r="AO232" s="690"/>
      <c r="AP232" s="690"/>
      <c r="AQ232" s="678"/>
      <c r="AR232" s="678"/>
      <c r="AS232" s="690"/>
      <c r="AT232" s="690"/>
      <c r="AU232" s="560"/>
      <c r="AV232" s="402"/>
      <c r="AW232" s="402"/>
      <c r="AX232" s="402"/>
      <c r="AY232" s="402"/>
      <c r="AZ232" s="402"/>
      <c r="BA232" s="402"/>
      <c r="BB232" s="402"/>
      <c r="BC232" s="402"/>
      <c r="BD232" s="402"/>
      <c r="BE232" s="402"/>
      <c r="BF232" s="402"/>
      <c r="BG232" s="402"/>
      <c r="BH232" s="402"/>
      <c r="BI232" s="402"/>
      <c r="BJ232" s="402"/>
      <c r="BK232" s="402"/>
      <c r="BL232" s="402"/>
      <c r="BM232" s="402"/>
      <c r="BN232" s="402"/>
      <c r="BO232" s="402"/>
      <c r="BP232" s="402"/>
      <c r="BQ232" s="402"/>
      <c r="BR232" s="402"/>
    </row>
    <row r="233" spans="1:88" s="694" customFormat="1">
      <c r="A233" s="183"/>
      <c r="B233" s="692"/>
      <c r="C233" s="183"/>
      <c r="D233" s="183"/>
      <c r="E233" s="661"/>
      <c r="F233" s="661"/>
      <c r="G233" s="661"/>
      <c r="H233" s="661"/>
      <c r="I233" s="661"/>
      <c r="J233" s="661"/>
      <c r="K233" s="661"/>
      <c r="L233" s="661"/>
      <c r="M233" s="661"/>
      <c r="N233" s="661"/>
      <c r="O233" s="661"/>
      <c r="P233" s="661"/>
      <c r="Q233" s="661"/>
      <c r="R233" s="661"/>
      <c r="S233" s="661"/>
      <c r="T233" s="661"/>
      <c r="U233" s="661"/>
      <c r="V233" s="661"/>
      <c r="W233" s="661"/>
      <c r="X233" s="661"/>
      <c r="Y233" s="661"/>
      <c r="Z233" s="661"/>
      <c r="AA233" s="661"/>
      <c r="AB233" s="661"/>
      <c r="AC233" s="661"/>
      <c r="AD233" s="661"/>
      <c r="AE233" s="661"/>
      <c r="AF233" s="661"/>
      <c r="AG233" s="661"/>
      <c r="AH233" s="661"/>
      <c r="AI233" s="661"/>
      <c r="AJ233" s="661"/>
      <c r="AK233" s="661"/>
      <c r="AL233" s="661"/>
      <c r="AM233" s="221"/>
      <c r="AN233" s="221"/>
      <c r="AO233" s="221"/>
      <c r="AP233" s="221"/>
      <c r="AQ233" s="221"/>
      <c r="AR233" s="221"/>
      <c r="AS233" s="221"/>
      <c r="AT233" s="221"/>
      <c r="AU233" s="221"/>
      <c r="AV233" s="221"/>
      <c r="AW233" s="661"/>
      <c r="AX233" s="661"/>
      <c r="AY233" s="443"/>
      <c r="AZ233" s="443"/>
      <c r="BA233" s="443"/>
      <c r="BB233" s="443"/>
      <c r="BC233" s="443"/>
      <c r="BD233" s="443"/>
      <c r="BE233" s="443"/>
      <c r="BF233" s="519"/>
      <c r="BG233" s="519"/>
      <c r="BH233" s="519"/>
      <c r="BI233" s="635"/>
      <c r="BJ233" s="635"/>
      <c r="BK233" s="533"/>
      <c r="BL233" s="682"/>
      <c r="BM233" s="693"/>
      <c r="BN233" s="693"/>
      <c r="BO233" s="693"/>
      <c r="BP233" s="693"/>
      <c r="BQ233" s="693"/>
      <c r="BR233" s="693"/>
      <c r="BS233" s="693"/>
      <c r="BT233" s="693"/>
      <c r="BU233" s="693"/>
      <c r="BV233" s="693"/>
      <c r="BW233" s="693"/>
      <c r="BX233" s="693"/>
      <c r="BY233" s="693"/>
      <c r="BZ233" s="693"/>
      <c r="CA233" s="693"/>
      <c r="CB233" s="693"/>
      <c r="CC233" s="693"/>
      <c r="CD233" s="693"/>
      <c r="CE233" s="693"/>
      <c r="CF233" s="693"/>
      <c r="CG233" s="693"/>
      <c r="CH233" s="693"/>
      <c r="CI233" s="693"/>
      <c r="CJ233" s="693"/>
    </row>
    <row r="234" spans="1:88" s="694" customFormat="1">
      <c r="A234" s="183"/>
      <c r="B234" s="692"/>
      <c r="C234" s="183"/>
      <c r="D234" s="183"/>
      <c r="E234" s="661"/>
      <c r="F234" s="661"/>
      <c r="G234" s="661"/>
      <c r="H234" s="661"/>
      <c r="I234" s="661"/>
      <c r="J234" s="661"/>
      <c r="K234" s="661"/>
      <c r="L234" s="661"/>
      <c r="M234" s="661"/>
      <c r="N234" s="661"/>
      <c r="O234" s="661"/>
      <c r="P234" s="661"/>
      <c r="Q234" s="661"/>
      <c r="R234" s="661"/>
      <c r="S234" s="661"/>
      <c r="T234" s="661"/>
      <c r="U234" s="661"/>
      <c r="V234" s="661"/>
      <c r="W234" s="661"/>
      <c r="X234" s="661"/>
      <c r="Y234" s="661"/>
      <c r="Z234" s="661"/>
      <c r="AA234" s="661"/>
      <c r="AB234" s="661"/>
      <c r="AC234" s="661"/>
      <c r="AD234" s="661"/>
      <c r="AE234" s="661"/>
      <c r="AF234" s="661"/>
      <c r="AG234" s="661"/>
      <c r="AH234" s="661"/>
      <c r="AI234" s="661"/>
      <c r="AJ234" s="661"/>
      <c r="AK234" s="661"/>
      <c r="AL234" s="661"/>
      <c r="AM234" s="221"/>
      <c r="AN234" s="221"/>
      <c r="AO234" s="221"/>
      <c r="AP234" s="221"/>
      <c r="AQ234" s="221"/>
      <c r="AR234" s="221"/>
      <c r="AS234" s="221"/>
      <c r="AT234" s="221"/>
      <c r="AU234" s="221"/>
      <c r="AV234" s="221"/>
      <c r="AW234" s="661"/>
      <c r="AX234" s="661"/>
      <c r="AY234" s="443"/>
      <c r="AZ234" s="443"/>
      <c r="BA234" s="443"/>
      <c r="BB234" s="443"/>
      <c r="BC234" s="443"/>
      <c r="BD234" s="443"/>
      <c r="BE234" s="443"/>
      <c r="BF234" s="519"/>
      <c r="BG234" s="519"/>
      <c r="BH234" s="519"/>
      <c r="BI234" s="533"/>
      <c r="BJ234" s="533"/>
      <c r="BK234" s="533"/>
      <c r="BL234" s="682"/>
      <c r="BM234" s="693"/>
      <c r="BN234" s="693"/>
      <c r="BO234" s="693"/>
      <c r="BP234" s="693"/>
      <c r="BQ234" s="693"/>
      <c r="BR234" s="693"/>
      <c r="BS234" s="693"/>
      <c r="BT234" s="693"/>
      <c r="BU234" s="693"/>
      <c r="BV234" s="693"/>
      <c r="BW234" s="693"/>
      <c r="BX234" s="693"/>
      <c r="BY234" s="693"/>
      <c r="BZ234" s="693"/>
      <c r="CA234" s="693"/>
      <c r="CB234" s="693"/>
      <c r="CC234" s="693"/>
      <c r="CD234" s="693"/>
      <c r="CE234" s="693"/>
      <c r="CF234" s="693"/>
      <c r="CG234" s="693"/>
      <c r="CH234" s="693"/>
      <c r="CI234" s="693"/>
      <c r="CJ234" s="693"/>
    </row>
    <row r="235" spans="1:88" s="694" customFormat="1">
      <c r="A235" s="183"/>
      <c r="B235" s="692"/>
      <c r="C235" s="183"/>
      <c r="D235" s="183"/>
      <c r="E235" s="661"/>
      <c r="F235" s="661"/>
      <c r="G235" s="661"/>
      <c r="H235" s="661"/>
      <c r="I235" s="661"/>
      <c r="J235" s="661"/>
      <c r="K235" s="661"/>
      <c r="L235" s="661"/>
      <c r="M235" s="661"/>
      <c r="N235" s="661"/>
      <c r="O235" s="661"/>
      <c r="P235" s="661"/>
      <c r="Q235" s="661"/>
      <c r="R235" s="661"/>
      <c r="S235" s="661"/>
      <c r="T235" s="661"/>
      <c r="U235" s="661"/>
      <c r="V235" s="661"/>
      <c r="W235" s="661"/>
      <c r="X235" s="661"/>
      <c r="Y235" s="661"/>
      <c r="Z235" s="661"/>
      <c r="AA235" s="661"/>
      <c r="AB235" s="661"/>
      <c r="AC235" s="661"/>
      <c r="AD235" s="661"/>
      <c r="AE235" s="661"/>
      <c r="AF235" s="661"/>
      <c r="AG235" s="661"/>
      <c r="AH235" s="661"/>
      <c r="AI235" s="661"/>
      <c r="AJ235" s="661"/>
      <c r="AK235" s="661"/>
      <c r="AL235" s="661"/>
      <c r="AM235" s="221"/>
      <c r="AN235" s="221"/>
      <c r="AO235" s="221"/>
      <c r="AP235" s="221"/>
      <c r="AQ235" s="221"/>
      <c r="AR235" s="221"/>
      <c r="AS235" s="221"/>
      <c r="AT235" s="221"/>
      <c r="AU235" s="221"/>
      <c r="AV235" s="221"/>
      <c r="AW235" s="661"/>
      <c r="AX235" s="661"/>
      <c r="AY235" s="443"/>
      <c r="AZ235" s="443"/>
      <c r="BA235" s="443"/>
      <c r="BB235" s="443"/>
      <c r="BC235" s="443"/>
      <c r="BD235" s="443"/>
      <c r="BE235" s="443"/>
      <c r="BF235" s="443"/>
      <c r="BG235" s="443"/>
      <c r="BH235" s="443"/>
      <c r="BI235" s="533"/>
      <c r="BJ235" s="533"/>
      <c r="BK235" s="533"/>
      <c r="BL235" s="682"/>
      <c r="BM235" s="693"/>
      <c r="BN235" s="693"/>
      <c r="BO235" s="693"/>
      <c r="BP235" s="693"/>
      <c r="BQ235" s="693"/>
      <c r="BR235" s="693"/>
      <c r="BS235" s="693"/>
      <c r="BT235" s="693"/>
      <c r="BU235" s="693"/>
      <c r="BV235" s="693"/>
      <c r="BW235" s="693"/>
      <c r="BX235" s="693"/>
      <c r="BY235" s="693"/>
      <c r="BZ235" s="693"/>
      <c r="CA235" s="693"/>
      <c r="CB235" s="693"/>
      <c r="CC235" s="693"/>
      <c r="CD235" s="693"/>
      <c r="CE235" s="693"/>
      <c r="CF235" s="693"/>
      <c r="CG235" s="693"/>
      <c r="CH235" s="693"/>
      <c r="CI235" s="693"/>
      <c r="CJ235" s="693"/>
    </row>
    <row r="236" spans="1:88" s="694" customFormat="1">
      <c r="A236" s="183"/>
      <c r="B236" s="692"/>
      <c r="C236" s="183"/>
      <c r="D236" s="183"/>
      <c r="E236" s="661"/>
      <c r="F236" s="661"/>
      <c r="G236" s="661"/>
      <c r="H236" s="661"/>
      <c r="I236" s="661"/>
      <c r="J236" s="661"/>
      <c r="K236" s="661"/>
      <c r="L236" s="661"/>
      <c r="M236" s="661"/>
      <c r="N236" s="661"/>
      <c r="O236" s="661"/>
      <c r="P236" s="661"/>
      <c r="Q236" s="661"/>
      <c r="R236" s="661"/>
      <c r="S236" s="661"/>
      <c r="T236" s="661"/>
      <c r="U236" s="661"/>
      <c r="V236" s="661"/>
      <c r="W236" s="661"/>
      <c r="X236" s="661"/>
      <c r="Y236" s="661"/>
      <c r="Z236" s="661"/>
      <c r="AA236" s="661"/>
      <c r="AB236" s="661"/>
      <c r="AC236" s="661"/>
      <c r="AD236" s="661"/>
      <c r="AE236" s="661"/>
      <c r="AF236" s="661"/>
      <c r="AG236" s="661"/>
      <c r="AH236" s="661"/>
      <c r="AI236" s="661"/>
      <c r="AJ236" s="661"/>
      <c r="AK236" s="661"/>
      <c r="AL236" s="661"/>
      <c r="AM236" s="221"/>
      <c r="AN236" s="221"/>
      <c r="AO236" s="221"/>
      <c r="AP236" s="221"/>
      <c r="AQ236" s="221"/>
      <c r="AR236" s="221"/>
      <c r="AS236" s="221"/>
      <c r="AT236" s="221"/>
      <c r="AU236" s="221"/>
      <c r="AV236" s="221"/>
      <c r="AW236" s="661"/>
      <c r="AX236" s="661"/>
      <c r="AY236" s="443"/>
      <c r="AZ236" s="443"/>
      <c r="BA236" s="443"/>
      <c r="BB236" s="443"/>
      <c r="BC236" s="443"/>
      <c r="BD236" s="443"/>
      <c r="BE236" s="443"/>
      <c r="BF236" s="443"/>
      <c r="BG236" s="443"/>
      <c r="BH236" s="443"/>
      <c r="BI236" s="533"/>
      <c r="BJ236" s="533"/>
      <c r="BK236" s="533"/>
      <c r="BL236" s="682"/>
      <c r="BM236" s="693"/>
      <c r="BN236" s="693"/>
      <c r="BO236" s="693"/>
      <c r="BP236" s="693"/>
      <c r="BQ236" s="693"/>
      <c r="BR236" s="693"/>
      <c r="BS236" s="693"/>
      <c r="BT236" s="693"/>
      <c r="BU236" s="693"/>
      <c r="BV236" s="693"/>
      <c r="BW236" s="693"/>
      <c r="BX236" s="693"/>
      <c r="BY236" s="693"/>
      <c r="BZ236" s="693"/>
      <c r="CA236" s="693"/>
      <c r="CB236" s="693"/>
      <c r="CC236" s="693"/>
      <c r="CD236" s="693"/>
      <c r="CE236" s="693"/>
      <c r="CF236" s="693"/>
      <c r="CG236" s="693"/>
      <c r="CH236" s="693"/>
      <c r="CI236" s="693"/>
      <c r="CJ236" s="693"/>
    </row>
    <row r="237" spans="1:88" s="182" customFormat="1">
      <c r="A237" s="183"/>
      <c r="B237" s="692"/>
      <c r="C237" s="183"/>
      <c r="D237" s="183"/>
      <c r="E237" s="661"/>
      <c r="F237" s="661"/>
      <c r="G237" s="661"/>
      <c r="H237" s="661"/>
      <c r="I237" s="661"/>
      <c r="J237" s="661"/>
      <c r="K237" s="661"/>
      <c r="L237" s="661"/>
      <c r="M237" s="661"/>
      <c r="N237" s="661"/>
      <c r="O237" s="661"/>
      <c r="P237" s="661"/>
      <c r="Q237" s="661"/>
      <c r="R237" s="661"/>
      <c r="S237" s="661"/>
      <c r="T237" s="661"/>
      <c r="U237" s="661"/>
      <c r="V237" s="661"/>
      <c r="W237" s="661"/>
      <c r="X237" s="661"/>
      <c r="Y237" s="661"/>
      <c r="Z237" s="661"/>
      <c r="AA237" s="661"/>
      <c r="AB237" s="661"/>
      <c r="AC237" s="661"/>
      <c r="AD237" s="661"/>
      <c r="AE237" s="661"/>
      <c r="AF237" s="661"/>
      <c r="AG237" s="661"/>
      <c r="AH237" s="661"/>
      <c r="AI237" s="661"/>
      <c r="AJ237" s="661"/>
      <c r="AK237" s="661"/>
      <c r="AL237" s="661"/>
      <c r="AM237" s="221"/>
      <c r="AN237" s="221"/>
      <c r="AO237" s="221"/>
      <c r="AP237" s="221"/>
      <c r="AQ237" s="221"/>
      <c r="AR237" s="221"/>
      <c r="AS237" s="221"/>
      <c r="AT237" s="221"/>
      <c r="AU237" s="221"/>
      <c r="AV237" s="221"/>
      <c r="AW237" s="661"/>
      <c r="AX237" s="661"/>
      <c r="AY237" s="443"/>
      <c r="AZ237" s="443"/>
      <c r="BA237" s="443"/>
      <c r="BB237" s="443"/>
      <c r="BC237" s="443"/>
      <c r="BD237" s="443"/>
      <c r="BE237" s="443"/>
      <c r="BF237" s="443"/>
      <c r="BG237" s="443"/>
      <c r="BH237" s="443"/>
      <c r="BI237" s="533"/>
      <c r="BJ237" s="533"/>
      <c r="BK237" s="533"/>
      <c r="BL237" s="682"/>
      <c r="BM237" s="402"/>
      <c r="BN237" s="402"/>
      <c r="BO237" s="402"/>
      <c r="BP237" s="402"/>
      <c r="BQ237" s="402"/>
      <c r="BR237" s="402"/>
      <c r="BS237" s="402"/>
      <c r="BT237" s="402"/>
      <c r="BU237" s="402"/>
      <c r="BV237" s="402"/>
      <c r="BW237" s="402"/>
      <c r="BX237" s="402"/>
      <c r="BY237" s="402"/>
      <c r="BZ237" s="402"/>
      <c r="CA237" s="402"/>
      <c r="CB237" s="402"/>
      <c r="CC237" s="402"/>
      <c r="CD237" s="402"/>
      <c r="CE237" s="402"/>
      <c r="CF237" s="402"/>
      <c r="CG237" s="402"/>
      <c r="CH237" s="402"/>
      <c r="CI237" s="402"/>
      <c r="CJ237" s="402"/>
    </row>
    <row r="238" spans="1:88" s="182" customFormat="1">
      <c r="A238" s="183"/>
      <c r="B238" s="183"/>
      <c r="C238" s="183"/>
      <c r="D238" s="183"/>
      <c r="E238" s="661"/>
      <c r="F238" s="661"/>
      <c r="G238" s="661"/>
      <c r="H238" s="661"/>
      <c r="I238" s="661"/>
      <c r="J238" s="661"/>
      <c r="K238" s="661"/>
      <c r="L238" s="661"/>
      <c r="M238" s="661"/>
      <c r="N238" s="661"/>
      <c r="O238" s="661"/>
      <c r="P238" s="661"/>
      <c r="Q238" s="661"/>
      <c r="R238" s="661"/>
      <c r="S238" s="661"/>
      <c r="T238" s="661"/>
      <c r="U238" s="661"/>
      <c r="V238" s="661"/>
      <c r="W238" s="661"/>
      <c r="X238" s="661"/>
      <c r="Y238" s="661"/>
      <c r="Z238" s="661"/>
      <c r="AA238" s="661"/>
      <c r="AB238" s="661"/>
      <c r="AC238" s="661"/>
      <c r="AD238" s="661"/>
      <c r="AE238" s="661"/>
      <c r="AF238" s="661"/>
      <c r="AG238" s="661"/>
      <c r="AH238" s="661"/>
      <c r="AI238" s="661"/>
      <c r="AJ238" s="661"/>
      <c r="AK238" s="661"/>
      <c r="AL238" s="661"/>
      <c r="AM238" s="221"/>
      <c r="AN238" s="221"/>
      <c r="AO238" s="221"/>
      <c r="AP238" s="221"/>
      <c r="AQ238" s="221"/>
      <c r="AR238" s="221"/>
      <c r="AS238" s="221"/>
      <c r="AT238" s="221"/>
      <c r="AU238" s="221"/>
      <c r="AV238" s="221"/>
      <c r="AW238" s="661"/>
      <c r="AX238" s="661"/>
      <c r="AY238" s="443"/>
      <c r="AZ238" s="443"/>
      <c r="BA238" s="443"/>
      <c r="BB238" s="443"/>
      <c r="BC238" s="443"/>
      <c r="BD238" s="443"/>
      <c r="BE238" s="443"/>
      <c r="BF238" s="443"/>
      <c r="BG238" s="443"/>
      <c r="BH238" s="443"/>
      <c r="BI238" s="533"/>
      <c r="BJ238" s="533"/>
      <c r="BK238" s="533"/>
      <c r="BL238" s="682"/>
      <c r="BM238" s="402"/>
      <c r="BN238" s="402"/>
      <c r="BO238" s="402"/>
      <c r="BP238" s="402"/>
      <c r="BQ238" s="402"/>
      <c r="BR238" s="402"/>
      <c r="BS238" s="402"/>
      <c r="BT238" s="402"/>
      <c r="BU238" s="402"/>
      <c r="BV238" s="402"/>
      <c r="BW238" s="402"/>
      <c r="BX238" s="402"/>
      <c r="BY238" s="402"/>
      <c r="BZ238" s="402"/>
      <c r="CA238" s="402"/>
      <c r="CB238" s="402"/>
      <c r="CC238" s="402"/>
      <c r="CD238" s="402"/>
      <c r="CE238" s="402"/>
      <c r="CF238" s="402"/>
      <c r="CG238" s="402"/>
      <c r="CH238" s="402"/>
      <c r="CI238" s="402"/>
      <c r="CJ238" s="402"/>
    </row>
    <row r="239" spans="1:88" s="182" customFormat="1">
      <c r="A239" s="183"/>
      <c r="B239" s="183"/>
      <c r="C239" s="183"/>
      <c r="D239" s="183"/>
      <c r="E239" s="661"/>
      <c r="F239" s="661"/>
      <c r="G239" s="661"/>
      <c r="H239" s="661"/>
      <c r="I239" s="661"/>
      <c r="J239" s="661"/>
      <c r="K239" s="661"/>
      <c r="L239" s="661"/>
      <c r="M239" s="661"/>
      <c r="N239" s="661"/>
      <c r="O239" s="661"/>
      <c r="P239" s="661"/>
      <c r="Q239" s="661"/>
      <c r="R239" s="661"/>
      <c r="S239" s="661"/>
      <c r="T239" s="661"/>
      <c r="U239" s="661"/>
      <c r="V239" s="661"/>
      <c r="W239" s="661"/>
      <c r="X239" s="661"/>
      <c r="Y239" s="661"/>
      <c r="Z239" s="661"/>
      <c r="AA239" s="661"/>
      <c r="AB239" s="661"/>
      <c r="AC239" s="661"/>
      <c r="AD239" s="661"/>
      <c r="AE239" s="661"/>
      <c r="AF239" s="661"/>
      <c r="AG239" s="661"/>
      <c r="AH239" s="661"/>
      <c r="AI239" s="661"/>
      <c r="AJ239" s="661"/>
      <c r="AK239" s="661"/>
      <c r="AL239" s="661"/>
      <c r="AM239" s="221"/>
      <c r="AN239" s="221"/>
      <c r="AO239" s="221"/>
      <c r="AP239" s="221"/>
      <c r="AQ239" s="221"/>
      <c r="AR239" s="221"/>
      <c r="AS239" s="221"/>
      <c r="AT239" s="221"/>
      <c r="AU239" s="221"/>
      <c r="AV239" s="221"/>
      <c r="AW239" s="661"/>
      <c r="AX239" s="661"/>
      <c r="AY239" s="443"/>
      <c r="AZ239" s="443"/>
      <c r="BA239" s="443"/>
      <c r="BB239" s="443"/>
      <c r="BC239" s="443"/>
      <c r="BD239" s="443"/>
      <c r="BE239" s="443"/>
      <c r="BF239" s="443"/>
      <c r="BG239" s="443"/>
      <c r="BH239" s="443"/>
      <c r="BI239" s="533"/>
      <c r="BJ239" s="533"/>
      <c r="BK239" s="533"/>
      <c r="BL239" s="682"/>
      <c r="BM239" s="402"/>
      <c r="BN239" s="402"/>
      <c r="BO239" s="402"/>
      <c r="BP239" s="402"/>
      <c r="BQ239" s="402"/>
      <c r="BR239" s="402"/>
      <c r="BS239" s="402"/>
      <c r="BT239" s="402"/>
      <c r="BU239" s="402"/>
      <c r="BV239" s="402"/>
      <c r="BW239" s="402"/>
      <c r="BX239" s="402"/>
      <c r="BY239" s="402"/>
      <c r="BZ239" s="402"/>
      <c r="CA239" s="402"/>
      <c r="CB239" s="402"/>
      <c r="CC239" s="402"/>
      <c r="CD239" s="402"/>
      <c r="CE239" s="402"/>
      <c r="CF239" s="402"/>
      <c r="CG239" s="402"/>
      <c r="CH239" s="402"/>
      <c r="CI239" s="402"/>
      <c r="CJ239" s="402"/>
    </row>
    <row r="240" spans="1:88" s="182" customFormat="1">
      <c r="A240" s="183"/>
      <c r="B240" s="183"/>
      <c r="C240" s="183"/>
      <c r="D240" s="183"/>
      <c r="E240" s="661"/>
      <c r="F240" s="661"/>
      <c r="G240" s="661"/>
      <c r="H240" s="661"/>
      <c r="I240" s="661"/>
      <c r="J240" s="661"/>
      <c r="K240" s="661"/>
      <c r="L240" s="661"/>
      <c r="M240" s="661"/>
      <c r="N240" s="661"/>
      <c r="O240" s="661"/>
      <c r="P240" s="661"/>
      <c r="Q240" s="661"/>
      <c r="R240" s="661"/>
      <c r="S240" s="661"/>
      <c r="T240" s="661"/>
      <c r="U240" s="661"/>
      <c r="V240" s="661"/>
      <c r="W240" s="661"/>
      <c r="X240" s="661"/>
      <c r="Y240" s="661"/>
      <c r="Z240" s="661"/>
      <c r="AA240" s="661"/>
      <c r="AB240" s="661"/>
      <c r="AC240" s="661"/>
      <c r="AD240" s="661"/>
      <c r="AE240" s="661"/>
      <c r="AF240" s="661"/>
      <c r="AG240" s="661"/>
      <c r="AH240" s="661"/>
      <c r="AI240" s="661"/>
      <c r="AJ240" s="661"/>
      <c r="AK240" s="661"/>
      <c r="AL240" s="661"/>
      <c r="AM240" s="221"/>
      <c r="AN240" s="221"/>
      <c r="AO240" s="221"/>
      <c r="AP240" s="221"/>
      <c r="AQ240" s="221"/>
      <c r="AR240" s="221"/>
      <c r="AS240" s="221"/>
      <c r="AT240" s="221"/>
      <c r="AU240" s="221"/>
      <c r="AV240" s="221"/>
      <c r="AW240" s="661"/>
      <c r="AX240" s="661"/>
      <c r="AY240" s="443"/>
      <c r="AZ240" s="443"/>
      <c r="BA240" s="443"/>
      <c r="BB240" s="443"/>
      <c r="BC240" s="443"/>
      <c r="BD240" s="443"/>
      <c r="BE240" s="443"/>
      <c r="BF240" s="443"/>
      <c r="BG240" s="443"/>
      <c r="BH240" s="443"/>
      <c r="BI240" s="533"/>
      <c r="BJ240" s="533"/>
      <c r="BK240" s="533"/>
      <c r="BL240" s="682"/>
      <c r="BM240" s="402"/>
      <c r="BN240" s="402"/>
      <c r="BO240" s="402"/>
      <c r="BP240" s="402"/>
      <c r="BQ240" s="402"/>
      <c r="BR240" s="402"/>
      <c r="BS240" s="402"/>
      <c r="BT240" s="402"/>
      <c r="BU240" s="402"/>
      <c r="BV240" s="402"/>
      <c r="BW240" s="402"/>
      <c r="BX240" s="402"/>
      <c r="BY240" s="402"/>
      <c r="BZ240" s="402"/>
      <c r="CA240" s="402"/>
      <c r="CB240" s="402"/>
      <c r="CC240" s="402"/>
      <c r="CD240" s="402"/>
      <c r="CE240" s="402"/>
      <c r="CF240" s="402"/>
      <c r="CG240" s="402"/>
      <c r="CH240" s="402"/>
      <c r="CI240" s="402"/>
      <c r="CJ240" s="402"/>
    </row>
    <row r="241" spans="1:88" s="182" customFormat="1">
      <c r="A241" s="183"/>
      <c r="B241" s="183"/>
      <c r="C241" s="183"/>
      <c r="D241" s="183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1"/>
      <c r="P241" s="661"/>
      <c r="Q241" s="661"/>
      <c r="R241" s="661"/>
      <c r="S241" s="661"/>
      <c r="T241" s="661"/>
      <c r="U241" s="661"/>
      <c r="V241" s="661"/>
      <c r="W241" s="661"/>
      <c r="X241" s="661"/>
      <c r="Y241" s="661"/>
      <c r="Z241" s="661"/>
      <c r="AA241" s="661"/>
      <c r="AB241" s="661"/>
      <c r="AC241" s="661"/>
      <c r="AD241" s="661"/>
      <c r="AE241" s="661"/>
      <c r="AF241" s="661"/>
      <c r="AG241" s="661"/>
      <c r="AH241" s="661"/>
      <c r="AI241" s="661"/>
      <c r="AJ241" s="661"/>
      <c r="AK241" s="661"/>
      <c r="AL241" s="661"/>
      <c r="AM241" s="221"/>
      <c r="AN241" s="221"/>
      <c r="AO241" s="221"/>
      <c r="AP241" s="221"/>
      <c r="AQ241" s="221"/>
      <c r="AR241" s="221"/>
      <c r="AS241" s="221"/>
      <c r="AT241" s="221"/>
      <c r="AU241" s="221"/>
      <c r="AV241" s="221"/>
      <c r="AW241" s="661"/>
      <c r="AX241" s="661"/>
      <c r="AY241" s="443"/>
      <c r="AZ241" s="443"/>
      <c r="BA241" s="443"/>
      <c r="BB241" s="443"/>
      <c r="BC241" s="443"/>
      <c r="BD241" s="443"/>
      <c r="BE241" s="443"/>
      <c r="BF241" s="443"/>
      <c r="BG241" s="443"/>
      <c r="BH241" s="443"/>
      <c r="BI241" s="533"/>
      <c r="BJ241" s="533"/>
      <c r="BK241" s="533"/>
      <c r="BL241" s="682"/>
      <c r="BM241" s="402"/>
      <c r="BN241" s="402"/>
      <c r="BO241" s="402"/>
      <c r="BP241" s="402"/>
      <c r="BQ241" s="402"/>
      <c r="BR241" s="402"/>
      <c r="BS241" s="402"/>
      <c r="BT241" s="402"/>
      <c r="BU241" s="402"/>
      <c r="BV241" s="402"/>
      <c r="BW241" s="402"/>
      <c r="BX241" s="402"/>
      <c r="BY241" s="402"/>
      <c r="BZ241" s="402"/>
      <c r="CA241" s="402"/>
      <c r="CB241" s="402"/>
      <c r="CC241" s="402"/>
      <c r="CD241" s="402"/>
      <c r="CE241" s="402"/>
      <c r="CF241" s="402"/>
      <c r="CG241" s="402"/>
      <c r="CH241" s="402"/>
      <c r="CI241" s="402"/>
      <c r="CJ241" s="402"/>
    </row>
    <row r="242" spans="1:88" s="182" customFormat="1">
      <c r="A242" s="183"/>
      <c r="B242" s="183"/>
      <c r="C242" s="183"/>
      <c r="D242" s="183"/>
      <c r="E242" s="661"/>
      <c r="F242" s="661"/>
      <c r="G242" s="661"/>
      <c r="H242" s="661"/>
      <c r="I242" s="661"/>
      <c r="J242" s="661"/>
      <c r="K242" s="661"/>
      <c r="L242" s="661"/>
      <c r="M242" s="661"/>
      <c r="N242" s="661"/>
      <c r="O242" s="661"/>
      <c r="P242" s="661"/>
      <c r="Q242" s="661"/>
      <c r="R242" s="661"/>
      <c r="S242" s="661"/>
      <c r="T242" s="661"/>
      <c r="U242" s="661"/>
      <c r="V242" s="661"/>
      <c r="W242" s="661"/>
      <c r="X242" s="661"/>
      <c r="Y242" s="661"/>
      <c r="Z242" s="661"/>
      <c r="AA242" s="661"/>
      <c r="AB242" s="661"/>
      <c r="AC242" s="661"/>
      <c r="AD242" s="661"/>
      <c r="AE242" s="661"/>
      <c r="AF242" s="661"/>
      <c r="AG242" s="661"/>
      <c r="AH242" s="661"/>
      <c r="AI242" s="661"/>
      <c r="AJ242" s="661"/>
      <c r="AK242" s="661"/>
      <c r="AL242" s="661"/>
      <c r="AM242" s="221"/>
      <c r="AN242" s="221"/>
      <c r="AO242" s="221"/>
      <c r="AP242" s="221"/>
      <c r="AQ242" s="221"/>
      <c r="AR242" s="221"/>
      <c r="AS242" s="221"/>
      <c r="AT242" s="221"/>
      <c r="AU242" s="221"/>
      <c r="AV242" s="221"/>
      <c r="AW242" s="661"/>
      <c r="AX242" s="661"/>
      <c r="AY242" s="443"/>
      <c r="AZ242" s="443"/>
      <c r="BA242" s="443"/>
      <c r="BB242" s="443"/>
      <c r="BC242" s="443"/>
      <c r="BD242" s="443"/>
      <c r="BE242" s="443"/>
      <c r="BF242" s="443"/>
      <c r="BG242" s="443"/>
      <c r="BH242" s="443"/>
      <c r="BI242" s="533"/>
      <c r="BJ242" s="533"/>
      <c r="BK242" s="533"/>
      <c r="BL242" s="682"/>
      <c r="BM242" s="402"/>
      <c r="BN242" s="402"/>
      <c r="BO242" s="402"/>
      <c r="BP242" s="402"/>
      <c r="BQ242" s="402"/>
      <c r="BR242" s="402"/>
      <c r="BS242" s="402"/>
      <c r="BT242" s="402"/>
      <c r="BU242" s="402"/>
      <c r="BV242" s="402"/>
      <c r="BW242" s="402"/>
      <c r="BX242" s="402"/>
      <c r="BY242" s="402"/>
      <c r="BZ242" s="402"/>
      <c r="CA242" s="402"/>
      <c r="CB242" s="402"/>
      <c r="CC242" s="402"/>
      <c r="CD242" s="402"/>
      <c r="CE242" s="402"/>
      <c r="CF242" s="402"/>
      <c r="CG242" s="402"/>
      <c r="CH242" s="402"/>
      <c r="CI242" s="402"/>
      <c r="CJ242" s="402"/>
    </row>
    <row r="243" spans="1:88" s="182" customFormat="1">
      <c r="A243" s="183"/>
      <c r="B243" s="183"/>
      <c r="C243" s="183"/>
      <c r="D243" s="183"/>
      <c r="E243" s="661"/>
      <c r="F243" s="661"/>
      <c r="G243" s="661"/>
      <c r="H243" s="661"/>
      <c r="I243" s="661"/>
      <c r="J243" s="661"/>
      <c r="K243" s="661"/>
      <c r="L243" s="661"/>
      <c r="M243" s="661"/>
      <c r="N243" s="661"/>
      <c r="O243" s="661"/>
      <c r="P243" s="661"/>
      <c r="Q243" s="661"/>
      <c r="R243" s="661"/>
      <c r="S243" s="661"/>
      <c r="T243" s="661"/>
      <c r="U243" s="661"/>
      <c r="V243" s="661"/>
      <c r="W243" s="661"/>
      <c r="X243" s="661"/>
      <c r="Y243" s="661"/>
      <c r="Z243" s="661"/>
      <c r="AA243" s="661"/>
      <c r="AB243" s="661"/>
      <c r="AC243" s="661"/>
      <c r="AD243" s="661"/>
      <c r="AE243" s="661"/>
      <c r="AF243" s="661"/>
      <c r="AG243" s="661"/>
      <c r="AH243" s="661"/>
      <c r="AI243" s="661"/>
      <c r="AJ243" s="661"/>
      <c r="AK243" s="661"/>
      <c r="AL243" s="661"/>
      <c r="AM243" s="221"/>
      <c r="AN243" s="221"/>
      <c r="AO243" s="221"/>
      <c r="AP243" s="221"/>
      <c r="AQ243" s="221"/>
      <c r="AR243" s="221"/>
      <c r="AS243" s="221"/>
      <c r="AT243" s="221"/>
      <c r="AU243" s="221"/>
      <c r="AV243" s="221"/>
      <c r="AW243" s="661"/>
      <c r="AX243" s="661"/>
      <c r="AY243" s="443"/>
      <c r="AZ243" s="443"/>
      <c r="BA243" s="443"/>
      <c r="BB243" s="443"/>
      <c r="BC243" s="443"/>
      <c r="BD243" s="443"/>
      <c r="BE243" s="443"/>
      <c r="BF243" s="443"/>
      <c r="BG243" s="443"/>
      <c r="BH243" s="443"/>
      <c r="BI243" s="533"/>
      <c r="BJ243" s="533"/>
      <c r="BK243" s="533"/>
      <c r="BL243" s="682"/>
      <c r="BM243" s="402"/>
      <c r="BN243" s="402"/>
      <c r="BO243" s="402"/>
      <c r="BP243" s="402"/>
      <c r="BQ243" s="402"/>
      <c r="BR243" s="402"/>
      <c r="BS243" s="402"/>
      <c r="BT243" s="402"/>
      <c r="BU243" s="402"/>
      <c r="BV243" s="402"/>
      <c r="BW243" s="402"/>
      <c r="BX243" s="402"/>
      <c r="BY243" s="402"/>
      <c r="BZ243" s="402"/>
      <c r="CA243" s="402"/>
      <c r="CB243" s="402"/>
      <c r="CC243" s="402"/>
      <c r="CD243" s="402"/>
      <c r="CE243" s="402"/>
      <c r="CF243" s="402"/>
      <c r="CG243" s="402"/>
      <c r="CH243" s="402"/>
      <c r="CI243" s="402"/>
      <c r="CJ243" s="402"/>
    </row>
    <row r="244" spans="1:88" s="182" customFormat="1">
      <c r="A244" s="183"/>
      <c r="B244" s="183"/>
      <c r="C244" s="183"/>
      <c r="D244" s="183"/>
      <c r="E244" s="661"/>
      <c r="F244" s="661"/>
      <c r="G244" s="661"/>
      <c r="H244" s="661"/>
      <c r="I244" s="661"/>
      <c r="J244" s="661"/>
      <c r="K244" s="661"/>
      <c r="L244" s="661"/>
      <c r="M244" s="661"/>
      <c r="N244" s="661"/>
      <c r="O244" s="661"/>
      <c r="P244" s="661"/>
      <c r="Q244" s="661"/>
      <c r="R244" s="661"/>
      <c r="S244" s="661"/>
      <c r="T244" s="661"/>
      <c r="U244" s="661"/>
      <c r="V244" s="661"/>
      <c r="W244" s="661"/>
      <c r="X244" s="661"/>
      <c r="Y244" s="661"/>
      <c r="Z244" s="661"/>
      <c r="AA244" s="661"/>
      <c r="AB244" s="661"/>
      <c r="AC244" s="661"/>
      <c r="AD244" s="661"/>
      <c r="AE244" s="661"/>
      <c r="AF244" s="661"/>
      <c r="AG244" s="661"/>
      <c r="AH244" s="661"/>
      <c r="AI244" s="661"/>
      <c r="AJ244" s="661"/>
      <c r="AK244" s="661"/>
      <c r="AL244" s="661"/>
      <c r="AM244" s="221"/>
      <c r="AN244" s="221"/>
      <c r="AO244" s="221"/>
      <c r="AP244" s="221"/>
      <c r="AQ244" s="221"/>
      <c r="AR244" s="221"/>
      <c r="AS244" s="221"/>
      <c r="AT244" s="221"/>
      <c r="AU244" s="221"/>
      <c r="AV244" s="221"/>
      <c r="AW244" s="661"/>
      <c r="AX244" s="661"/>
      <c r="AY244" s="443"/>
      <c r="AZ244" s="443"/>
      <c r="BA244" s="443"/>
      <c r="BB244" s="443"/>
      <c r="BC244" s="443"/>
      <c r="BD244" s="443"/>
      <c r="BE244" s="443"/>
      <c r="BF244" s="443"/>
      <c r="BG244" s="443"/>
      <c r="BH244" s="443"/>
      <c r="BI244" s="533"/>
      <c r="BJ244" s="533"/>
      <c r="BK244" s="533"/>
      <c r="BL244" s="682"/>
      <c r="BM244" s="402"/>
      <c r="BN244" s="402"/>
      <c r="BO244" s="402"/>
      <c r="BP244" s="402"/>
      <c r="BQ244" s="402"/>
      <c r="BR244" s="402"/>
      <c r="BS244" s="402"/>
      <c r="BT244" s="402"/>
      <c r="BU244" s="402"/>
      <c r="BV244" s="402"/>
      <c r="BW244" s="402"/>
      <c r="BX244" s="402"/>
      <c r="BY244" s="402"/>
      <c r="BZ244" s="402"/>
      <c r="CA244" s="402"/>
      <c r="CB244" s="402"/>
      <c r="CC244" s="402"/>
      <c r="CD244" s="402"/>
      <c r="CE244" s="402"/>
      <c r="CF244" s="402"/>
      <c r="CG244" s="402"/>
      <c r="CH244" s="402"/>
      <c r="CI244" s="402"/>
      <c r="CJ244" s="402"/>
    </row>
    <row r="245" spans="1:88" s="589" customFormat="1">
      <c r="A245" s="183"/>
      <c r="B245" s="183"/>
      <c r="C245" s="183"/>
      <c r="D245" s="183"/>
      <c r="E245" s="661"/>
      <c r="F245" s="661"/>
      <c r="G245" s="661"/>
      <c r="H245" s="661"/>
      <c r="I245" s="661"/>
      <c r="J245" s="661"/>
      <c r="K245" s="661"/>
      <c r="L245" s="661"/>
      <c r="M245" s="661"/>
      <c r="N245" s="661"/>
      <c r="O245" s="661"/>
      <c r="P245" s="661"/>
      <c r="Q245" s="661"/>
      <c r="R245" s="661"/>
      <c r="S245" s="661"/>
      <c r="T245" s="661"/>
      <c r="U245" s="661"/>
      <c r="V245" s="661"/>
      <c r="W245" s="661"/>
      <c r="X245" s="661"/>
      <c r="Y245" s="661"/>
      <c r="Z245" s="661"/>
      <c r="AA245" s="661"/>
      <c r="AB245" s="661"/>
      <c r="AC245" s="661"/>
      <c r="AD245" s="661"/>
      <c r="AE245" s="661"/>
      <c r="AF245" s="661"/>
      <c r="AG245" s="661"/>
      <c r="AH245" s="661"/>
      <c r="AI245" s="661"/>
      <c r="AJ245" s="661"/>
      <c r="AK245" s="661"/>
      <c r="AL245" s="661"/>
      <c r="AM245" s="221"/>
      <c r="AN245" s="221"/>
      <c r="AO245" s="221"/>
      <c r="AP245" s="221"/>
      <c r="AQ245" s="221"/>
      <c r="AR245" s="221"/>
      <c r="AS245" s="221"/>
      <c r="AT245" s="221"/>
      <c r="AU245" s="221"/>
      <c r="AV245" s="221"/>
      <c r="AW245" s="661"/>
      <c r="AX245" s="661"/>
      <c r="AY245" s="443"/>
      <c r="AZ245" s="443"/>
      <c r="BA245" s="443"/>
      <c r="BB245" s="443"/>
      <c r="BC245" s="443"/>
      <c r="BD245" s="443"/>
      <c r="BE245" s="443"/>
      <c r="BF245" s="443"/>
      <c r="BG245" s="443"/>
      <c r="BH245" s="443"/>
      <c r="BI245" s="533"/>
      <c r="BJ245" s="533"/>
      <c r="BK245" s="533"/>
      <c r="BL245" s="682"/>
      <c r="BM245" s="695"/>
      <c r="BN245" s="695"/>
      <c r="BO245" s="695"/>
      <c r="BP245" s="695"/>
      <c r="BQ245" s="695"/>
      <c r="BR245" s="695"/>
      <c r="BS245" s="695"/>
      <c r="BT245" s="695"/>
      <c r="BU245" s="695"/>
      <c r="BV245" s="695"/>
      <c r="BW245" s="695"/>
      <c r="BX245" s="695"/>
      <c r="BY245" s="695"/>
      <c r="BZ245" s="695"/>
      <c r="CA245" s="695"/>
      <c r="CB245" s="695"/>
      <c r="CC245" s="695"/>
      <c r="CD245" s="695"/>
      <c r="CE245" s="695"/>
      <c r="CF245" s="695"/>
      <c r="CG245" s="695"/>
      <c r="CH245" s="695"/>
      <c r="CI245" s="695"/>
      <c r="CJ245" s="695"/>
    </row>
    <row r="246" spans="1:88" s="589" customFormat="1">
      <c r="A246" s="183"/>
      <c r="B246" s="183"/>
      <c r="C246" s="183"/>
      <c r="D246" s="183"/>
      <c r="E246" s="661"/>
      <c r="F246" s="661"/>
      <c r="G246" s="661"/>
      <c r="H246" s="661"/>
      <c r="I246" s="661"/>
      <c r="J246" s="661"/>
      <c r="K246" s="661"/>
      <c r="L246" s="661"/>
      <c r="M246" s="661"/>
      <c r="N246" s="661"/>
      <c r="O246" s="661"/>
      <c r="P246" s="661"/>
      <c r="Q246" s="661"/>
      <c r="R246" s="661"/>
      <c r="S246" s="661"/>
      <c r="T246" s="661"/>
      <c r="U246" s="661"/>
      <c r="V246" s="661"/>
      <c r="W246" s="661"/>
      <c r="X246" s="661"/>
      <c r="Y246" s="661"/>
      <c r="Z246" s="661"/>
      <c r="AA246" s="661"/>
      <c r="AB246" s="661"/>
      <c r="AC246" s="661"/>
      <c r="AD246" s="661"/>
      <c r="AE246" s="661"/>
      <c r="AF246" s="661"/>
      <c r="AG246" s="661"/>
      <c r="AH246" s="661"/>
      <c r="AI246" s="661"/>
      <c r="AJ246" s="661"/>
      <c r="AK246" s="661"/>
      <c r="AL246" s="661"/>
      <c r="AM246" s="221"/>
      <c r="AN246" s="221"/>
      <c r="AO246" s="221"/>
      <c r="AP246" s="221"/>
      <c r="AQ246" s="221"/>
      <c r="AR246" s="221"/>
      <c r="AS246" s="221"/>
      <c r="AT246" s="221"/>
      <c r="AU246" s="221"/>
      <c r="AV246" s="221"/>
      <c r="AW246" s="661"/>
      <c r="AX246" s="661"/>
      <c r="AY246" s="443"/>
      <c r="AZ246" s="443"/>
      <c r="BA246" s="443"/>
      <c r="BB246" s="443"/>
      <c r="BC246" s="443"/>
      <c r="BD246" s="443"/>
      <c r="BE246" s="443"/>
      <c r="BF246" s="443"/>
      <c r="BG246" s="443"/>
      <c r="BH246" s="443"/>
      <c r="BI246" s="533"/>
      <c r="BJ246" s="533"/>
      <c r="BK246" s="533"/>
      <c r="BL246" s="682"/>
      <c r="BM246" s="695"/>
      <c r="BN246" s="695"/>
      <c r="BO246" s="695"/>
      <c r="BP246" s="695"/>
      <c r="BQ246" s="695"/>
      <c r="BR246" s="695"/>
      <c r="BS246" s="695"/>
      <c r="BT246" s="695"/>
      <c r="BU246" s="695"/>
      <c r="BV246" s="695"/>
      <c r="BW246" s="695"/>
      <c r="BX246" s="695"/>
      <c r="BY246" s="695"/>
      <c r="BZ246" s="695"/>
      <c r="CA246" s="695"/>
      <c r="CB246" s="695"/>
      <c r="CC246" s="695"/>
      <c r="CD246" s="695"/>
      <c r="CE246" s="695"/>
      <c r="CF246" s="695"/>
      <c r="CG246" s="695"/>
      <c r="CH246" s="695"/>
      <c r="CI246" s="695"/>
      <c r="CJ246" s="695"/>
    </row>
    <row r="247" spans="1:88" s="589" customFormat="1">
      <c r="A247" s="183"/>
      <c r="B247" s="183"/>
      <c r="C247" s="183"/>
      <c r="D247" s="183"/>
      <c r="E247" s="661"/>
      <c r="F247" s="661"/>
      <c r="G247" s="661"/>
      <c r="H247" s="661"/>
      <c r="I247" s="661"/>
      <c r="J247" s="661"/>
      <c r="K247" s="661"/>
      <c r="L247" s="661"/>
      <c r="M247" s="661"/>
      <c r="N247" s="661"/>
      <c r="O247" s="661"/>
      <c r="P247" s="661"/>
      <c r="Q247" s="661"/>
      <c r="R247" s="661"/>
      <c r="S247" s="661"/>
      <c r="T247" s="661"/>
      <c r="U247" s="661"/>
      <c r="V247" s="661"/>
      <c r="W247" s="661"/>
      <c r="X247" s="661"/>
      <c r="Y247" s="661"/>
      <c r="Z247" s="661"/>
      <c r="AA247" s="661"/>
      <c r="AB247" s="661"/>
      <c r="AC247" s="661"/>
      <c r="AD247" s="661"/>
      <c r="AE247" s="661"/>
      <c r="AF247" s="661"/>
      <c r="AG247" s="661"/>
      <c r="AH247" s="661"/>
      <c r="AI247" s="661"/>
      <c r="AJ247" s="661"/>
      <c r="AK247" s="661"/>
      <c r="AL247" s="661"/>
      <c r="AM247" s="221"/>
      <c r="AN247" s="221"/>
      <c r="AO247" s="221"/>
      <c r="AP247" s="221"/>
      <c r="AQ247" s="221"/>
      <c r="AR247" s="221"/>
      <c r="AS247" s="221"/>
      <c r="AT247" s="221"/>
      <c r="AU247" s="221"/>
      <c r="AV247" s="221"/>
      <c r="AW247" s="661"/>
      <c r="AX247" s="661"/>
      <c r="AY247" s="443"/>
      <c r="AZ247" s="443"/>
      <c r="BA247" s="443"/>
      <c r="BB247" s="443"/>
      <c r="BC247" s="443"/>
      <c r="BD247" s="443"/>
      <c r="BE247" s="443"/>
      <c r="BF247" s="443"/>
      <c r="BG247" s="443"/>
      <c r="BH247" s="443"/>
      <c r="BI247" s="533"/>
      <c r="BJ247" s="533"/>
      <c r="BK247" s="533"/>
      <c r="BL247" s="682"/>
      <c r="BM247" s="695"/>
      <c r="BN247" s="695"/>
      <c r="BO247" s="695"/>
      <c r="BP247" s="695"/>
      <c r="BQ247" s="695"/>
      <c r="BR247" s="695"/>
      <c r="BS247" s="695"/>
      <c r="BT247" s="695"/>
      <c r="BU247" s="695"/>
      <c r="BV247" s="695"/>
      <c r="BW247" s="695"/>
      <c r="BX247" s="695"/>
      <c r="BY247" s="695"/>
      <c r="BZ247" s="695"/>
      <c r="CA247" s="695"/>
      <c r="CB247" s="695"/>
      <c r="CC247" s="695"/>
      <c r="CD247" s="695"/>
      <c r="CE247" s="695"/>
      <c r="CF247" s="695"/>
      <c r="CG247" s="695"/>
      <c r="CH247" s="695"/>
      <c r="CI247" s="695"/>
      <c r="CJ247" s="695"/>
    </row>
    <row r="248" spans="1:88" s="697" customFormat="1">
      <c r="A248" s="183"/>
      <c r="B248" s="183"/>
      <c r="C248" s="183"/>
      <c r="D248" s="183"/>
      <c r="E248" s="661"/>
      <c r="F248" s="661"/>
      <c r="G248" s="661"/>
      <c r="H248" s="661"/>
      <c r="I248" s="661"/>
      <c r="J248" s="661"/>
      <c r="K248" s="661"/>
      <c r="L248" s="661"/>
      <c r="M248" s="661"/>
      <c r="N248" s="661"/>
      <c r="O248" s="661"/>
      <c r="P248" s="661"/>
      <c r="Q248" s="661"/>
      <c r="R248" s="661"/>
      <c r="S248" s="661"/>
      <c r="T248" s="661"/>
      <c r="U248" s="661"/>
      <c r="V248" s="661"/>
      <c r="W248" s="661"/>
      <c r="X248" s="661"/>
      <c r="Y248" s="661"/>
      <c r="Z248" s="661"/>
      <c r="AA248" s="661"/>
      <c r="AB248" s="661"/>
      <c r="AC248" s="661"/>
      <c r="AD248" s="661"/>
      <c r="AE248" s="661"/>
      <c r="AF248" s="661"/>
      <c r="AG248" s="661"/>
      <c r="AH248" s="661"/>
      <c r="AI248" s="661"/>
      <c r="AJ248" s="661"/>
      <c r="AK248" s="661"/>
      <c r="AL248" s="661"/>
      <c r="AM248" s="221"/>
      <c r="AN248" s="221"/>
      <c r="AO248" s="221"/>
      <c r="AP248" s="221"/>
      <c r="AQ248" s="221"/>
      <c r="AR248" s="221"/>
      <c r="AS248" s="221"/>
      <c r="AT248" s="221"/>
      <c r="AU248" s="221"/>
      <c r="AV248" s="221"/>
      <c r="AW248" s="661"/>
      <c r="AX248" s="661"/>
      <c r="AY248" s="443"/>
      <c r="AZ248" s="443"/>
      <c r="BA248" s="443"/>
      <c r="BB248" s="443"/>
      <c r="BC248" s="443"/>
      <c r="BD248" s="443"/>
      <c r="BE248" s="443"/>
      <c r="BF248" s="443"/>
      <c r="BG248" s="443"/>
      <c r="BH248" s="443"/>
      <c r="BI248" s="533"/>
      <c r="BJ248" s="533"/>
      <c r="BK248" s="533"/>
      <c r="BL248" s="682"/>
      <c r="BM248" s="696"/>
      <c r="BN248" s="696"/>
      <c r="BO248" s="696"/>
      <c r="BP248" s="696"/>
      <c r="BQ248" s="696"/>
      <c r="BR248" s="696"/>
      <c r="BS248" s="696"/>
      <c r="BT248" s="696"/>
      <c r="BU248" s="696"/>
      <c r="BV248" s="696"/>
      <c r="BW248" s="696"/>
      <c r="BX248" s="696"/>
      <c r="BY248" s="696"/>
      <c r="BZ248" s="696"/>
      <c r="CA248" s="696"/>
      <c r="CB248" s="696"/>
      <c r="CC248" s="696"/>
      <c r="CD248" s="696"/>
      <c r="CE248" s="696"/>
      <c r="CF248" s="696"/>
      <c r="CG248" s="696"/>
      <c r="CH248" s="696"/>
      <c r="CI248" s="696"/>
      <c r="CJ248" s="696"/>
    </row>
    <row r="249" spans="1:88" s="182" customFormat="1">
      <c r="A249" s="183"/>
      <c r="B249" s="183"/>
      <c r="C249" s="183"/>
      <c r="D249" s="183"/>
      <c r="E249" s="661"/>
      <c r="F249" s="661"/>
      <c r="G249" s="661"/>
      <c r="H249" s="661"/>
      <c r="I249" s="661"/>
      <c r="J249" s="661"/>
      <c r="K249" s="661"/>
      <c r="L249" s="661"/>
      <c r="M249" s="661"/>
      <c r="N249" s="661"/>
      <c r="O249" s="661"/>
      <c r="P249" s="661"/>
      <c r="Q249" s="661"/>
      <c r="R249" s="661"/>
      <c r="S249" s="661"/>
      <c r="T249" s="661"/>
      <c r="U249" s="661"/>
      <c r="V249" s="661"/>
      <c r="W249" s="661"/>
      <c r="X249" s="661"/>
      <c r="Y249" s="661"/>
      <c r="Z249" s="661"/>
      <c r="AA249" s="661"/>
      <c r="AB249" s="661"/>
      <c r="AC249" s="661"/>
      <c r="AD249" s="661"/>
      <c r="AE249" s="661"/>
      <c r="AF249" s="661"/>
      <c r="AG249" s="661"/>
      <c r="AH249" s="661"/>
      <c r="AI249" s="661"/>
      <c r="AJ249" s="661"/>
      <c r="AK249" s="661"/>
      <c r="AL249" s="661"/>
      <c r="AM249" s="221"/>
      <c r="AN249" s="221"/>
      <c r="AO249" s="221"/>
      <c r="AP249" s="221"/>
      <c r="AQ249" s="221"/>
      <c r="AR249" s="221"/>
      <c r="AS249" s="221"/>
      <c r="AT249" s="221"/>
      <c r="AU249" s="221"/>
      <c r="AV249" s="221"/>
      <c r="AW249" s="661"/>
      <c r="AX249" s="661"/>
      <c r="AY249" s="443"/>
      <c r="AZ249" s="443"/>
      <c r="BA249" s="443"/>
      <c r="BB249" s="443"/>
      <c r="BC249" s="443"/>
      <c r="BD249" s="443"/>
      <c r="BE249" s="443"/>
      <c r="BF249" s="443"/>
      <c r="BG249" s="443"/>
      <c r="BH249" s="443"/>
      <c r="BI249" s="533"/>
      <c r="BJ249" s="533"/>
      <c r="BK249" s="533"/>
      <c r="BL249" s="682"/>
      <c r="BM249" s="402"/>
      <c r="BN249" s="402"/>
      <c r="BO249" s="402"/>
      <c r="BP249" s="402"/>
      <c r="BQ249" s="402"/>
      <c r="BR249" s="402"/>
      <c r="BS249" s="402"/>
      <c r="BT249" s="402"/>
      <c r="BU249" s="402"/>
      <c r="BV249" s="402"/>
      <c r="BW249" s="402"/>
      <c r="BX249" s="402"/>
      <c r="BY249" s="402"/>
      <c r="BZ249" s="402"/>
      <c r="CA249" s="402"/>
      <c r="CB249" s="402"/>
      <c r="CC249" s="402"/>
      <c r="CD249" s="402"/>
      <c r="CE249" s="402"/>
      <c r="CF249" s="402"/>
      <c r="CG249" s="402"/>
      <c r="CH249" s="402"/>
      <c r="CI249" s="402"/>
      <c r="CJ249" s="402"/>
    </row>
    <row r="250" spans="1:88" s="182" customFormat="1">
      <c r="A250" s="183"/>
      <c r="B250" s="183"/>
      <c r="C250" s="183"/>
      <c r="D250" s="183"/>
      <c r="E250" s="661"/>
      <c r="F250" s="661"/>
      <c r="G250" s="661"/>
      <c r="H250" s="661"/>
      <c r="I250" s="661"/>
      <c r="J250" s="661"/>
      <c r="K250" s="661"/>
      <c r="L250" s="661"/>
      <c r="M250" s="661"/>
      <c r="N250" s="661"/>
      <c r="O250" s="661"/>
      <c r="P250" s="661"/>
      <c r="Q250" s="661"/>
      <c r="R250" s="661"/>
      <c r="S250" s="661"/>
      <c r="T250" s="661"/>
      <c r="U250" s="661"/>
      <c r="V250" s="661"/>
      <c r="W250" s="661"/>
      <c r="X250" s="661"/>
      <c r="Y250" s="661"/>
      <c r="Z250" s="661"/>
      <c r="AA250" s="661"/>
      <c r="AB250" s="661"/>
      <c r="AC250" s="661"/>
      <c r="AD250" s="661"/>
      <c r="AE250" s="661"/>
      <c r="AF250" s="661"/>
      <c r="AG250" s="661"/>
      <c r="AH250" s="661"/>
      <c r="AI250" s="661"/>
      <c r="AJ250" s="661"/>
      <c r="AK250" s="661"/>
      <c r="AL250" s="661"/>
      <c r="AM250" s="221"/>
      <c r="AN250" s="221"/>
      <c r="AO250" s="221"/>
      <c r="AP250" s="221"/>
      <c r="AQ250" s="221"/>
      <c r="AR250" s="221"/>
      <c r="AS250" s="221"/>
      <c r="AT250" s="221"/>
      <c r="AU250" s="221"/>
      <c r="AV250" s="221"/>
      <c r="AW250" s="661"/>
      <c r="AX250" s="661"/>
      <c r="AY250" s="443"/>
      <c r="AZ250" s="443"/>
      <c r="BA250" s="443"/>
      <c r="BB250" s="443"/>
      <c r="BC250" s="443"/>
      <c r="BD250" s="443"/>
      <c r="BE250" s="443"/>
      <c r="BF250" s="443"/>
      <c r="BG250" s="443"/>
      <c r="BH250" s="443"/>
      <c r="BI250" s="533"/>
      <c r="BJ250" s="533"/>
      <c r="BK250" s="533"/>
      <c r="BL250" s="682"/>
      <c r="BM250" s="402"/>
      <c r="BN250" s="402"/>
      <c r="BO250" s="402"/>
      <c r="BP250" s="402"/>
      <c r="BQ250" s="402"/>
      <c r="BR250" s="402"/>
      <c r="BS250" s="402"/>
      <c r="BT250" s="402"/>
      <c r="BU250" s="402"/>
      <c r="BV250" s="402"/>
      <c r="BW250" s="402"/>
      <c r="BX250" s="402"/>
      <c r="BY250" s="402"/>
      <c r="BZ250" s="402"/>
      <c r="CA250" s="402"/>
      <c r="CB250" s="402"/>
      <c r="CC250" s="402"/>
      <c r="CD250" s="402"/>
      <c r="CE250" s="402"/>
      <c r="CF250" s="402"/>
      <c r="CG250" s="402"/>
      <c r="CH250" s="402"/>
      <c r="CI250" s="402"/>
      <c r="CJ250" s="402"/>
    </row>
    <row r="251" spans="1:88" s="182" customFormat="1">
      <c r="A251" s="183"/>
      <c r="B251" s="183"/>
      <c r="C251" s="183"/>
      <c r="D251" s="183"/>
      <c r="E251" s="661"/>
      <c r="F251" s="661"/>
      <c r="G251" s="661"/>
      <c r="H251" s="661"/>
      <c r="I251" s="661"/>
      <c r="J251" s="661"/>
      <c r="K251" s="661"/>
      <c r="L251" s="661"/>
      <c r="M251" s="661"/>
      <c r="N251" s="661"/>
      <c r="O251" s="661"/>
      <c r="P251" s="661"/>
      <c r="Q251" s="661"/>
      <c r="R251" s="661"/>
      <c r="S251" s="661"/>
      <c r="T251" s="661"/>
      <c r="U251" s="661"/>
      <c r="V251" s="661"/>
      <c r="W251" s="661"/>
      <c r="X251" s="661"/>
      <c r="Y251" s="661"/>
      <c r="Z251" s="661"/>
      <c r="AA251" s="661"/>
      <c r="AB251" s="661"/>
      <c r="AC251" s="661"/>
      <c r="AD251" s="661"/>
      <c r="AE251" s="661"/>
      <c r="AF251" s="661"/>
      <c r="AG251" s="661"/>
      <c r="AH251" s="661"/>
      <c r="AI251" s="661"/>
      <c r="AJ251" s="661"/>
      <c r="AK251" s="661"/>
      <c r="AL251" s="661"/>
      <c r="AM251" s="221"/>
      <c r="AN251" s="221"/>
      <c r="AO251" s="221"/>
      <c r="AP251" s="221"/>
      <c r="AQ251" s="221"/>
      <c r="AR251" s="221"/>
      <c r="AS251" s="221"/>
      <c r="AT251" s="221"/>
      <c r="AU251" s="221"/>
      <c r="AV251" s="221"/>
      <c r="AW251" s="661"/>
      <c r="AX251" s="661"/>
      <c r="AY251" s="443"/>
      <c r="AZ251" s="443"/>
      <c r="BA251" s="443"/>
      <c r="BB251" s="443"/>
      <c r="BC251" s="443"/>
      <c r="BD251" s="443"/>
      <c r="BE251" s="443"/>
      <c r="BF251" s="443"/>
      <c r="BG251" s="443"/>
      <c r="BH251" s="443"/>
      <c r="BI251" s="533"/>
      <c r="BJ251" s="533"/>
      <c r="BK251" s="533"/>
      <c r="BL251" s="682"/>
      <c r="BM251" s="402"/>
      <c r="BN251" s="402"/>
      <c r="BO251" s="402"/>
      <c r="BP251" s="402"/>
      <c r="BQ251" s="402"/>
      <c r="BR251" s="402"/>
      <c r="BS251" s="402"/>
      <c r="BT251" s="402"/>
      <c r="BU251" s="402"/>
      <c r="BV251" s="402"/>
      <c r="BW251" s="402"/>
      <c r="BX251" s="402"/>
      <c r="BY251" s="402"/>
      <c r="BZ251" s="402"/>
      <c r="CA251" s="402"/>
      <c r="CB251" s="402"/>
      <c r="CC251" s="402"/>
      <c r="CD251" s="402"/>
      <c r="CE251" s="402"/>
      <c r="CF251" s="402"/>
      <c r="CG251" s="402"/>
      <c r="CH251" s="402"/>
      <c r="CI251" s="402"/>
      <c r="CJ251" s="402"/>
    </row>
    <row r="252" spans="1:88" s="182" customFormat="1">
      <c r="A252" s="183"/>
      <c r="B252" s="183"/>
      <c r="C252" s="183"/>
      <c r="D252" s="183"/>
      <c r="E252" s="661"/>
      <c r="F252" s="661"/>
      <c r="G252" s="661"/>
      <c r="H252" s="661"/>
      <c r="I252" s="661"/>
      <c r="J252" s="661"/>
      <c r="K252" s="661"/>
      <c r="L252" s="661"/>
      <c r="M252" s="661"/>
      <c r="N252" s="661"/>
      <c r="O252" s="661"/>
      <c r="P252" s="661"/>
      <c r="Q252" s="661"/>
      <c r="R252" s="661"/>
      <c r="S252" s="661"/>
      <c r="T252" s="661"/>
      <c r="U252" s="661"/>
      <c r="V252" s="661"/>
      <c r="W252" s="661"/>
      <c r="X252" s="661"/>
      <c r="Y252" s="661"/>
      <c r="Z252" s="661"/>
      <c r="AA252" s="661"/>
      <c r="AB252" s="661"/>
      <c r="AC252" s="661"/>
      <c r="AD252" s="661"/>
      <c r="AE252" s="661"/>
      <c r="AF252" s="661"/>
      <c r="AG252" s="661"/>
      <c r="AH252" s="661"/>
      <c r="AI252" s="661"/>
      <c r="AJ252" s="661"/>
      <c r="AK252" s="661"/>
      <c r="AL252" s="661"/>
      <c r="AM252" s="221"/>
      <c r="AN252" s="221"/>
      <c r="AO252" s="221"/>
      <c r="AP252" s="221"/>
      <c r="AQ252" s="221"/>
      <c r="AR252" s="221"/>
      <c r="AS252" s="221"/>
      <c r="AT252" s="221"/>
      <c r="AU252" s="221"/>
      <c r="AV252" s="221"/>
      <c r="AW252" s="661"/>
      <c r="AX252" s="661"/>
      <c r="AY252" s="443"/>
      <c r="AZ252" s="443"/>
      <c r="BA252" s="443"/>
      <c r="BB252" s="443"/>
      <c r="BC252" s="443"/>
      <c r="BD252" s="443"/>
      <c r="BE252" s="443"/>
      <c r="BF252" s="443"/>
      <c r="BG252" s="443"/>
      <c r="BH252" s="443"/>
      <c r="BI252" s="533"/>
      <c r="BJ252" s="533"/>
      <c r="BK252" s="533"/>
      <c r="BL252" s="682"/>
      <c r="BM252" s="402"/>
      <c r="BN252" s="402"/>
      <c r="BO252" s="402"/>
      <c r="BP252" s="402"/>
      <c r="BQ252" s="402"/>
      <c r="BR252" s="402"/>
      <c r="BS252" s="402"/>
      <c r="BT252" s="402"/>
      <c r="BU252" s="402"/>
      <c r="BV252" s="402"/>
      <c r="BW252" s="402"/>
      <c r="BX252" s="402"/>
      <c r="BY252" s="402"/>
      <c r="BZ252" s="402"/>
      <c r="CA252" s="402"/>
      <c r="CB252" s="402"/>
      <c r="CC252" s="402"/>
      <c r="CD252" s="402"/>
      <c r="CE252" s="402"/>
      <c r="CF252" s="402"/>
      <c r="CG252" s="402"/>
      <c r="CH252" s="402"/>
      <c r="CI252" s="402"/>
      <c r="CJ252" s="402"/>
    </row>
    <row r="253" spans="1:88" s="182" customFormat="1">
      <c r="A253" s="183"/>
      <c r="B253" s="183"/>
      <c r="C253" s="183"/>
      <c r="D253" s="183"/>
      <c r="E253" s="661"/>
      <c r="F253" s="661"/>
      <c r="G253" s="661"/>
      <c r="H253" s="661"/>
      <c r="I253" s="661"/>
      <c r="J253" s="661"/>
      <c r="K253" s="661"/>
      <c r="L253" s="661"/>
      <c r="M253" s="661"/>
      <c r="N253" s="661"/>
      <c r="O253" s="661"/>
      <c r="P253" s="661"/>
      <c r="Q253" s="661"/>
      <c r="R253" s="661"/>
      <c r="S253" s="661"/>
      <c r="T253" s="661"/>
      <c r="U253" s="661"/>
      <c r="V253" s="661"/>
      <c r="W253" s="661"/>
      <c r="X253" s="661"/>
      <c r="Y253" s="661"/>
      <c r="Z253" s="661"/>
      <c r="AA253" s="661"/>
      <c r="AB253" s="661"/>
      <c r="AC253" s="661"/>
      <c r="AD253" s="661"/>
      <c r="AE253" s="661"/>
      <c r="AF253" s="661"/>
      <c r="AG253" s="661"/>
      <c r="AH253" s="661"/>
      <c r="AI253" s="661"/>
      <c r="AJ253" s="661"/>
      <c r="AK253" s="661"/>
      <c r="AL253" s="661"/>
      <c r="AM253" s="221"/>
      <c r="AN253" s="221"/>
      <c r="AO253" s="221"/>
      <c r="AP253" s="221"/>
      <c r="AQ253" s="221"/>
      <c r="AR253" s="221"/>
      <c r="AS253" s="221"/>
      <c r="AT253" s="221"/>
      <c r="AU253" s="221"/>
      <c r="AV253" s="221"/>
      <c r="AW253" s="661"/>
      <c r="AX253" s="661"/>
      <c r="AY253" s="443"/>
      <c r="AZ253" s="443"/>
      <c r="BA253" s="443"/>
      <c r="BB253" s="443"/>
      <c r="BC253" s="443"/>
      <c r="BD253" s="443"/>
      <c r="BE253" s="443"/>
      <c r="BF253" s="443"/>
      <c r="BG253" s="443"/>
      <c r="BH253" s="443"/>
      <c r="BI253" s="533"/>
      <c r="BJ253" s="533"/>
      <c r="BK253" s="533"/>
      <c r="BL253" s="682"/>
      <c r="BM253" s="402"/>
      <c r="BN253" s="402"/>
      <c r="BO253" s="402"/>
      <c r="BP253" s="402"/>
      <c r="BQ253" s="402"/>
      <c r="BR253" s="402"/>
      <c r="BS253" s="402"/>
      <c r="BT253" s="402"/>
      <c r="BU253" s="402"/>
      <c r="BV253" s="402"/>
      <c r="BW253" s="402"/>
      <c r="BX253" s="402"/>
      <c r="BY253" s="402"/>
      <c r="BZ253" s="402"/>
      <c r="CA253" s="402"/>
      <c r="CB253" s="402"/>
      <c r="CC253" s="402"/>
      <c r="CD253" s="402"/>
      <c r="CE253" s="402"/>
      <c r="CF253" s="402"/>
      <c r="CG253" s="402"/>
      <c r="CH253" s="402"/>
      <c r="CI253" s="402"/>
      <c r="CJ253" s="402"/>
    </row>
    <row r="254" spans="1:88" s="182" customFormat="1">
      <c r="A254" s="183"/>
      <c r="B254" s="183"/>
      <c r="C254" s="183"/>
      <c r="D254" s="183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61"/>
      <c r="AB254" s="661"/>
      <c r="AC254" s="661"/>
      <c r="AD254" s="661"/>
      <c r="AE254" s="661"/>
      <c r="AF254" s="661"/>
      <c r="AG254" s="661"/>
      <c r="AH254" s="661"/>
      <c r="AI254" s="661"/>
      <c r="AJ254" s="661"/>
      <c r="AK254" s="661"/>
      <c r="AL254" s="661"/>
      <c r="AM254" s="221"/>
      <c r="AN254" s="221"/>
      <c r="AO254" s="221"/>
      <c r="AP254" s="221"/>
      <c r="AQ254" s="221"/>
      <c r="AR254" s="221"/>
      <c r="AS254" s="221"/>
      <c r="AT254" s="221"/>
      <c r="AU254" s="221"/>
      <c r="AV254" s="221"/>
      <c r="AW254" s="661"/>
      <c r="AX254" s="661"/>
      <c r="AY254" s="443"/>
      <c r="AZ254" s="443"/>
      <c r="BA254" s="443"/>
      <c r="BB254" s="443"/>
      <c r="BC254" s="443"/>
      <c r="BD254" s="443"/>
      <c r="BE254" s="443"/>
      <c r="BF254" s="443"/>
      <c r="BG254" s="443"/>
      <c r="BH254" s="443"/>
      <c r="BI254" s="533"/>
      <c r="BJ254" s="533"/>
      <c r="BK254" s="533"/>
      <c r="BL254" s="682"/>
      <c r="BM254" s="402"/>
      <c r="BN254" s="402"/>
      <c r="BO254" s="402"/>
      <c r="BP254" s="402"/>
      <c r="BQ254" s="402"/>
      <c r="BR254" s="402"/>
      <c r="BS254" s="402"/>
      <c r="BT254" s="402"/>
      <c r="BU254" s="402"/>
      <c r="BV254" s="402"/>
      <c r="BW254" s="402"/>
      <c r="BX254" s="402"/>
      <c r="BY254" s="402"/>
      <c r="BZ254" s="402"/>
      <c r="CA254" s="402"/>
      <c r="CB254" s="402"/>
      <c r="CC254" s="402"/>
      <c r="CD254" s="402"/>
      <c r="CE254" s="402"/>
      <c r="CF254" s="402"/>
      <c r="CG254" s="402"/>
      <c r="CH254" s="402"/>
      <c r="CI254" s="402"/>
      <c r="CJ254" s="402"/>
    </row>
    <row r="255" spans="1:88" s="182" customFormat="1">
      <c r="A255" s="183"/>
      <c r="B255" s="183"/>
      <c r="C255" s="183"/>
      <c r="D255" s="183"/>
      <c r="E255" s="661"/>
      <c r="F255" s="661"/>
      <c r="G255" s="661"/>
      <c r="H255" s="661"/>
      <c r="I255" s="661"/>
      <c r="J255" s="661"/>
      <c r="K255" s="661"/>
      <c r="L255" s="661"/>
      <c r="M255" s="661"/>
      <c r="N255" s="661"/>
      <c r="O255" s="661"/>
      <c r="P255" s="661"/>
      <c r="Q255" s="661"/>
      <c r="R255" s="661"/>
      <c r="S255" s="661"/>
      <c r="T255" s="661"/>
      <c r="U255" s="661"/>
      <c r="V255" s="661"/>
      <c r="W255" s="661"/>
      <c r="X255" s="661"/>
      <c r="Y255" s="661"/>
      <c r="Z255" s="661"/>
      <c r="AA255" s="661"/>
      <c r="AB255" s="661"/>
      <c r="AC255" s="661"/>
      <c r="AD255" s="661"/>
      <c r="AE255" s="661"/>
      <c r="AF255" s="661"/>
      <c r="AG255" s="661"/>
      <c r="AH255" s="661"/>
      <c r="AI255" s="661"/>
      <c r="AJ255" s="661"/>
      <c r="AK255" s="661"/>
      <c r="AL255" s="661"/>
      <c r="AM255" s="221"/>
      <c r="AN255" s="221"/>
      <c r="AO255" s="221"/>
      <c r="AP255" s="221"/>
      <c r="AQ255" s="221"/>
      <c r="AR255" s="221"/>
      <c r="AS255" s="221"/>
      <c r="AT255" s="221"/>
      <c r="AU255" s="221"/>
      <c r="AV255" s="221"/>
      <c r="AW255" s="661"/>
      <c r="AX255" s="661"/>
      <c r="AY255" s="443"/>
      <c r="AZ255" s="443"/>
      <c r="BA255" s="443"/>
      <c r="BB255" s="443"/>
      <c r="BC255" s="443"/>
      <c r="BD255" s="443"/>
      <c r="BE255" s="443"/>
      <c r="BF255" s="443"/>
      <c r="BG255" s="443"/>
      <c r="BH255" s="443"/>
      <c r="BI255" s="533"/>
      <c r="BJ255" s="533"/>
      <c r="BK255" s="533"/>
      <c r="BL255" s="682"/>
      <c r="BM255" s="402"/>
      <c r="BN255" s="402"/>
      <c r="BO255" s="402"/>
      <c r="BP255" s="402"/>
      <c r="BQ255" s="402"/>
      <c r="BR255" s="402"/>
      <c r="BS255" s="402"/>
      <c r="BT255" s="402"/>
      <c r="BU255" s="402"/>
      <c r="BV255" s="402"/>
      <c r="BW255" s="402"/>
      <c r="BX255" s="402"/>
      <c r="BY255" s="402"/>
      <c r="BZ255" s="402"/>
      <c r="CA255" s="402"/>
      <c r="CB255" s="402"/>
      <c r="CC255" s="402"/>
      <c r="CD255" s="402"/>
      <c r="CE255" s="402"/>
      <c r="CF255" s="402"/>
      <c r="CG255" s="402"/>
      <c r="CH255" s="402"/>
      <c r="CI255" s="402"/>
      <c r="CJ255" s="402"/>
    </row>
    <row r="256" spans="1:88" s="182" customFormat="1">
      <c r="A256" s="183"/>
      <c r="B256" s="183"/>
      <c r="C256" s="183"/>
      <c r="D256" s="183"/>
      <c r="E256" s="661"/>
      <c r="F256" s="661"/>
      <c r="G256" s="661"/>
      <c r="H256" s="661"/>
      <c r="I256" s="661"/>
      <c r="J256" s="661"/>
      <c r="K256" s="661"/>
      <c r="L256" s="661"/>
      <c r="M256" s="661"/>
      <c r="N256" s="661"/>
      <c r="O256" s="661"/>
      <c r="P256" s="661"/>
      <c r="Q256" s="661"/>
      <c r="R256" s="661"/>
      <c r="S256" s="661"/>
      <c r="T256" s="661"/>
      <c r="U256" s="661"/>
      <c r="V256" s="661"/>
      <c r="W256" s="661"/>
      <c r="X256" s="661"/>
      <c r="Y256" s="661"/>
      <c r="Z256" s="661"/>
      <c r="AA256" s="661"/>
      <c r="AB256" s="661"/>
      <c r="AC256" s="661"/>
      <c r="AD256" s="661"/>
      <c r="AE256" s="661"/>
      <c r="AF256" s="661"/>
      <c r="AG256" s="661"/>
      <c r="AH256" s="661"/>
      <c r="AI256" s="661"/>
      <c r="AJ256" s="661"/>
      <c r="AK256" s="661"/>
      <c r="AL256" s="661"/>
      <c r="AM256" s="221"/>
      <c r="AN256" s="221"/>
      <c r="AO256" s="221"/>
      <c r="AP256" s="221"/>
      <c r="AQ256" s="221"/>
      <c r="AR256" s="221"/>
      <c r="AS256" s="221"/>
      <c r="AT256" s="221"/>
      <c r="AU256" s="221"/>
      <c r="AV256" s="221"/>
      <c r="AW256" s="661"/>
      <c r="AX256" s="661"/>
      <c r="AY256" s="443"/>
      <c r="AZ256" s="443"/>
      <c r="BA256" s="443"/>
      <c r="BB256" s="443"/>
      <c r="BC256" s="443"/>
      <c r="BD256" s="443"/>
      <c r="BE256" s="443"/>
      <c r="BF256" s="443"/>
      <c r="BG256" s="443"/>
      <c r="BH256" s="443"/>
      <c r="BI256" s="533"/>
      <c r="BJ256" s="533"/>
      <c r="BK256" s="533"/>
      <c r="BL256" s="682"/>
      <c r="BM256" s="402"/>
      <c r="BN256" s="402"/>
      <c r="BO256" s="402"/>
      <c r="BP256" s="402"/>
      <c r="BQ256" s="402"/>
      <c r="BR256" s="402"/>
      <c r="BS256" s="402"/>
      <c r="BT256" s="402"/>
      <c r="BU256" s="402"/>
      <c r="BV256" s="402"/>
      <c r="BW256" s="402"/>
      <c r="BX256" s="402"/>
      <c r="BY256" s="402"/>
      <c r="BZ256" s="402"/>
      <c r="CA256" s="402"/>
      <c r="CB256" s="402"/>
      <c r="CC256" s="402"/>
      <c r="CD256" s="402"/>
      <c r="CE256" s="402"/>
      <c r="CF256" s="402"/>
      <c r="CG256" s="402"/>
      <c r="CH256" s="402"/>
      <c r="CI256" s="402"/>
      <c r="CJ256" s="402"/>
    </row>
    <row r="257" spans="1:88" s="182" customFormat="1">
      <c r="A257" s="183"/>
      <c r="B257" s="183"/>
      <c r="C257" s="183"/>
      <c r="D257" s="183"/>
      <c r="E257" s="661"/>
      <c r="F257" s="661"/>
      <c r="G257" s="661"/>
      <c r="H257" s="661"/>
      <c r="I257" s="661"/>
      <c r="J257" s="661"/>
      <c r="K257" s="661"/>
      <c r="L257" s="661"/>
      <c r="M257" s="661"/>
      <c r="N257" s="661"/>
      <c r="O257" s="661"/>
      <c r="P257" s="661"/>
      <c r="Q257" s="661"/>
      <c r="R257" s="661"/>
      <c r="S257" s="661"/>
      <c r="T257" s="661"/>
      <c r="U257" s="661"/>
      <c r="V257" s="661"/>
      <c r="W257" s="661"/>
      <c r="X257" s="661"/>
      <c r="Y257" s="661"/>
      <c r="Z257" s="661"/>
      <c r="AA257" s="661"/>
      <c r="AB257" s="661"/>
      <c r="AC257" s="661"/>
      <c r="AD257" s="661"/>
      <c r="AE257" s="661"/>
      <c r="AF257" s="661"/>
      <c r="AG257" s="661"/>
      <c r="AH257" s="661"/>
      <c r="AI257" s="661"/>
      <c r="AJ257" s="661"/>
      <c r="AK257" s="661"/>
      <c r="AL257" s="661"/>
      <c r="AM257" s="221"/>
      <c r="AN257" s="221"/>
      <c r="AO257" s="221"/>
      <c r="AP257" s="221"/>
      <c r="AQ257" s="221"/>
      <c r="AR257" s="221"/>
      <c r="AS257" s="221"/>
      <c r="AT257" s="221"/>
      <c r="AU257" s="221"/>
      <c r="AV257" s="221"/>
      <c r="AW257" s="661"/>
      <c r="AX257" s="661"/>
      <c r="AY257" s="443"/>
      <c r="AZ257" s="443"/>
      <c r="BA257" s="443"/>
      <c r="BB257" s="443"/>
      <c r="BC257" s="443"/>
      <c r="BD257" s="443"/>
      <c r="BE257" s="443"/>
      <c r="BF257" s="443"/>
      <c r="BG257" s="443"/>
      <c r="BH257" s="443"/>
      <c r="BI257" s="533"/>
      <c r="BJ257" s="533"/>
      <c r="BK257" s="533"/>
      <c r="BL257" s="682"/>
      <c r="BM257" s="402"/>
      <c r="BN257" s="402"/>
      <c r="BO257" s="402"/>
      <c r="BP257" s="402"/>
      <c r="BQ257" s="402"/>
      <c r="BR257" s="402"/>
      <c r="BS257" s="402"/>
      <c r="BT257" s="402"/>
      <c r="BU257" s="402"/>
      <c r="BV257" s="402"/>
      <c r="BW257" s="402"/>
      <c r="BX257" s="402"/>
      <c r="BY257" s="402"/>
      <c r="BZ257" s="402"/>
      <c r="CA257" s="402"/>
      <c r="CB257" s="402"/>
      <c r="CC257" s="402"/>
      <c r="CD257" s="402"/>
      <c r="CE257" s="402"/>
      <c r="CF257" s="402"/>
      <c r="CG257" s="402"/>
      <c r="CH257" s="402"/>
      <c r="CI257" s="402"/>
      <c r="CJ257" s="402"/>
    </row>
    <row r="258" spans="1:88" s="182" customFormat="1">
      <c r="A258" s="183"/>
      <c r="B258" s="183"/>
      <c r="C258" s="183"/>
      <c r="D258" s="183"/>
      <c r="E258" s="661"/>
      <c r="F258" s="661"/>
      <c r="G258" s="661"/>
      <c r="H258" s="661"/>
      <c r="I258" s="661"/>
      <c r="J258" s="661"/>
      <c r="K258" s="661"/>
      <c r="L258" s="661"/>
      <c r="M258" s="661"/>
      <c r="N258" s="661"/>
      <c r="O258" s="661"/>
      <c r="P258" s="661"/>
      <c r="Q258" s="661"/>
      <c r="R258" s="661"/>
      <c r="S258" s="661"/>
      <c r="T258" s="661"/>
      <c r="U258" s="661"/>
      <c r="V258" s="661"/>
      <c r="W258" s="661"/>
      <c r="X258" s="661"/>
      <c r="Y258" s="661"/>
      <c r="Z258" s="661"/>
      <c r="AA258" s="661"/>
      <c r="AB258" s="661"/>
      <c r="AC258" s="661"/>
      <c r="AD258" s="661"/>
      <c r="AE258" s="661"/>
      <c r="AF258" s="661"/>
      <c r="AG258" s="661"/>
      <c r="AH258" s="661"/>
      <c r="AI258" s="661"/>
      <c r="AJ258" s="661"/>
      <c r="AK258" s="661"/>
      <c r="AL258" s="661"/>
      <c r="AM258" s="221"/>
      <c r="AN258" s="221"/>
      <c r="AO258" s="221"/>
      <c r="AP258" s="221"/>
      <c r="AQ258" s="221"/>
      <c r="AR258" s="221"/>
      <c r="AS258" s="221"/>
      <c r="AT258" s="221"/>
      <c r="AU258" s="221"/>
      <c r="AV258" s="221"/>
      <c r="AW258" s="661"/>
      <c r="AX258" s="661"/>
      <c r="AY258" s="443"/>
      <c r="AZ258" s="443"/>
      <c r="BA258" s="443"/>
      <c r="BB258" s="443"/>
      <c r="BC258" s="443"/>
      <c r="BD258" s="443"/>
      <c r="BE258" s="443"/>
      <c r="BF258" s="443"/>
      <c r="BG258" s="443"/>
      <c r="BH258" s="443"/>
      <c r="BI258" s="533"/>
      <c r="BJ258" s="533"/>
      <c r="BK258" s="533"/>
      <c r="BL258" s="682"/>
      <c r="BM258" s="402"/>
      <c r="BN258" s="402"/>
      <c r="BO258" s="402"/>
      <c r="BP258" s="402"/>
      <c r="BQ258" s="402"/>
      <c r="BR258" s="402"/>
      <c r="BS258" s="402"/>
      <c r="BT258" s="402"/>
      <c r="BU258" s="402"/>
      <c r="BV258" s="402"/>
      <c r="BW258" s="402"/>
      <c r="BX258" s="402"/>
      <c r="BY258" s="402"/>
      <c r="BZ258" s="402"/>
      <c r="CA258" s="402"/>
      <c r="CB258" s="402"/>
      <c r="CC258" s="402"/>
      <c r="CD258" s="402"/>
      <c r="CE258" s="402"/>
      <c r="CF258" s="402"/>
      <c r="CG258" s="402"/>
      <c r="CH258" s="402"/>
      <c r="CI258" s="402"/>
      <c r="CJ258" s="402"/>
    </row>
    <row r="259" spans="1:88" s="182" customFormat="1">
      <c r="A259" s="183"/>
      <c r="B259" s="183"/>
      <c r="C259" s="183"/>
      <c r="D259" s="183"/>
      <c r="E259" s="661"/>
      <c r="F259" s="661"/>
      <c r="G259" s="661"/>
      <c r="H259" s="661"/>
      <c r="I259" s="661"/>
      <c r="J259" s="661"/>
      <c r="K259" s="661"/>
      <c r="L259" s="661"/>
      <c r="M259" s="661"/>
      <c r="N259" s="661"/>
      <c r="O259" s="661"/>
      <c r="P259" s="661"/>
      <c r="Q259" s="661"/>
      <c r="R259" s="661"/>
      <c r="S259" s="661"/>
      <c r="T259" s="661"/>
      <c r="U259" s="661"/>
      <c r="V259" s="661"/>
      <c r="W259" s="661"/>
      <c r="X259" s="661"/>
      <c r="Y259" s="661"/>
      <c r="Z259" s="661"/>
      <c r="AA259" s="661"/>
      <c r="AB259" s="661"/>
      <c r="AC259" s="661"/>
      <c r="AD259" s="661"/>
      <c r="AE259" s="661"/>
      <c r="AF259" s="661"/>
      <c r="AG259" s="661"/>
      <c r="AH259" s="661"/>
      <c r="AI259" s="661"/>
      <c r="AJ259" s="661"/>
      <c r="AK259" s="661"/>
      <c r="AL259" s="661"/>
      <c r="AM259" s="221"/>
      <c r="AN259" s="221"/>
      <c r="AO259" s="221"/>
      <c r="AP259" s="221"/>
      <c r="AQ259" s="221"/>
      <c r="AR259" s="221"/>
      <c r="AS259" s="221"/>
      <c r="AT259" s="221"/>
      <c r="AU259" s="221"/>
      <c r="AV259" s="221"/>
      <c r="AW259" s="661"/>
      <c r="AX259" s="661"/>
      <c r="AY259" s="443"/>
      <c r="AZ259" s="443"/>
      <c r="BA259" s="443"/>
      <c r="BB259" s="443"/>
      <c r="BC259" s="443"/>
      <c r="BD259" s="443"/>
      <c r="BE259" s="443"/>
      <c r="BF259" s="443"/>
      <c r="BG259" s="443"/>
      <c r="BH259" s="443"/>
      <c r="BI259" s="533"/>
      <c r="BJ259" s="533"/>
      <c r="BK259" s="533"/>
      <c r="BL259" s="682"/>
      <c r="BM259" s="402"/>
      <c r="BN259" s="402"/>
      <c r="BO259" s="402"/>
      <c r="BP259" s="402"/>
      <c r="BQ259" s="402"/>
      <c r="BR259" s="402"/>
      <c r="BS259" s="402"/>
      <c r="BT259" s="402"/>
      <c r="BU259" s="402"/>
      <c r="BV259" s="402"/>
      <c r="BW259" s="402"/>
      <c r="BX259" s="402"/>
      <c r="BY259" s="402"/>
      <c r="BZ259" s="402"/>
      <c r="CA259" s="402"/>
      <c r="CB259" s="402"/>
      <c r="CC259" s="402"/>
      <c r="CD259" s="402"/>
      <c r="CE259" s="402"/>
      <c r="CF259" s="402"/>
      <c r="CG259" s="402"/>
      <c r="CH259" s="402"/>
      <c r="CI259" s="402"/>
      <c r="CJ259" s="402"/>
    </row>
    <row r="260" spans="1:88" s="182" customFormat="1">
      <c r="A260" s="183"/>
      <c r="B260" s="183"/>
      <c r="C260" s="183"/>
      <c r="D260" s="183"/>
      <c r="E260" s="661"/>
      <c r="F260" s="661"/>
      <c r="G260" s="661"/>
      <c r="H260" s="661"/>
      <c r="I260" s="661"/>
      <c r="J260" s="661"/>
      <c r="K260" s="661"/>
      <c r="L260" s="661"/>
      <c r="M260" s="661"/>
      <c r="N260" s="661"/>
      <c r="O260" s="661"/>
      <c r="P260" s="661"/>
      <c r="Q260" s="661"/>
      <c r="R260" s="661"/>
      <c r="S260" s="661"/>
      <c r="T260" s="661"/>
      <c r="U260" s="661"/>
      <c r="V260" s="661"/>
      <c r="W260" s="661"/>
      <c r="X260" s="661"/>
      <c r="Y260" s="661"/>
      <c r="Z260" s="661"/>
      <c r="AA260" s="661"/>
      <c r="AB260" s="661"/>
      <c r="AC260" s="661"/>
      <c r="AD260" s="661"/>
      <c r="AE260" s="661"/>
      <c r="AF260" s="661"/>
      <c r="AG260" s="661"/>
      <c r="AH260" s="661"/>
      <c r="AI260" s="661"/>
      <c r="AJ260" s="661"/>
      <c r="AK260" s="661"/>
      <c r="AL260" s="661"/>
      <c r="AM260" s="221"/>
      <c r="AN260" s="221"/>
      <c r="AO260" s="221"/>
      <c r="AP260" s="221"/>
      <c r="AQ260" s="221"/>
      <c r="AR260" s="221"/>
      <c r="AS260" s="221"/>
      <c r="AT260" s="221"/>
      <c r="AU260" s="221"/>
      <c r="AV260" s="221"/>
      <c r="AW260" s="661"/>
      <c r="AX260" s="661"/>
      <c r="AY260" s="443"/>
      <c r="AZ260" s="443"/>
      <c r="BA260" s="443"/>
      <c r="BB260" s="443"/>
      <c r="BC260" s="443"/>
      <c r="BD260" s="443"/>
      <c r="BE260" s="443"/>
      <c r="BF260" s="443"/>
      <c r="BG260" s="443"/>
      <c r="BH260" s="443"/>
      <c r="BI260" s="533"/>
      <c r="BJ260" s="533"/>
      <c r="BK260" s="533"/>
      <c r="BL260" s="682"/>
      <c r="BM260" s="402"/>
      <c r="BN260" s="402"/>
      <c r="BO260" s="402"/>
      <c r="BP260" s="402"/>
      <c r="BQ260" s="402"/>
      <c r="BR260" s="402"/>
      <c r="BS260" s="402"/>
      <c r="BT260" s="402"/>
      <c r="BU260" s="402"/>
      <c r="BV260" s="402"/>
      <c r="BW260" s="402"/>
      <c r="BX260" s="402"/>
      <c r="BY260" s="402"/>
      <c r="BZ260" s="402"/>
      <c r="CA260" s="402"/>
      <c r="CB260" s="402"/>
      <c r="CC260" s="402"/>
      <c r="CD260" s="402"/>
      <c r="CE260" s="402"/>
      <c r="CF260" s="402"/>
      <c r="CG260" s="402"/>
      <c r="CH260" s="402"/>
      <c r="CI260" s="402"/>
      <c r="CJ260" s="402"/>
    </row>
    <row r="261" spans="1:88" s="182" customFormat="1">
      <c r="A261" s="183"/>
      <c r="B261" s="183"/>
      <c r="C261" s="183"/>
      <c r="D261" s="183"/>
      <c r="E261" s="661"/>
      <c r="F261" s="661"/>
      <c r="G261" s="661"/>
      <c r="H261" s="661"/>
      <c r="I261" s="661"/>
      <c r="J261" s="661"/>
      <c r="K261" s="661"/>
      <c r="L261" s="661"/>
      <c r="M261" s="661"/>
      <c r="N261" s="661"/>
      <c r="O261" s="661"/>
      <c r="P261" s="661"/>
      <c r="Q261" s="661"/>
      <c r="R261" s="661"/>
      <c r="S261" s="661"/>
      <c r="T261" s="661"/>
      <c r="U261" s="661"/>
      <c r="V261" s="661"/>
      <c r="W261" s="661"/>
      <c r="X261" s="661"/>
      <c r="Y261" s="661"/>
      <c r="Z261" s="661"/>
      <c r="AA261" s="661"/>
      <c r="AB261" s="661"/>
      <c r="AC261" s="661"/>
      <c r="AD261" s="661"/>
      <c r="AE261" s="661"/>
      <c r="AF261" s="661"/>
      <c r="AG261" s="661"/>
      <c r="AH261" s="661"/>
      <c r="AI261" s="661"/>
      <c r="AJ261" s="661"/>
      <c r="AK261" s="661"/>
      <c r="AL261" s="661"/>
      <c r="AM261" s="221"/>
      <c r="AN261" s="221"/>
      <c r="AO261" s="221"/>
      <c r="AP261" s="221"/>
      <c r="AQ261" s="221"/>
      <c r="AR261" s="221"/>
      <c r="AS261" s="221"/>
      <c r="AT261" s="221"/>
      <c r="AU261" s="221"/>
      <c r="AV261" s="221"/>
      <c r="AW261" s="661"/>
      <c r="AX261" s="661"/>
      <c r="AY261" s="443"/>
      <c r="AZ261" s="443"/>
      <c r="BA261" s="443"/>
      <c r="BB261" s="443"/>
      <c r="BC261" s="443"/>
      <c r="BD261" s="443"/>
      <c r="BE261" s="443"/>
      <c r="BF261" s="443"/>
      <c r="BG261" s="443"/>
      <c r="BH261" s="443"/>
      <c r="BI261" s="533"/>
      <c r="BJ261" s="533"/>
      <c r="BK261" s="533"/>
      <c r="BL261" s="682"/>
      <c r="BM261" s="402"/>
      <c r="BN261" s="402"/>
      <c r="BO261" s="402"/>
      <c r="BP261" s="402"/>
      <c r="BQ261" s="402"/>
      <c r="BR261" s="402"/>
      <c r="BS261" s="402"/>
      <c r="BT261" s="402"/>
      <c r="BU261" s="402"/>
      <c r="BV261" s="402"/>
      <c r="BW261" s="402"/>
      <c r="BX261" s="402"/>
      <c r="BY261" s="402"/>
      <c r="BZ261" s="402"/>
      <c r="CA261" s="402"/>
      <c r="CB261" s="402"/>
      <c r="CC261" s="402"/>
      <c r="CD261" s="402"/>
      <c r="CE261" s="402"/>
      <c r="CF261" s="402"/>
      <c r="CG261" s="402"/>
      <c r="CH261" s="402"/>
      <c r="CI261" s="402"/>
      <c r="CJ261" s="402"/>
    </row>
    <row r="262" spans="1:88" s="182" customFormat="1">
      <c r="A262" s="183"/>
      <c r="B262" s="183"/>
      <c r="C262" s="183"/>
      <c r="D262" s="183"/>
      <c r="E262" s="661"/>
      <c r="F262" s="661"/>
      <c r="G262" s="661"/>
      <c r="H262" s="661"/>
      <c r="I262" s="661"/>
      <c r="J262" s="661"/>
      <c r="K262" s="661"/>
      <c r="L262" s="661"/>
      <c r="M262" s="661"/>
      <c r="N262" s="661"/>
      <c r="O262" s="661"/>
      <c r="P262" s="661"/>
      <c r="Q262" s="661"/>
      <c r="R262" s="661"/>
      <c r="S262" s="661"/>
      <c r="T262" s="661"/>
      <c r="U262" s="661"/>
      <c r="V262" s="661"/>
      <c r="W262" s="661"/>
      <c r="X262" s="661"/>
      <c r="Y262" s="661"/>
      <c r="Z262" s="661"/>
      <c r="AA262" s="661"/>
      <c r="AB262" s="661"/>
      <c r="AC262" s="661"/>
      <c r="AD262" s="661"/>
      <c r="AE262" s="661"/>
      <c r="AF262" s="661"/>
      <c r="AG262" s="661"/>
      <c r="AH262" s="661"/>
      <c r="AI262" s="661"/>
      <c r="AJ262" s="661"/>
      <c r="AK262" s="661"/>
      <c r="AL262" s="661"/>
      <c r="AM262" s="221"/>
      <c r="AN262" s="221"/>
      <c r="AO262" s="221"/>
      <c r="AP262" s="221"/>
      <c r="AQ262" s="221"/>
      <c r="AR262" s="221"/>
      <c r="AS262" s="221"/>
      <c r="AT262" s="221"/>
      <c r="AU262" s="221"/>
      <c r="AV262" s="221"/>
      <c r="AW262" s="661"/>
      <c r="AX262" s="661"/>
      <c r="AY262" s="443"/>
      <c r="AZ262" s="443"/>
      <c r="BA262" s="443"/>
      <c r="BB262" s="443"/>
      <c r="BC262" s="443"/>
      <c r="BD262" s="443"/>
      <c r="BE262" s="443"/>
      <c r="BF262" s="443"/>
      <c r="BG262" s="443"/>
      <c r="BH262" s="443"/>
      <c r="BI262" s="533"/>
      <c r="BJ262" s="533"/>
      <c r="BK262" s="533"/>
      <c r="BL262" s="682"/>
      <c r="BM262" s="402"/>
      <c r="BN262" s="402"/>
      <c r="BO262" s="402"/>
      <c r="BP262" s="402"/>
      <c r="BQ262" s="402"/>
      <c r="BR262" s="402"/>
      <c r="BS262" s="402"/>
      <c r="BT262" s="402"/>
      <c r="BU262" s="402"/>
      <c r="BV262" s="402"/>
      <c r="BW262" s="402"/>
      <c r="BX262" s="402"/>
      <c r="BY262" s="402"/>
      <c r="BZ262" s="402"/>
      <c r="CA262" s="402"/>
      <c r="CB262" s="402"/>
      <c r="CC262" s="402"/>
      <c r="CD262" s="402"/>
      <c r="CE262" s="402"/>
      <c r="CF262" s="402"/>
      <c r="CG262" s="402"/>
      <c r="CH262" s="402"/>
      <c r="CI262" s="402"/>
      <c r="CJ262" s="402"/>
    </row>
    <row r="263" spans="1:88" s="182" customFormat="1">
      <c r="A263" s="183"/>
      <c r="B263" s="183"/>
      <c r="C263" s="183"/>
      <c r="D263" s="183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61"/>
      <c r="AB263" s="661"/>
      <c r="AC263" s="661"/>
      <c r="AD263" s="661"/>
      <c r="AE263" s="661"/>
      <c r="AF263" s="661"/>
      <c r="AG263" s="661"/>
      <c r="AH263" s="661"/>
      <c r="AI263" s="661"/>
      <c r="AJ263" s="661"/>
      <c r="AK263" s="661"/>
      <c r="AL263" s="661"/>
      <c r="AM263" s="221"/>
      <c r="AN263" s="221"/>
      <c r="AO263" s="221"/>
      <c r="AP263" s="221"/>
      <c r="AQ263" s="221"/>
      <c r="AR263" s="221"/>
      <c r="AS263" s="221"/>
      <c r="AT263" s="221"/>
      <c r="AU263" s="221"/>
      <c r="AV263" s="221"/>
      <c r="AW263" s="661"/>
      <c r="AX263" s="661"/>
      <c r="AY263" s="443"/>
      <c r="AZ263" s="443"/>
      <c r="BA263" s="443"/>
      <c r="BB263" s="443"/>
      <c r="BC263" s="443"/>
      <c r="BD263" s="443"/>
      <c r="BE263" s="443"/>
      <c r="BF263" s="443"/>
      <c r="BG263" s="443"/>
      <c r="BH263" s="443"/>
      <c r="BI263" s="533"/>
      <c r="BJ263" s="533"/>
      <c r="BK263" s="533"/>
      <c r="BL263" s="682"/>
      <c r="BM263" s="402"/>
      <c r="BN263" s="402"/>
      <c r="BO263" s="402"/>
      <c r="BP263" s="402"/>
      <c r="BQ263" s="402"/>
      <c r="BR263" s="402"/>
      <c r="BS263" s="402"/>
      <c r="BT263" s="402"/>
      <c r="BU263" s="402"/>
      <c r="BV263" s="402"/>
      <c r="BW263" s="402"/>
      <c r="BX263" s="402"/>
      <c r="BY263" s="402"/>
      <c r="BZ263" s="402"/>
      <c r="CA263" s="402"/>
      <c r="CB263" s="402"/>
      <c r="CC263" s="402"/>
      <c r="CD263" s="402"/>
      <c r="CE263" s="402"/>
      <c r="CF263" s="402"/>
      <c r="CG263" s="402"/>
      <c r="CH263" s="402"/>
      <c r="CI263" s="402"/>
      <c r="CJ263" s="402"/>
    </row>
    <row r="264" spans="1:88" s="182" customFormat="1">
      <c r="A264" s="183"/>
      <c r="B264" s="183"/>
      <c r="C264" s="183"/>
      <c r="D264" s="183"/>
      <c r="E264" s="661"/>
      <c r="F264" s="661"/>
      <c r="G264" s="661"/>
      <c r="H264" s="661"/>
      <c r="I264" s="661"/>
      <c r="J264" s="661"/>
      <c r="K264" s="661"/>
      <c r="L264" s="661"/>
      <c r="M264" s="661"/>
      <c r="N264" s="661"/>
      <c r="O264" s="661"/>
      <c r="P264" s="661"/>
      <c r="Q264" s="661"/>
      <c r="R264" s="661"/>
      <c r="S264" s="661"/>
      <c r="T264" s="661"/>
      <c r="U264" s="661"/>
      <c r="V264" s="661"/>
      <c r="W264" s="661"/>
      <c r="X264" s="661"/>
      <c r="Y264" s="661"/>
      <c r="Z264" s="661"/>
      <c r="AA264" s="661"/>
      <c r="AB264" s="661"/>
      <c r="AC264" s="661"/>
      <c r="AD264" s="661"/>
      <c r="AE264" s="661"/>
      <c r="AF264" s="661"/>
      <c r="AG264" s="661"/>
      <c r="AH264" s="661"/>
      <c r="AI264" s="661"/>
      <c r="AJ264" s="661"/>
      <c r="AK264" s="661"/>
      <c r="AL264" s="661"/>
      <c r="AM264" s="221"/>
      <c r="AN264" s="221"/>
      <c r="AO264" s="221"/>
      <c r="AP264" s="221"/>
      <c r="AQ264" s="221"/>
      <c r="AR264" s="221"/>
      <c r="AS264" s="221"/>
      <c r="AT264" s="221"/>
      <c r="AU264" s="221"/>
      <c r="AV264" s="221"/>
      <c r="AW264" s="661"/>
      <c r="AX264" s="661"/>
      <c r="AY264" s="443"/>
      <c r="AZ264" s="443"/>
      <c r="BA264" s="443"/>
      <c r="BB264" s="443"/>
      <c r="BC264" s="443"/>
      <c r="BD264" s="443"/>
      <c r="BE264" s="443"/>
      <c r="BF264" s="443"/>
      <c r="BG264" s="443"/>
      <c r="BH264" s="443"/>
      <c r="BI264" s="533"/>
      <c r="BJ264" s="533"/>
      <c r="BK264" s="533"/>
      <c r="BL264" s="682"/>
      <c r="BM264" s="402"/>
      <c r="BN264" s="402"/>
      <c r="BO264" s="402"/>
      <c r="BP264" s="402"/>
      <c r="BQ264" s="402"/>
      <c r="BR264" s="402"/>
      <c r="BS264" s="402"/>
      <c r="BT264" s="402"/>
      <c r="BU264" s="402"/>
      <c r="BV264" s="402"/>
      <c r="BW264" s="402"/>
      <c r="BX264" s="402"/>
      <c r="BY264" s="402"/>
      <c r="BZ264" s="402"/>
      <c r="CA264" s="402"/>
      <c r="CB264" s="402"/>
      <c r="CC264" s="402"/>
      <c r="CD264" s="402"/>
      <c r="CE264" s="402"/>
      <c r="CF264" s="402"/>
      <c r="CG264" s="402"/>
      <c r="CH264" s="402"/>
      <c r="CI264" s="402"/>
      <c r="CJ264" s="402"/>
    </row>
    <row r="265" spans="1:88" s="182" customFormat="1">
      <c r="A265" s="183"/>
      <c r="B265" s="183"/>
      <c r="C265" s="183"/>
      <c r="D265" s="183"/>
      <c r="E265" s="661"/>
      <c r="F265" s="661"/>
      <c r="G265" s="661"/>
      <c r="H265" s="661"/>
      <c r="I265" s="661"/>
      <c r="J265" s="661"/>
      <c r="K265" s="661"/>
      <c r="L265" s="661"/>
      <c r="M265" s="661"/>
      <c r="N265" s="661"/>
      <c r="O265" s="661"/>
      <c r="P265" s="661"/>
      <c r="Q265" s="661"/>
      <c r="R265" s="661"/>
      <c r="S265" s="661"/>
      <c r="T265" s="661"/>
      <c r="U265" s="661"/>
      <c r="V265" s="661"/>
      <c r="W265" s="661"/>
      <c r="X265" s="661"/>
      <c r="Y265" s="661"/>
      <c r="Z265" s="661"/>
      <c r="AA265" s="661"/>
      <c r="AB265" s="661"/>
      <c r="AC265" s="661"/>
      <c r="AD265" s="661"/>
      <c r="AE265" s="661"/>
      <c r="AF265" s="661"/>
      <c r="AG265" s="661"/>
      <c r="AH265" s="661"/>
      <c r="AI265" s="661"/>
      <c r="AJ265" s="661"/>
      <c r="AK265" s="661"/>
      <c r="AL265" s="661"/>
      <c r="AM265" s="221"/>
      <c r="AN265" s="221"/>
      <c r="AO265" s="221"/>
      <c r="AP265" s="221"/>
      <c r="AQ265" s="221"/>
      <c r="AR265" s="221"/>
      <c r="AS265" s="221"/>
      <c r="AT265" s="221"/>
      <c r="AU265" s="221"/>
      <c r="AV265" s="221"/>
      <c r="AW265" s="661"/>
      <c r="AX265" s="661"/>
      <c r="AY265" s="443"/>
      <c r="AZ265" s="443"/>
      <c r="BA265" s="443"/>
      <c r="BB265" s="443"/>
      <c r="BC265" s="443"/>
      <c r="BD265" s="443"/>
      <c r="BE265" s="443"/>
      <c r="BF265" s="443"/>
      <c r="BG265" s="443"/>
      <c r="BH265" s="443"/>
      <c r="BI265" s="533"/>
      <c r="BJ265" s="533"/>
      <c r="BK265" s="533"/>
      <c r="BL265" s="682"/>
      <c r="BM265" s="402"/>
      <c r="BN265" s="402"/>
      <c r="BO265" s="402"/>
      <c r="BP265" s="402"/>
      <c r="BQ265" s="402"/>
      <c r="BR265" s="402"/>
      <c r="BS265" s="402"/>
      <c r="BT265" s="402"/>
      <c r="BU265" s="402"/>
      <c r="BV265" s="402"/>
      <c r="BW265" s="402"/>
      <c r="BX265" s="402"/>
      <c r="BY265" s="402"/>
      <c r="BZ265" s="402"/>
      <c r="CA265" s="402"/>
      <c r="CB265" s="402"/>
      <c r="CC265" s="402"/>
      <c r="CD265" s="402"/>
      <c r="CE265" s="402"/>
      <c r="CF265" s="402"/>
      <c r="CG265" s="402"/>
      <c r="CH265" s="402"/>
      <c r="CI265" s="402"/>
      <c r="CJ265" s="402"/>
    </row>
    <row r="266" spans="1:88" s="182" customFormat="1">
      <c r="A266" s="183"/>
      <c r="B266" s="183"/>
      <c r="C266" s="183"/>
      <c r="D266" s="183"/>
      <c r="E266" s="661"/>
      <c r="F266" s="661"/>
      <c r="G266" s="661"/>
      <c r="H266" s="661"/>
      <c r="I266" s="661"/>
      <c r="J266" s="661"/>
      <c r="K266" s="661"/>
      <c r="L266" s="661"/>
      <c r="M266" s="661"/>
      <c r="N266" s="661"/>
      <c r="O266" s="661"/>
      <c r="P266" s="661"/>
      <c r="Q266" s="661"/>
      <c r="R266" s="661"/>
      <c r="S266" s="661"/>
      <c r="T266" s="661"/>
      <c r="U266" s="661"/>
      <c r="V266" s="661"/>
      <c r="W266" s="661"/>
      <c r="X266" s="661"/>
      <c r="Y266" s="661"/>
      <c r="Z266" s="661"/>
      <c r="AA266" s="661"/>
      <c r="AB266" s="661"/>
      <c r="AC266" s="661"/>
      <c r="AD266" s="661"/>
      <c r="AE266" s="661"/>
      <c r="AF266" s="661"/>
      <c r="AG266" s="661"/>
      <c r="AH266" s="661"/>
      <c r="AI266" s="661"/>
      <c r="AJ266" s="661"/>
      <c r="AK266" s="661"/>
      <c r="AL266" s="661"/>
      <c r="AM266" s="221"/>
      <c r="AN266" s="221"/>
      <c r="AO266" s="221"/>
      <c r="AP266" s="221"/>
      <c r="AQ266" s="221"/>
      <c r="AR266" s="221"/>
      <c r="AS266" s="221"/>
      <c r="AT266" s="221"/>
      <c r="AU266" s="221"/>
      <c r="AV266" s="221"/>
      <c r="AW266" s="661"/>
      <c r="AX266" s="661"/>
      <c r="AY266" s="443"/>
      <c r="AZ266" s="443"/>
      <c r="BA266" s="443"/>
      <c r="BB266" s="443"/>
      <c r="BC266" s="443"/>
      <c r="BD266" s="443"/>
      <c r="BE266" s="443"/>
      <c r="BF266" s="443"/>
      <c r="BG266" s="443"/>
      <c r="BH266" s="443"/>
      <c r="BI266" s="533"/>
      <c r="BJ266" s="533"/>
      <c r="BK266" s="533"/>
      <c r="BL266" s="682"/>
      <c r="BM266" s="402"/>
      <c r="BN266" s="402"/>
      <c r="BO266" s="402"/>
      <c r="BP266" s="402"/>
      <c r="BQ266" s="402"/>
      <c r="BR266" s="402"/>
      <c r="BS266" s="402"/>
      <c r="BT266" s="402"/>
      <c r="BU266" s="402"/>
      <c r="BV266" s="402"/>
      <c r="BW266" s="402"/>
      <c r="BX266" s="402"/>
      <c r="BY266" s="402"/>
      <c r="BZ266" s="402"/>
      <c r="CA266" s="402"/>
      <c r="CB266" s="402"/>
      <c r="CC266" s="402"/>
      <c r="CD266" s="402"/>
      <c r="CE266" s="402"/>
      <c r="CF266" s="402"/>
      <c r="CG266" s="402"/>
      <c r="CH266" s="402"/>
      <c r="CI266" s="402"/>
      <c r="CJ266" s="402"/>
    </row>
    <row r="267" spans="1:88" s="182" customFormat="1">
      <c r="A267" s="183"/>
      <c r="B267" s="183"/>
      <c r="C267" s="183"/>
      <c r="D267" s="183"/>
      <c r="E267" s="661"/>
      <c r="F267" s="661"/>
      <c r="G267" s="661"/>
      <c r="H267" s="661"/>
      <c r="I267" s="661"/>
      <c r="J267" s="661"/>
      <c r="K267" s="661"/>
      <c r="L267" s="661"/>
      <c r="M267" s="661"/>
      <c r="N267" s="661"/>
      <c r="O267" s="661"/>
      <c r="P267" s="661"/>
      <c r="Q267" s="661"/>
      <c r="R267" s="661"/>
      <c r="S267" s="661"/>
      <c r="T267" s="661"/>
      <c r="U267" s="661"/>
      <c r="V267" s="661"/>
      <c r="W267" s="661"/>
      <c r="X267" s="661"/>
      <c r="Y267" s="661"/>
      <c r="Z267" s="661"/>
      <c r="AA267" s="661"/>
      <c r="AB267" s="661"/>
      <c r="AC267" s="661"/>
      <c r="AD267" s="661"/>
      <c r="AE267" s="661"/>
      <c r="AF267" s="661"/>
      <c r="AG267" s="661"/>
      <c r="AH267" s="661"/>
      <c r="AI267" s="661"/>
      <c r="AJ267" s="661"/>
      <c r="AK267" s="661"/>
      <c r="AL267" s="661"/>
      <c r="AM267" s="221"/>
      <c r="AN267" s="221"/>
      <c r="AO267" s="221"/>
      <c r="AP267" s="221"/>
      <c r="AQ267" s="221"/>
      <c r="AR267" s="221"/>
      <c r="AS267" s="221"/>
      <c r="AT267" s="221"/>
      <c r="AU267" s="221"/>
      <c r="AV267" s="221"/>
      <c r="AW267" s="661"/>
      <c r="AX267" s="661"/>
      <c r="AY267" s="443"/>
      <c r="AZ267" s="443"/>
      <c r="BA267" s="443"/>
      <c r="BB267" s="443"/>
      <c r="BC267" s="443"/>
      <c r="BD267" s="443"/>
      <c r="BE267" s="443"/>
      <c r="BF267" s="443"/>
      <c r="BG267" s="443"/>
      <c r="BH267" s="443"/>
      <c r="BI267" s="533"/>
      <c r="BJ267" s="533"/>
      <c r="BK267" s="533"/>
      <c r="BL267" s="682"/>
      <c r="BM267" s="402"/>
      <c r="BN267" s="402"/>
      <c r="BO267" s="402"/>
      <c r="BP267" s="402"/>
      <c r="BQ267" s="402"/>
      <c r="BR267" s="402"/>
      <c r="BS267" s="402"/>
      <c r="BT267" s="402"/>
      <c r="BU267" s="402"/>
      <c r="BV267" s="402"/>
      <c r="BW267" s="402"/>
      <c r="BX267" s="402"/>
      <c r="BY267" s="402"/>
      <c r="BZ267" s="402"/>
      <c r="CA267" s="402"/>
      <c r="CB267" s="402"/>
      <c r="CC267" s="402"/>
      <c r="CD267" s="402"/>
      <c r="CE267" s="402"/>
      <c r="CF267" s="402"/>
      <c r="CG267" s="402"/>
      <c r="CH267" s="402"/>
      <c r="CI267" s="402"/>
      <c r="CJ267" s="402"/>
    </row>
    <row r="268" spans="1:88" s="182" customFormat="1">
      <c r="A268" s="183"/>
      <c r="B268" s="183"/>
      <c r="C268" s="183"/>
      <c r="D268" s="183"/>
      <c r="E268" s="661"/>
      <c r="F268" s="661"/>
      <c r="G268" s="661"/>
      <c r="H268" s="661"/>
      <c r="I268" s="661"/>
      <c r="J268" s="661"/>
      <c r="K268" s="661"/>
      <c r="L268" s="661"/>
      <c r="M268" s="661"/>
      <c r="N268" s="661"/>
      <c r="O268" s="661"/>
      <c r="P268" s="661"/>
      <c r="Q268" s="661"/>
      <c r="R268" s="661"/>
      <c r="S268" s="661"/>
      <c r="T268" s="661"/>
      <c r="U268" s="661"/>
      <c r="V268" s="661"/>
      <c r="W268" s="661"/>
      <c r="X268" s="661"/>
      <c r="Y268" s="661"/>
      <c r="Z268" s="661"/>
      <c r="AA268" s="661"/>
      <c r="AB268" s="661"/>
      <c r="AC268" s="661"/>
      <c r="AD268" s="661"/>
      <c r="AE268" s="661"/>
      <c r="AF268" s="661"/>
      <c r="AG268" s="661"/>
      <c r="AH268" s="661"/>
      <c r="AI268" s="661"/>
      <c r="AJ268" s="661"/>
      <c r="AK268" s="661"/>
      <c r="AL268" s="661"/>
      <c r="AM268" s="221"/>
      <c r="AN268" s="221"/>
      <c r="AO268" s="221"/>
      <c r="AP268" s="221"/>
      <c r="AQ268" s="221"/>
      <c r="AR268" s="221"/>
      <c r="AS268" s="221"/>
      <c r="AT268" s="221"/>
      <c r="AU268" s="221"/>
      <c r="AV268" s="221"/>
      <c r="AW268" s="661"/>
      <c r="AX268" s="661"/>
      <c r="AY268" s="443"/>
      <c r="AZ268" s="443"/>
      <c r="BA268" s="443"/>
      <c r="BB268" s="443"/>
      <c r="BC268" s="443"/>
      <c r="BD268" s="443"/>
      <c r="BE268" s="443"/>
      <c r="BF268" s="443"/>
      <c r="BG268" s="443"/>
      <c r="BH268" s="443"/>
      <c r="BI268" s="533"/>
      <c r="BJ268" s="533"/>
      <c r="BK268" s="533"/>
      <c r="BL268" s="682"/>
      <c r="BM268" s="402"/>
      <c r="BN268" s="402"/>
      <c r="BO268" s="402"/>
      <c r="BP268" s="402"/>
      <c r="BQ268" s="402"/>
      <c r="BR268" s="402"/>
      <c r="BS268" s="402"/>
      <c r="BT268" s="402"/>
      <c r="BU268" s="402"/>
      <c r="BV268" s="402"/>
      <c r="BW268" s="402"/>
      <c r="BX268" s="402"/>
      <c r="BY268" s="402"/>
      <c r="BZ268" s="402"/>
      <c r="CA268" s="402"/>
      <c r="CB268" s="402"/>
      <c r="CC268" s="402"/>
      <c r="CD268" s="402"/>
      <c r="CE268" s="402"/>
      <c r="CF268" s="402"/>
      <c r="CG268" s="402"/>
      <c r="CH268" s="402"/>
      <c r="CI268" s="402"/>
      <c r="CJ268" s="402"/>
    </row>
    <row r="269" spans="1:88" s="182" customFormat="1">
      <c r="A269" s="183"/>
      <c r="B269" s="183"/>
      <c r="C269" s="183"/>
      <c r="D269" s="183"/>
      <c r="E269" s="661"/>
      <c r="F269" s="661"/>
      <c r="G269" s="661"/>
      <c r="H269" s="661"/>
      <c r="I269" s="661"/>
      <c r="J269" s="661"/>
      <c r="K269" s="661"/>
      <c r="L269" s="661"/>
      <c r="M269" s="661"/>
      <c r="N269" s="661"/>
      <c r="O269" s="661"/>
      <c r="P269" s="661"/>
      <c r="Q269" s="661"/>
      <c r="R269" s="661"/>
      <c r="S269" s="661"/>
      <c r="T269" s="661"/>
      <c r="U269" s="661"/>
      <c r="V269" s="661"/>
      <c r="W269" s="661"/>
      <c r="X269" s="661"/>
      <c r="Y269" s="661"/>
      <c r="Z269" s="661"/>
      <c r="AA269" s="661"/>
      <c r="AB269" s="661"/>
      <c r="AC269" s="661"/>
      <c r="AD269" s="661"/>
      <c r="AE269" s="661"/>
      <c r="AF269" s="661"/>
      <c r="AG269" s="661"/>
      <c r="AH269" s="661"/>
      <c r="AI269" s="661"/>
      <c r="AJ269" s="661"/>
      <c r="AK269" s="661"/>
      <c r="AL269" s="661"/>
      <c r="AM269" s="221"/>
      <c r="AN269" s="221"/>
      <c r="AO269" s="221"/>
      <c r="AP269" s="221"/>
      <c r="AQ269" s="221"/>
      <c r="AR269" s="221"/>
      <c r="AS269" s="221"/>
      <c r="AT269" s="221"/>
      <c r="AU269" s="221"/>
      <c r="AV269" s="221"/>
      <c r="AW269" s="661"/>
      <c r="AX269" s="661"/>
      <c r="AY269" s="443"/>
      <c r="AZ269" s="443"/>
      <c r="BA269" s="443"/>
      <c r="BB269" s="443"/>
      <c r="BC269" s="443"/>
      <c r="BD269" s="443"/>
      <c r="BE269" s="443"/>
      <c r="BF269" s="443"/>
      <c r="BG269" s="443"/>
      <c r="BH269" s="443"/>
      <c r="BI269" s="533"/>
      <c r="BJ269" s="533"/>
      <c r="BK269" s="533"/>
      <c r="BL269" s="682"/>
      <c r="BM269" s="402"/>
      <c r="BN269" s="402"/>
      <c r="BO269" s="402"/>
      <c r="BP269" s="402"/>
      <c r="BQ269" s="402"/>
      <c r="BR269" s="402"/>
      <c r="BS269" s="402"/>
      <c r="BT269" s="402"/>
      <c r="BU269" s="402"/>
      <c r="BV269" s="402"/>
      <c r="BW269" s="402"/>
      <c r="BX269" s="402"/>
      <c r="BY269" s="402"/>
      <c r="BZ269" s="402"/>
      <c r="CA269" s="402"/>
      <c r="CB269" s="402"/>
      <c r="CC269" s="402"/>
      <c r="CD269" s="402"/>
      <c r="CE269" s="402"/>
      <c r="CF269" s="402"/>
      <c r="CG269" s="402"/>
      <c r="CH269" s="402"/>
      <c r="CI269" s="402"/>
      <c r="CJ269" s="402"/>
    </row>
    <row r="270" spans="1:88" s="182" customFormat="1">
      <c r="A270" s="183"/>
      <c r="B270" s="183"/>
      <c r="C270" s="183"/>
      <c r="D270" s="183"/>
      <c r="E270" s="661"/>
      <c r="F270" s="661"/>
      <c r="G270" s="661"/>
      <c r="H270" s="661"/>
      <c r="I270" s="661"/>
      <c r="J270" s="661"/>
      <c r="K270" s="661"/>
      <c r="L270" s="661"/>
      <c r="M270" s="661"/>
      <c r="N270" s="661"/>
      <c r="O270" s="661"/>
      <c r="P270" s="661"/>
      <c r="Q270" s="661"/>
      <c r="R270" s="661"/>
      <c r="S270" s="661"/>
      <c r="T270" s="661"/>
      <c r="U270" s="661"/>
      <c r="V270" s="661"/>
      <c r="W270" s="661"/>
      <c r="X270" s="661"/>
      <c r="Y270" s="661"/>
      <c r="Z270" s="661"/>
      <c r="AA270" s="661"/>
      <c r="AB270" s="661"/>
      <c r="AC270" s="661"/>
      <c r="AD270" s="661"/>
      <c r="AE270" s="661"/>
      <c r="AF270" s="661"/>
      <c r="AG270" s="661"/>
      <c r="AH270" s="661"/>
      <c r="AI270" s="661"/>
      <c r="AJ270" s="661"/>
      <c r="AK270" s="661"/>
      <c r="AL270" s="661"/>
      <c r="AM270" s="221"/>
      <c r="AN270" s="221"/>
      <c r="AO270" s="221"/>
      <c r="AP270" s="221"/>
      <c r="AQ270" s="221"/>
      <c r="AR270" s="221"/>
      <c r="AS270" s="221"/>
      <c r="AT270" s="221"/>
      <c r="AU270" s="221"/>
      <c r="AV270" s="221"/>
      <c r="AW270" s="661"/>
      <c r="AX270" s="661"/>
      <c r="AY270" s="443"/>
      <c r="AZ270" s="443"/>
      <c r="BA270" s="443"/>
      <c r="BB270" s="443"/>
      <c r="BC270" s="443"/>
      <c r="BD270" s="443"/>
      <c r="BE270" s="443"/>
      <c r="BF270" s="443"/>
      <c r="BG270" s="443"/>
      <c r="BH270" s="443"/>
      <c r="BI270" s="533"/>
      <c r="BJ270" s="533"/>
      <c r="BK270" s="533"/>
      <c r="BL270" s="682"/>
      <c r="BM270" s="402"/>
      <c r="BN270" s="402"/>
      <c r="BO270" s="402"/>
      <c r="BP270" s="402"/>
      <c r="BQ270" s="402"/>
      <c r="BR270" s="402"/>
      <c r="BS270" s="402"/>
      <c r="BT270" s="402"/>
      <c r="BU270" s="402"/>
      <c r="BV270" s="402"/>
      <c r="BW270" s="402"/>
      <c r="BX270" s="402"/>
      <c r="BY270" s="402"/>
      <c r="BZ270" s="402"/>
      <c r="CA270" s="402"/>
      <c r="CB270" s="402"/>
      <c r="CC270" s="402"/>
      <c r="CD270" s="402"/>
      <c r="CE270" s="402"/>
      <c r="CF270" s="402"/>
      <c r="CG270" s="402"/>
      <c r="CH270" s="402"/>
      <c r="CI270" s="402"/>
      <c r="CJ270" s="402"/>
    </row>
    <row r="271" spans="1:88" s="182" customFormat="1">
      <c r="A271" s="183"/>
      <c r="B271" s="183"/>
      <c r="C271" s="183"/>
      <c r="D271" s="183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61"/>
      <c r="AB271" s="661"/>
      <c r="AC271" s="661"/>
      <c r="AD271" s="661"/>
      <c r="AE271" s="661"/>
      <c r="AF271" s="661"/>
      <c r="AG271" s="661"/>
      <c r="AH271" s="661"/>
      <c r="AI271" s="661"/>
      <c r="AJ271" s="661"/>
      <c r="AK271" s="661"/>
      <c r="AL271" s="661"/>
      <c r="AM271" s="221"/>
      <c r="AN271" s="221"/>
      <c r="AO271" s="221"/>
      <c r="AP271" s="221"/>
      <c r="AQ271" s="221"/>
      <c r="AR271" s="221"/>
      <c r="AS271" s="221"/>
      <c r="AT271" s="221"/>
      <c r="AU271" s="221"/>
      <c r="AV271" s="221"/>
      <c r="AW271" s="661"/>
      <c r="AX271" s="661"/>
      <c r="AY271" s="443"/>
      <c r="AZ271" s="443"/>
      <c r="BA271" s="443"/>
      <c r="BB271" s="443"/>
      <c r="BC271" s="443"/>
      <c r="BD271" s="443"/>
      <c r="BE271" s="443"/>
      <c r="BF271" s="443"/>
      <c r="BG271" s="443"/>
      <c r="BH271" s="443"/>
      <c r="BI271" s="533"/>
      <c r="BJ271" s="533"/>
      <c r="BK271" s="533"/>
      <c r="BL271" s="682"/>
      <c r="BM271" s="402"/>
      <c r="BN271" s="402"/>
      <c r="BO271" s="402"/>
      <c r="BP271" s="402"/>
      <c r="BQ271" s="402"/>
      <c r="BR271" s="402"/>
      <c r="BS271" s="402"/>
      <c r="BT271" s="402"/>
      <c r="BU271" s="402"/>
      <c r="BV271" s="402"/>
      <c r="BW271" s="402"/>
      <c r="BX271" s="402"/>
      <c r="BY271" s="402"/>
      <c r="BZ271" s="402"/>
      <c r="CA271" s="402"/>
      <c r="CB271" s="402"/>
      <c r="CC271" s="402"/>
      <c r="CD271" s="402"/>
      <c r="CE271" s="402"/>
      <c r="CF271" s="402"/>
      <c r="CG271" s="402"/>
      <c r="CH271" s="402"/>
      <c r="CI271" s="402"/>
      <c r="CJ271" s="402"/>
    </row>
    <row r="272" spans="1:88" s="182" customFormat="1">
      <c r="A272" s="183"/>
      <c r="B272" s="183"/>
      <c r="C272" s="183"/>
      <c r="D272" s="183"/>
      <c r="E272" s="661"/>
      <c r="F272" s="661"/>
      <c r="G272" s="661"/>
      <c r="H272" s="661"/>
      <c r="I272" s="661"/>
      <c r="J272" s="661"/>
      <c r="K272" s="661"/>
      <c r="L272" s="661"/>
      <c r="M272" s="661"/>
      <c r="N272" s="661"/>
      <c r="O272" s="661"/>
      <c r="P272" s="661"/>
      <c r="Q272" s="661"/>
      <c r="R272" s="661"/>
      <c r="S272" s="661"/>
      <c r="T272" s="661"/>
      <c r="U272" s="661"/>
      <c r="V272" s="661"/>
      <c r="W272" s="661"/>
      <c r="X272" s="661"/>
      <c r="Y272" s="661"/>
      <c r="Z272" s="661"/>
      <c r="AA272" s="661"/>
      <c r="AB272" s="661"/>
      <c r="AC272" s="661"/>
      <c r="AD272" s="661"/>
      <c r="AE272" s="661"/>
      <c r="AF272" s="661"/>
      <c r="AG272" s="661"/>
      <c r="AH272" s="661"/>
      <c r="AI272" s="661"/>
      <c r="AJ272" s="661"/>
      <c r="AK272" s="661"/>
      <c r="AL272" s="661"/>
      <c r="AM272" s="221"/>
      <c r="AN272" s="221"/>
      <c r="AO272" s="221"/>
      <c r="AP272" s="221"/>
      <c r="AQ272" s="221"/>
      <c r="AR272" s="221"/>
      <c r="AS272" s="221"/>
      <c r="AT272" s="221"/>
      <c r="AU272" s="221"/>
      <c r="AV272" s="221"/>
      <c r="AW272" s="661"/>
      <c r="AX272" s="661"/>
      <c r="AY272" s="443"/>
      <c r="AZ272" s="443"/>
      <c r="BA272" s="443"/>
      <c r="BB272" s="443"/>
      <c r="BC272" s="443"/>
      <c r="BD272" s="443"/>
      <c r="BE272" s="443"/>
      <c r="BF272" s="443"/>
      <c r="BG272" s="443"/>
      <c r="BH272" s="443"/>
      <c r="BI272" s="533"/>
      <c r="BJ272" s="533"/>
      <c r="BK272" s="533"/>
      <c r="BL272" s="682"/>
      <c r="BM272" s="402"/>
      <c r="BN272" s="402"/>
      <c r="BO272" s="402"/>
      <c r="BP272" s="402"/>
      <c r="BQ272" s="402"/>
      <c r="BR272" s="402"/>
      <c r="BS272" s="402"/>
      <c r="BT272" s="402"/>
      <c r="BU272" s="402"/>
      <c r="BV272" s="402"/>
      <c r="BW272" s="402"/>
      <c r="BX272" s="402"/>
      <c r="BY272" s="402"/>
      <c r="BZ272" s="402"/>
      <c r="CA272" s="402"/>
      <c r="CB272" s="402"/>
      <c r="CC272" s="402"/>
      <c r="CD272" s="402"/>
      <c r="CE272" s="402"/>
      <c r="CF272" s="402"/>
      <c r="CG272" s="402"/>
      <c r="CH272" s="402"/>
      <c r="CI272" s="402"/>
      <c r="CJ272" s="402"/>
    </row>
    <row r="273" spans="1:88" s="182" customFormat="1">
      <c r="A273" s="183"/>
      <c r="B273" s="183"/>
      <c r="C273" s="183"/>
      <c r="D273" s="183"/>
      <c r="E273" s="661"/>
      <c r="F273" s="661"/>
      <c r="G273" s="661"/>
      <c r="H273" s="661"/>
      <c r="I273" s="661"/>
      <c r="J273" s="661"/>
      <c r="K273" s="661"/>
      <c r="L273" s="661"/>
      <c r="M273" s="661"/>
      <c r="N273" s="661"/>
      <c r="O273" s="661"/>
      <c r="P273" s="661"/>
      <c r="Q273" s="661"/>
      <c r="R273" s="661"/>
      <c r="S273" s="661"/>
      <c r="T273" s="661"/>
      <c r="U273" s="661"/>
      <c r="V273" s="661"/>
      <c r="W273" s="661"/>
      <c r="X273" s="661"/>
      <c r="Y273" s="661"/>
      <c r="Z273" s="661"/>
      <c r="AA273" s="661"/>
      <c r="AB273" s="661"/>
      <c r="AC273" s="661"/>
      <c r="AD273" s="661"/>
      <c r="AE273" s="661"/>
      <c r="AF273" s="661"/>
      <c r="AG273" s="661"/>
      <c r="AH273" s="661"/>
      <c r="AI273" s="661"/>
      <c r="AJ273" s="661"/>
      <c r="AK273" s="661"/>
      <c r="AL273" s="661"/>
      <c r="AM273" s="221"/>
      <c r="AN273" s="221"/>
      <c r="AO273" s="221"/>
      <c r="AP273" s="221"/>
      <c r="AQ273" s="221"/>
      <c r="AR273" s="221"/>
      <c r="AS273" s="221"/>
      <c r="AT273" s="221"/>
      <c r="AU273" s="221"/>
      <c r="AV273" s="221"/>
      <c r="AW273" s="661"/>
      <c r="AX273" s="661"/>
      <c r="AY273" s="443"/>
      <c r="AZ273" s="443"/>
      <c r="BA273" s="443"/>
      <c r="BB273" s="443"/>
      <c r="BC273" s="443"/>
      <c r="BD273" s="443"/>
      <c r="BE273" s="443"/>
      <c r="BF273" s="443"/>
      <c r="BG273" s="443"/>
      <c r="BH273" s="443"/>
      <c r="BI273" s="533"/>
      <c r="BJ273" s="533"/>
      <c r="BK273" s="533"/>
      <c r="BL273" s="682"/>
      <c r="BM273" s="402"/>
      <c r="BN273" s="402"/>
      <c r="BO273" s="402"/>
      <c r="BP273" s="402"/>
      <c r="BQ273" s="402"/>
      <c r="BR273" s="402"/>
      <c r="BS273" s="402"/>
      <c r="BT273" s="402"/>
      <c r="BU273" s="402"/>
      <c r="BV273" s="402"/>
      <c r="BW273" s="402"/>
      <c r="BX273" s="402"/>
      <c r="BY273" s="402"/>
      <c r="BZ273" s="402"/>
      <c r="CA273" s="402"/>
      <c r="CB273" s="402"/>
      <c r="CC273" s="402"/>
      <c r="CD273" s="402"/>
      <c r="CE273" s="402"/>
      <c r="CF273" s="402"/>
      <c r="CG273" s="402"/>
      <c r="CH273" s="402"/>
      <c r="CI273" s="402"/>
      <c r="CJ273" s="402"/>
    </row>
    <row r="274" spans="1:88" s="182" customFormat="1">
      <c r="A274" s="183"/>
      <c r="B274" s="183"/>
      <c r="C274" s="183"/>
      <c r="D274" s="183"/>
      <c r="E274" s="661"/>
      <c r="F274" s="661"/>
      <c r="G274" s="661"/>
      <c r="H274" s="661"/>
      <c r="I274" s="661"/>
      <c r="J274" s="661"/>
      <c r="K274" s="661"/>
      <c r="L274" s="661"/>
      <c r="M274" s="661"/>
      <c r="N274" s="661"/>
      <c r="O274" s="661"/>
      <c r="P274" s="661"/>
      <c r="Q274" s="661"/>
      <c r="R274" s="661"/>
      <c r="S274" s="661"/>
      <c r="T274" s="661"/>
      <c r="U274" s="661"/>
      <c r="V274" s="661"/>
      <c r="W274" s="661"/>
      <c r="X274" s="661"/>
      <c r="Y274" s="661"/>
      <c r="Z274" s="661"/>
      <c r="AA274" s="661"/>
      <c r="AB274" s="661"/>
      <c r="AC274" s="661"/>
      <c r="AD274" s="661"/>
      <c r="AE274" s="661"/>
      <c r="AF274" s="661"/>
      <c r="AG274" s="661"/>
      <c r="AH274" s="661"/>
      <c r="AI274" s="661"/>
      <c r="AJ274" s="661"/>
      <c r="AK274" s="661"/>
      <c r="AL274" s="661"/>
      <c r="AM274" s="221"/>
      <c r="AN274" s="221"/>
      <c r="AO274" s="221"/>
      <c r="AP274" s="221"/>
      <c r="AQ274" s="221"/>
      <c r="AR274" s="221"/>
      <c r="AS274" s="221"/>
      <c r="AT274" s="221"/>
      <c r="AU274" s="221"/>
      <c r="AV274" s="221"/>
      <c r="AW274" s="661"/>
      <c r="AX274" s="661"/>
      <c r="AY274" s="443"/>
      <c r="AZ274" s="443"/>
      <c r="BA274" s="443"/>
      <c r="BB274" s="443"/>
      <c r="BC274" s="443"/>
      <c r="BD274" s="443"/>
      <c r="BE274" s="443"/>
      <c r="BF274" s="443"/>
      <c r="BG274" s="443"/>
      <c r="BH274" s="443"/>
      <c r="BI274" s="533"/>
      <c r="BJ274" s="533"/>
      <c r="BK274" s="533"/>
      <c r="BL274" s="682"/>
      <c r="BM274" s="402"/>
      <c r="BN274" s="402"/>
      <c r="BO274" s="402"/>
      <c r="BP274" s="402"/>
      <c r="BQ274" s="402"/>
      <c r="BR274" s="402"/>
      <c r="BS274" s="402"/>
      <c r="BT274" s="402"/>
      <c r="BU274" s="402"/>
      <c r="BV274" s="402"/>
      <c r="BW274" s="402"/>
      <c r="BX274" s="402"/>
      <c r="BY274" s="402"/>
      <c r="BZ274" s="402"/>
      <c r="CA274" s="402"/>
      <c r="CB274" s="402"/>
      <c r="CC274" s="402"/>
      <c r="CD274" s="402"/>
      <c r="CE274" s="402"/>
      <c r="CF274" s="402"/>
      <c r="CG274" s="402"/>
      <c r="CH274" s="402"/>
      <c r="CI274" s="402"/>
      <c r="CJ274" s="402"/>
    </row>
    <row r="275" spans="1:88" s="182" customFormat="1">
      <c r="A275" s="183"/>
      <c r="B275" s="183"/>
      <c r="C275" s="183"/>
      <c r="D275" s="183"/>
      <c r="E275" s="661"/>
      <c r="F275" s="661"/>
      <c r="G275" s="661"/>
      <c r="H275" s="661"/>
      <c r="I275" s="661"/>
      <c r="J275" s="661"/>
      <c r="K275" s="661"/>
      <c r="L275" s="661"/>
      <c r="M275" s="661"/>
      <c r="N275" s="661"/>
      <c r="O275" s="661"/>
      <c r="P275" s="661"/>
      <c r="Q275" s="661"/>
      <c r="R275" s="661"/>
      <c r="S275" s="661"/>
      <c r="T275" s="661"/>
      <c r="U275" s="661"/>
      <c r="V275" s="661"/>
      <c r="W275" s="661"/>
      <c r="X275" s="661"/>
      <c r="Y275" s="661"/>
      <c r="Z275" s="661"/>
      <c r="AA275" s="661"/>
      <c r="AB275" s="661"/>
      <c r="AC275" s="661"/>
      <c r="AD275" s="661"/>
      <c r="AE275" s="661"/>
      <c r="AF275" s="661"/>
      <c r="AG275" s="661"/>
      <c r="AH275" s="661"/>
      <c r="AI275" s="661"/>
      <c r="AJ275" s="661"/>
      <c r="AK275" s="661"/>
      <c r="AL275" s="661"/>
      <c r="AM275" s="221"/>
      <c r="AN275" s="221"/>
      <c r="AO275" s="221"/>
      <c r="AP275" s="221"/>
      <c r="AQ275" s="221"/>
      <c r="AR275" s="221"/>
      <c r="AS275" s="221"/>
      <c r="AT275" s="221"/>
      <c r="AU275" s="221"/>
      <c r="AV275" s="221"/>
      <c r="AW275" s="661"/>
      <c r="AX275" s="661"/>
      <c r="AY275" s="443"/>
      <c r="AZ275" s="443"/>
      <c r="BA275" s="443"/>
      <c r="BB275" s="443"/>
      <c r="BC275" s="443"/>
      <c r="BD275" s="443"/>
      <c r="BE275" s="443"/>
      <c r="BF275" s="443"/>
      <c r="BG275" s="443"/>
      <c r="BH275" s="443"/>
      <c r="BI275" s="533"/>
      <c r="BJ275" s="533"/>
      <c r="BK275" s="533"/>
      <c r="BL275" s="682"/>
      <c r="BM275" s="402"/>
      <c r="BN275" s="402"/>
      <c r="BO275" s="402"/>
      <c r="BP275" s="402"/>
      <c r="BQ275" s="402"/>
      <c r="BR275" s="402"/>
      <c r="BS275" s="402"/>
      <c r="BT275" s="402"/>
      <c r="BU275" s="402"/>
      <c r="BV275" s="402"/>
      <c r="BW275" s="402"/>
      <c r="BX275" s="402"/>
      <c r="BY275" s="402"/>
      <c r="BZ275" s="402"/>
      <c r="CA275" s="402"/>
      <c r="CB275" s="402"/>
      <c r="CC275" s="402"/>
      <c r="CD275" s="402"/>
      <c r="CE275" s="402"/>
      <c r="CF275" s="402"/>
      <c r="CG275" s="402"/>
      <c r="CH275" s="402"/>
      <c r="CI275" s="402"/>
      <c r="CJ275" s="402"/>
    </row>
    <row r="276" spans="1:88" s="182" customFormat="1">
      <c r="A276" s="183"/>
      <c r="B276" s="183"/>
      <c r="C276" s="183"/>
      <c r="D276" s="183"/>
      <c r="E276" s="661"/>
      <c r="F276" s="661"/>
      <c r="G276" s="661"/>
      <c r="H276" s="661"/>
      <c r="I276" s="661"/>
      <c r="J276" s="661"/>
      <c r="K276" s="661"/>
      <c r="L276" s="661"/>
      <c r="M276" s="661"/>
      <c r="N276" s="661"/>
      <c r="O276" s="661"/>
      <c r="P276" s="661"/>
      <c r="Q276" s="661"/>
      <c r="R276" s="661"/>
      <c r="S276" s="661"/>
      <c r="T276" s="661"/>
      <c r="U276" s="661"/>
      <c r="V276" s="661"/>
      <c r="W276" s="661"/>
      <c r="X276" s="661"/>
      <c r="Y276" s="661"/>
      <c r="Z276" s="661"/>
      <c r="AA276" s="661"/>
      <c r="AB276" s="661"/>
      <c r="AC276" s="661"/>
      <c r="AD276" s="661"/>
      <c r="AE276" s="661"/>
      <c r="AF276" s="661"/>
      <c r="AG276" s="661"/>
      <c r="AH276" s="661"/>
      <c r="AI276" s="661"/>
      <c r="AJ276" s="661"/>
      <c r="AK276" s="661"/>
      <c r="AL276" s="661"/>
      <c r="AM276" s="221"/>
      <c r="AN276" s="221"/>
      <c r="AO276" s="221"/>
      <c r="AP276" s="221"/>
      <c r="AQ276" s="221"/>
      <c r="AR276" s="221"/>
      <c r="AS276" s="221"/>
      <c r="AT276" s="221"/>
      <c r="AU276" s="221"/>
      <c r="AV276" s="221"/>
      <c r="AW276" s="661"/>
      <c r="AX276" s="661"/>
      <c r="AY276" s="443"/>
      <c r="AZ276" s="443"/>
      <c r="BA276" s="443"/>
      <c r="BB276" s="443"/>
      <c r="BC276" s="443"/>
      <c r="BD276" s="443"/>
      <c r="BE276" s="443"/>
      <c r="BF276" s="443"/>
      <c r="BG276" s="443"/>
      <c r="BH276" s="443"/>
      <c r="BI276" s="533"/>
      <c r="BJ276" s="533"/>
      <c r="BK276" s="533"/>
      <c r="BL276" s="682"/>
      <c r="BM276" s="402"/>
      <c r="BN276" s="402"/>
      <c r="BO276" s="402"/>
      <c r="BP276" s="402"/>
      <c r="BQ276" s="402"/>
      <c r="BR276" s="402"/>
      <c r="BS276" s="402"/>
      <c r="BT276" s="402"/>
      <c r="BU276" s="402"/>
      <c r="BV276" s="402"/>
      <c r="BW276" s="402"/>
      <c r="BX276" s="402"/>
      <c r="BY276" s="402"/>
      <c r="BZ276" s="402"/>
      <c r="CA276" s="402"/>
      <c r="CB276" s="402"/>
      <c r="CC276" s="402"/>
      <c r="CD276" s="402"/>
      <c r="CE276" s="402"/>
      <c r="CF276" s="402"/>
      <c r="CG276" s="402"/>
      <c r="CH276" s="402"/>
      <c r="CI276" s="402"/>
      <c r="CJ276" s="402"/>
    </row>
    <row r="277" spans="1:88" s="182" customFormat="1">
      <c r="A277" s="183"/>
      <c r="B277" s="183"/>
      <c r="C277" s="183"/>
      <c r="D277" s="183"/>
      <c r="E277" s="661"/>
      <c r="F277" s="661"/>
      <c r="G277" s="661"/>
      <c r="H277" s="661"/>
      <c r="I277" s="661"/>
      <c r="J277" s="661"/>
      <c r="K277" s="661"/>
      <c r="L277" s="661"/>
      <c r="M277" s="661"/>
      <c r="N277" s="661"/>
      <c r="O277" s="661"/>
      <c r="P277" s="661"/>
      <c r="Q277" s="661"/>
      <c r="R277" s="661"/>
      <c r="S277" s="661"/>
      <c r="T277" s="661"/>
      <c r="U277" s="661"/>
      <c r="V277" s="661"/>
      <c r="W277" s="661"/>
      <c r="X277" s="661"/>
      <c r="Y277" s="661"/>
      <c r="Z277" s="661"/>
      <c r="AA277" s="661"/>
      <c r="AB277" s="661"/>
      <c r="AC277" s="661"/>
      <c r="AD277" s="661"/>
      <c r="AE277" s="661"/>
      <c r="AF277" s="661"/>
      <c r="AG277" s="661"/>
      <c r="AH277" s="661"/>
      <c r="AI277" s="661"/>
      <c r="AJ277" s="661"/>
      <c r="AK277" s="661"/>
      <c r="AL277" s="661"/>
      <c r="AM277" s="221"/>
      <c r="AN277" s="221"/>
      <c r="AO277" s="221"/>
      <c r="AP277" s="221"/>
      <c r="AQ277" s="221"/>
      <c r="AR277" s="221"/>
      <c r="AS277" s="221"/>
      <c r="AT277" s="221"/>
      <c r="AU277" s="221"/>
      <c r="AV277" s="221"/>
      <c r="AW277" s="661"/>
      <c r="AX277" s="661"/>
      <c r="AY277" s="443"/>
      <c r="AZ277" s="443"/>
      <c r="BA277" s="443"/>
      <c r="BB277" s="443"/>
      <c r="BC277" s="443"/>
      <c r="BD277" s="443"/>
      <c r="BE277" s="443"/>
      <c r="BF277" s="443"/>
      <c r="BG277" s="443"/>
      <c r="BH277" s="443"/>
      <c r="BI277" s="533"/>
      <c r="BJ277" s="533"/>
      <c r="BK277" s="533"/>
      <c r="BL277" s="682"/>
      <c r="BM277" s="402"/>
      <c r="BN277" s="402"/>
      <c r="BO277" s="402"/>
      <c r="BP277" s="402"/>
      <c r="BQ277" s="402"/>
      <c r="BR277" s="402"/>
      <c r="BS277" s="402"/>
      <c r="BT277" s="402"/>
      <c r="BU277" s="402"/>
      <c r="BV277" s="402"/>
      <c r="BW277" s="402"/>
      <c r="BX277" s="402"/>
      <c r="BY277" s="402"/>
      <c r="BZ277" s="402"/>
      <c r="CA277" s="402"/>
      <c r="CB277" s="402"/>
      <c r="CC277" s="402"/>
      <c r="CD277" s="402"/>
      <c r="CE277" s="402"/>
      <c r="CF277" s="402"/>
      <c r="CG277" s="402"/>
      <c r="CH277" s="402"/>
      <c r="CI277" s="402"/>
      <c r="CJ277" s="402"/>
    </row>
    <row r="278" spans="1:88" s="182" customFormat="1">
      <c r="A278" s="183"/>
      <c r="B278" s="183"/>
      <c r="C278" s="183"/>
      <c r="D278" s="183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61"/>
      <c r="AB278" s="661"/>
      <c r="AC278" s="661"/>
      <c r="AD278" s="661"/>
      <c r="AE278" s="661"/>
      <c r="AF278" s="661"/>
      <c r="AG278" s="661"/>
      <c r="AH278" s="661"/>
      <c r="AI278" s="661"/>
      <c r="AJ278" s="661"/>
      <c r="AK278" s="661"/>
      <c r="AL278" s="661"/>
      <c r="AM278" s="221"/>
      <c r="AN278" s="221"/>
      <c r="AO278" s="221"/>
      <c r="AP278" s="221"/>
      <c r="AQ278" s="221"/>
      <c r="AR278" s="221"/>
      <c r="AS278" s="221"/>
      <c r="AT278" s="221"/>
      <c r="AU278" s="221"/>
      <c r="AV278" s="221"/>
      <c r="AW278" s="661"/>
      <c r="AX278" s="661"/>
      <c r="AY278" s="443"/>
      <c r="AZ278" s="443"/>
      <c r="BA278" s="443"/>
      <c r="BB278" s="443"/>
      <c r="BC278" s="443"/>
      <c r="BD278" s="443"/>
      <c r="BE278" s="443"/>
      <c r="BF278" s="443"/>
      <c r="BG278" s="443"/>
      <c r="BH278" s="443"/>
      <c r="BI278" s="533"/>
      <c r="BJ278" s="533"/>
      <c r="BK278" s="533"/>
      <c r="BL278" s="682"/>
      <c r="BM278" s="402"/>
      <c r="BN278" s="402"/>
      <c r="BO278" s="402"/>
      <c r="BP278" s="402"/>
      <c r="BQ278" s="402"/>
      <c r="BR278" s="402"/>
      <c r="BS278" s="402"/>
      <c r="BT278" s="402"/>
      <c r="BU278" s="402"/>
      <c r="BV278" s="402"/>
      <c r="BW278" s="402"/>
      <c r="BX278" s="402"/>
      <c r="BY278" s="402"/>
      <c r="BZ278" s="402"/>
      <c r="CA278" s="402"/>
      <c r="CB278" s="402"/>
      <c r="CC278" s="402"/>
      <c r="CD278" s="402"/>
      <c r="CE278" s="402"/>
      <c r="CF278" s="402"/>
      <c r="CG278" s="402"/>
      <c r="CH278" s="402"/>
      <c r="CI278" s="402"/>
      <c r="CJ278" s="402"/>
    </row>
    <row r="279" spans="1:88" s="182" customFormat="1">
      <c r="A279" s="183"/>
      <c r="B279" s="183"/>
      <c r="C279" s="183"/>
      <c r="D279" s="183"/>
      <c r="E279" s="661"/>
      <c r="F279" s="661"/>
      <c r="G279" s="661"/>
      <c r="H279" s="661"/>
      <c r="I279" s="661"/>
      <c r="J279" s="661"/>
      <c r="K279" s="661"/>
      <c r="L279" s="661"/>
      <c r="M279" s="661"/>
      <c r="N279" s="661"/>
      <c r="O279" s="661"/>
      <c r="P279" s="661"/>
      <c r="Q279" s="661"/>
      <c r="R279" s="661"/>
      <c r="S279" s="661"/>
      <c r="T279" s="661"/>
      <c r="U279" s="661"/>
      <c r="V279" s="661"/>
      <c r="W279" s="661"/>
      <c r="X279" s="661"/>
      <c r="Y279" s="661"/>
      <c r="Z279" s="661"/>
      <c r="AA279" s="661"/>
      <c r="AB279" s="661"/>
      <c r="AC279" s="661"/>
      <c r="AD279" s="661"/>
      <c r="AE279" s="661"/>
      <c r="AF279" s="661"/>
      <c r="AG279" s="661"/>
      <c r="AH279" s="661"/>
      <c r="AI279" s="661"/>
      <c r="AJ279" s="661"/>
      <c r="AK279" s="661"/>
      <c r="AL279" s="661"/>
      <c r="AM279" s="221"/>
      <c r="AN279" s="221"/>
      <c r="AO279" s="221"/>
      <c r="AP279" s="221"/>
      <c r="AQ279" s="221"/>
      <c r="AR279" s="221"/>
      <c r="AS279" s="221"/>
      <c r="AT279" s="221"/>
      <c r="AU279" s="221"/>
      <c r="AV279" s="221"/>
      <c r="AW279" s="661"/>
      <c r="AX279" s="661"/>
      <c r="AY279" s="443"/>
      <c r="AZ279" s="443"/>
      <c r="BA279" s="443"/>
      <c r="BB279" s="443"/>
      <c r="BC279" s="443"/>
      <c r="BD279" s="443"/>
      <c r="BE279" s="443"/>
      <c r="BF279" s="443"/>
      <c r="BG279" s="443"/>
      <c r="BH279" s="443"/>
      <c r="BI279" s="533"/>
      <c r="BJ279" s="533"/>
      <c r="BK279" s="533"/>
      <c r="BL279" s="682"/>
      <c r="BM279" s="402"/>
      <c r="BN279" s="402"/>
      <c r="BO279" s="402"/>
      <c r="BP279" s="402"/>
      <c r="BQ279" s="402"/>
      <c r="BR279" s="402"/>
      <c r="BS279" s="402"/>
      <c r="BT279" s="402"/>
      <c r="BU279" s="402"/>
      <c r="BV279" s="402"/>
      <c r="BW279" s="402"/>
      <c r="BX279" s="402"/>
      <c r="BY279" s="402"/>
      <c r="BZ279" s="402"/>
      <c r="CA279" s="402"/>
      <c r="CB279" s="402"/>
      <c r="CC279" s="402"/>
      <c r="CD279" s="402"/>
      <c r="CE279" s="402"/>
      <c r="CF279" s="402"/>
      <c r="CG279" s="402"/>
      <c r="CH279" s="402"/>
      <c r="CI279" s="402"/>
      <c r="CJ279" s="402"/>
    </row>
    <row r="280" spans="1:88" s="182" customFormat="1">
      <c r="A280" s="183"/>
      <c r="B280" s="183"/>
      <c r="C280" s="183"/>
      <c r="D280" s="183"/>
      <c r="E280" s="661"/>
      <c r="F280" s="661"/>
      <c r="G280" s="661"/>
      <c r="H280" s="661"/>
      <c r="I280" s="661"/>
      <c r="J280" s="661"/>
      <c r="K280" s="661"/>
      <c r="L280" s="661"/>
      <c r="M280" s="661"/>
      <c r="N280" s="661"/>
      <c r="O280" s="661"/>
      <c r="P280" s="661"/>
      <c r="Q280" s="661"/>
      <c r="R280" s="661"/>
      <c r="S280" s="661"/>
      <c r="T280" s="661"/>
      <c r="U280" s="661"/>
      <c r="V280" s="661"/>
      <c r="W280" s="661"/>
      <c r="X280" s="661"/>
      <c r="Y280" s="661"/>
      <c r="Z280" s="661"/>
      <c r="AA280" s="661"/>
      <c r="AB280" s="661"/>
      <c r="AC280" s="661"/>
      <c r="AD280" s="661"/>
      <c r="AE280" s="661"/>
      <c r="AF280" s="661"/>
      <c r="AG280" s="661"/>
      <c r="AH280" s="661"/>
      <c r="AI280" s="661"/>
      <c r="AJ280" s="661"/>
      <c r="AK280" s="661"/>
      <c r="AL280" s="661"/>
      <c r="AM280" s="221"/>
      <c r="AN280" s="221"/>
      <c r="AO280" s="221"/>
      <c r="AP280" s="221"/>
      <c r="AQ280" s="221"/>
      <c r="AR280" s="221"/>
      <c r="AS280" s="221"/>
      <c r="AT280" s="221"/>
      <c r="AU280" s="221"/>
      <c r="AV280" s="221"/>
      <c r="AW280" s="661"/>
      <c r="AX280" s="661"/>
      <c r="AY280" s="443"/>
      <c r="AZ280" s="443"/>
      <c r="BA280" s="443"/>
      <c r="BB280" s="443"/>
      <c r="BC280" s="443"/>
      <c r="BD280" s="443"/>
      <c r="BE280" s="443"/>
      <c r="BF280" s="443"/>
      <c r="BG280" s="443"/>
      <c r="BH280" s="443"/>
      <c r="BI280" s="533"/>
      <c r="BJ280" s="533"/>
      <c r="BK280" s="533"/>
      <c r="BL280" s="682"/>
      <c r="BM280" s="402"/>
      <c r="BN280" s="402"/>
      <c r="BO280" s="402"/>
      <c r="BP280" s="402"/>
      <c r="BQ280" s="402"/>
      <c r="BR280" s="402"/>
      <c r="BS280" s="402"/>
      <c r="BT280" s="402"/>
      <c r="BU280" s="402"/>
      <c r="BV280" s="402"/>
      <c r="BW280" s="402"/>
      <c r="BX280" s="402"/>
      <c r="BY280" s="402"/>
      <c r="BZ280" s="402"/>
      <c r="CA280" s="402"/>
      <c r="CB280" s="402"/>
      <c r="CC280" s="402"/>
      <c r="CD280" s="402"/>
      <c r="CE280" s="402"/>
      <c r="CF280" s="402"/>
      <c r="CG280" s="402"/>
      <c r="CH280" s="402"/>
      <c r="CI280" s="402"/>
      <c r="CJ280" s="402"/>
    </row>
    <row r="281" spans="1:88" s="182" customFormat="1">
      <c r="A281" s="183"/>
      <c r="B281" s="183"/>
      <c r="C281" s="183"/>
      <c r="D281" s="183"/>
      <c r="E281" s="661"/>
      <c r="F281" s="661"/>
      <c r="G281" s="661"/>
      <c r="H281" s="661"/>
      <c r="I281" s="661"/>
      <c r="J281" s="661"/>
      <c r="K281" s="661"/>
      <c r="L281" s="661"/>
      <c r="M281" s="661"/>
      <c r="N281" s="661"/>
      <c r="O281" s="661"/>
      <c r="P281" s="661"/>
      <c r="Q281" s="661"/>
      <c r="R281" s="661"/>
      <c r="S281" s="661"/>
      <c r="T281" s="661"/>
      <c r="U281" s="661"/>
      <c r="V281" s="661"/>
      <c r="W281" s="661"/>
      <c r="X281" s="661"/>
      <c r="Y281" s="661"/>
      <c r="Z281" s="661"/>
      <c r="AA281" s="661"/>
      <c r="AB281" s="661"/>
      <c r="AC281" s="661"/>
      <c r="AD281" s="661"/>
      <c r="AE281" s="661"/>
      <c r="AF281" s="661"/>
      <c r="AG281" s="661"/>
      <c r="AH281" s="661"/>
      <c r="AI281" s="661"/>
      <c r="AJ281" s="661"/>
      <c r="AK281" s="661"/>
      <c r="AL281" s="661"/>
      <c r="AM281" s="221"/>
      <c r="AN281" s="221"/>
      <c r="AO281" s="221"/>
      <c r="AP281" s="221"/>
      <c r="AQ281" s="221"/>
      <c r="AR281" s="221"/>
      <c r="AS281" s="221"/>
      <c r="AT281" s="221"/>
      <c r="AU281" s="221"/>
      <c r="AV281" s="221"/>
      <c r="AW281" s="661"/>
      <c r="AX281" s="661"/>
      <c r="AY281" s="443"/>
      <c r="AZ281" s="443"/>
      <c r="BA281" s="443"/>
      <c r="BB281" s="443"/>
      <c r="BC281" s="443"/>
      <c r="BD281" s="443"/>
      <c r="BE281" s="443"/>
      <c r="BF281" s="443"/>
      <c r="BG281" s="443"/>
      <c r="BH281" s="443"/>
      <c r="BI281" s="533"/>
      <c r="BJ281" s="533"/>
      <c r="BK281" s="533"/>
      <c r="BL281" s="682"/>
      <c r="BM281" s="402"/>
      <c r="BN281" s="402"/>
      <c r="BO281" s="402"/>
      <c r="BP281" s="402"/>
      <c r="BQ281" s="402"/>
      <c r="BR281" s="402"/>
      <c r="BS281" s="402"/>
      <c r="BT281" s="402"/>
      <c r="BU281" s="402"/>
      <c r="BV281" s="402"/>
      <c r="BW281" s="402"/>
      <c r="BX281" s="402"/>
      <c r="BY281" s="402"/>
      <c r="BZ281" s="402"/>
      <c r="CA281" s="402"/>
      <c r="CB281" s="402"/>
      <c r="CC281" s="402"/>
      <c r="CD281" s="402"/>
      <c r="CE281" s="402"/>
      <c r="CF281" s="402"/>
      <c r="CG281" s="402"/>
      <c r="CH281" s="402"/>
      <c r="CI281" s="402"/>
      <c r="CJ281" s="402"/>
    </row>
    <row r="282" spans="1:88" s="182" customFormat="1">
      <c r="A282" s="183"/>
      <c r="B282" s="183"/>
      <c r="C282" s="183"/>
      <c r="D282" s="183"/>
      <c r="E282" s="661"/>
      <c r="F282" s="661"/>
      <c r="G282" s="661"/>
      <c r="H282" s="661"/>
      <c r="I282" s="661"/>
      <c r="J282" s="661"/>
      <c r="K282" s="661"/>
      <c r="L282" s="661"/>
      <c r="M282" s="661"/>
      <c r="N282" s="661"/>
      <c r="O282" s="661"/>
      <c r="P282" s="661"/>
      <c r="Q282" s="661"/>
      <c r="R282" s="661"/>
      <c r="S282" s="661"/>
      <c r="T282" s="661"/>
      <c r="U282" s="661"/>
      <c r="V282" s="661"/>
      <c r="W282" s="661"/>
      <c r="X282" s="661"/>
      <c r="Y282" s="661"/>
      <c r="Z282" s="661"/>
      <c r="AA282" s="661"/>
      <c r="AB282" s="661"/>
      <c r="AC282" s="661"/>
      <c r="AD282" s="661"/>
      <c r="AE282" s="661"/>
      <c r="AF282" s="661"/>
      <c r="AG282" s="661"/>
      <c r="AH282" s="661"/>
      <c r="AI282" s="661"/>
      <c r="AJ282" s="661"/>
      <c r="AK282" s="661"/>
      <c r="AL282" s="661"/>
      <c r="AM282" s="221"/>
      <c r="AN282" s="221"/>
      <c r="AO282" s="221"/>
      <c r="AP282" s="221"/>
      <c r="AQ282" s="221"/>
      <c r="AR282" s="221"/>
      <c r="AS282" s="221"/>
      <c r="AT282" s="221"/>
      <c r="AU282" s="221"/>
      <c r="AV282" s="221"/>
      <c r="AW282" s="661"/>
      <c r="AX282" s="661"/>
      <c r="AY282" s="443"/>
      <c r="AZ282" s="443"/>
      <c r="BA282" s="443"/>
      <c r="BB282" s="443"/>
      <c r="BC282" s="443"/>
      <c r="BD282" s="443"/>
      <c r="BE282" s="443"/>
      <c r="BF282" s="443"/>
      <c r="BG282" s="443"/>
      <c r="BH282" s="443"/>
      <c r="BI282" s="533"/>
      <c r="BJ282" s="533"/>
      <c r="BK282" s="533"/>
      <c r="BL282" s="682"/>
      <c r="BM282" s="402"/>
      <c r="BN282" s="402"/>
      <c r="BO282" s="402"/>
      <c r="BP282" s="402"/>
      <c r="BQ282" s="402"/>
      <c r="BR282" s="402"/>
      <c r="BS282" s="402"/>
      <c r="BT282" s="402"/>
      <c r="BU282" s="402"/>
      <c r="BV282" s="402"/>
      <c r="BW282" s="402"/>
      <c r="BX282" s="402"/>
      <c r="BY282" s="402"/>
      <c r="BZ282" s="402"/>
      <c r="CA282" s="402"/>
      <c r="CB282" s="402"/>
      <c r="CC282" s="402"/>
      <c r="CD282" s="402"/>
      <c r="CE282" s="402"/>
      <c r="CF282" s="402"/>
      <c r="CG282" s="402"/>
      <c r="CH282" s="402"/>
      <c r="CI282" s="402"/>
      <c r="CJ282" s="402"/>
    </row>
    <row r="283" spans="1:88" s="182" customFormat="1">
      <c r="A283" s="183"/>
      <c r="B283" s="183"/>
      <c r="C283" s="183"/>
      <c r="D283" s="183"/>
      <c r="E283" s="661"/>
      <c r="F283" s="661"/>
      <c r="G283" s="661"/>
      <c r="H283" s="661"/>
      <c r="I283" s="661"/>
      <c r="J283" s="661"/>
      <c r="K283" s="661"/>
      <c r="L283" s="661"/>
      <c r="M283" s="661"/>
      <c r="N283" s="661"/>
      <c r="O283" s="661"/>
      <c r="P283" s="661"/>
      <c r="Q283" s="661"/>
      <c r="R283" s="661"/>
      <c r="S283" s="661"/>
      <c r="T283" s="661"/>
      <c r="U283" s="661"/>
      <c r="V283" s="661"/>
      <c r="W283" s="661"/>
      <c r="X283" s="661"/>
      <c r="Y283" s="661"/>
      <c r="Z283" s="661"/>
      <c r="AA283" s="661"/>
      <c r="AB283" s="661"/>
      <c r="AC283" s="661"/>
      <c r="AD283" s="661"/>
      <c r="AE283" s="661"/>
      <c r="AF283" s="661"/>
      <c r="AG283" s="661"/>
      <c r="AH283" s="661"/>
      <c r="AI283" s="661"/>
      <c r="AJ283" s="661"/>
      <c r="AK283" s="661"/>
      <c r="AL283" s="661"/>
      <c r="AM283" s="221"/>
      <c r="AN283" s="221"/>
      <c r="AO283" s="221"/>
      <c r="AP283" s="221"/>
      <c r="AQ283" s="221"/>
      <c r="AR283" s="221"/>
      <c r="AS283" s="221"/>
      <c r="AT283" s="221"/>
      <c r="AU283" s="221"/>
      <c r="AV283" s="221"/>
      <c r="AW283" s="661"/>
      <c r="AX283" s="661"/>
      <c r="AY283" s="443"/>
      <c r="AZ283" s="443"/>
      <c r="BA283" s="443"/>
      <c r="BB283" s="443"/>
      <c r="BC283" s="443"/>
      <c r="BD283" s="443"/>
      <c r="BE283" s="443"/>
      <c r="BF283" s="443"/>
      <c r="BG283" s="443"/>
      <c r="BH283" s="443"/>
      <c r="BI283" s="533"/>
      <c r="BJ283" s="533"/>
      <c r="BK283" s="533"/>
      <c r="BL283" s="682"/>
      <c r="BM283" s="402"/>
      <c r="BN283" s="402"/>
      <c r="BO283" s="402"/>
      <c r="BP283" s="402"/>
      <c r="BQ283" s="402"/>
      <c r="BR283" s="402"/>
      <c r="BS283" s="402"/>
      <c r="BT283" s="402"/>
      <c r="BU283" s="402"/>
      <c r="BV283" s="402"/>
      <c r="BW283" s="402"/>
      <c r="BX283" s="402"/>
      <c r="BY283" s="402"/>
      <c r="BZ283" s="402"/>
      <c r="CA283" s="402"/>
      <c r="CB283" s="402"/>
      <c r="CC283" s="402"/>
      <c r="CD283" s="402"/>
      <c r="CE283" s="402"/>
      <c r="CF283" s="402"/>
      <c r="CG283" s="402"/>
      <c r="CH283" s="402"/>
      <c r="CI283" s="402"/>
      <c r="CJ283" s="402"/>
    </row>
    <row r="284" spans="1:88" s="182" customFormat="1">
      <c r="A284" s="183"/>
      <c r="B284" s="183"/>
      <c r="C284" s="183"/>
      <c r="D284" s="183"/>
      <c r="E284" s="661"/>
      <c r="F284" s="661"/>
      <c r="G284" s="661"/>
      <c r="H284" s="661"/>
      <c r="I284" s="661"/>
      <c r="J284" s="661"/>
      <c r="K284" s="661"/>
      <c r="L284" s="661"/>
      <c r="M284" s="661"/>
      <c r="N284" s="661"/>
      <c r="O284" s="661"/>
      <c r="P284" s="661"/>
      <c r="Q284" s="661"/>
      <c r="R284" s="661"/>
      <c r="S284" s="661"/>
      <c r="T284" s="661"/>
      <c r="U284" s="661"/>
      <c r="V284" s="661"/>
      <c r="W284" s="661"/>
      <c r="X284" s="661"/>
      <c r="Y284" s="661"/>
      <c r="Z284" s="661"/>
      <c r="AA284" s="661"/>
      <c r="AB284" s="661"/>
      <c r="AC284" s="661"/>
      <c r="AD284" s="661"/>
      <c r="AE284" s="661"/>
      <c r="AF284" s="661"/>
      <c r="AG284" s="661"/>
      <c r="AH284" s="661"/>
      <c r="AI284" s="661"/>
      <c r="AJ284" s="661"/>
      <c r="AK284" s="661"/>
      <c r="AL284" s="661"/>
      <c r="AM284" s="221"/>
      <c r="AN284" s="221"/>
      <c r="AO284" s="221"/>
      <c r="AP284" s="221"/>
      <c r="AQ284" s="221"/>
      <c r="AR284" s="221"/>
      <c r="AS284" s="221"/>
      <c r="AT284" s="221"/>
      <c r="AU284" s="221"/>
      <c r="AV284" s="221"/>
      <c r="AW284" s="661"/>
      <c r="AX284" s="661"/>
      <c r="AY284" s="443"/>
      <c r="AZ284" s="443"/>
      <c r="BA284" s="443"/>
      <c r="BB284" s="443"/>
      <c r="BC284" s="443"/>
      <c r="BD284" s="443"/>
      <c r="BE284" s="443"/>
      <c r="BF284" s="443"/>
      <c r="BG284" s="443"/>
      <c r="BH284" s="443"/>
      <c r="BI284" s="533"/>
      <c r="BJ284" s="533"/>
      <c r="BK284" s="533"/>
      <c r="BL284" s="682"/>
      <c r="BM284" s="402"/>
      <c r="BN284" s="402"/>
      <c r="BO284" s="402"/>
      <c r="BP284" s="402"/>
      <c r="BQ284" s="402"/>
      <c r="BR284" s="402"/>
      <c r="BS284" s="402"/>
      <c r="BT284" s="402"/>
      <c r="BU284" s="402"/>
      <c r="BV284" s="402"/>
      <c r="BW284" s="402"/>
      <c r="BX284" s="402"/>
      <c r="BY284" s="402"/>
      <c r="BZ284" s="402"/>
      <c r="CA284" s="402"/>
      <c r="CB284" s="402"/>
      <c r="CC284" s="402"/>
      <c r="CD284" s="402"/>
      <c r="CE284" s="402"/>
      <c r="CF284" s="402"/>
      <c r="CG284" s="402"/>
      <c r="CH284" s="402"/>
      <c r="CI284" s="402"/>
      <c r="CJ284" s="402"/>
    </row>
    <row r="285" spans="1:88" s="182" customFormat="1">
      <c r="A285" s="183"/>
      <c r="B285" s="183"/>
      <c r="C285" s="183"/>
      <c r="D285" s="183"/>
      <c r="E285" s="661"/>
      <c r="F285" s="661"/>
      <c r="G285" s="661"/>
      <c r="H285" s="661"/>
      <c r="I285" s="661"/>
      <c r="J285" s="661"/>
      <c r="K285" s="661"/>
      <c r="L285" s="661"/>
      <c r="M285" s="661"/>
      <c r="N285" s="661"/>
      <c r="O285" s="661"/>
      <c r="P285" s="661"/>
      <c r="Q285" s="661"/>
      <c r="R285" s="661"/>
      <c r="S285" s="661"/>
      <c r="T285" s="661"/>
      <c r="U285" s="661"/>
      <c r="V285" s="661"/>
      <c r="W285" s="661"/>
      <c r="X285" s="661"/>
      <c r="Y285" s="661"/>
      <c r="Z285" s="661"/>
      <c r="AA285" s="661"/>
      <c r="AB285" s="661"/>
      <c r="AC285" s="661"/>
      <c r="AD285" s="661"/>
      <c r="AE285" s="661"/>
      <c r="AF285" s="661"/>
      <c r="AG285" s="661"/>
      <c r="AH285" s="661"/>
      <c r="AI285" s="661"/>
      <c r="AJ285" s="661"/>
      <c r="AK285" s="661"/>
      <c r="AL285" s="661"/>
      <c r="AM285" s="221"/>
      <c r="AN285" s="221"/>
      <c r="AO285" s="221"/>
      <c r="AP285" s="221"/>
      <c r="AQ285" s="221"/>
      <c r="AR285" s="221"/>
      <c r="AS285" s="221"/>
      <c r="AT285" s="221"/>
      <c r="AU285" s="221"/>
      <c r="AV285" s="221"/>
      <c r="AW285" s="661"/>
      <c r="AX285" s="661"/>
      <c r="AY285" s="443"/>
      <c r="AZ285" s="443"/>
      <c r="BA285" s="443"/>
      <c r="BB285" s="443"/>
      <c r="BC285" s="443"/>
      <c r="BD285" s="443"/>
      <c r="BE285" s="443"/>
      <c r="BF285" s="443"/>
      <c r="BG285" s="443"/>
      <c r="BH285" s="443"/>
      <c r="BI285" s="533"/>
      <c r="BJ285" s="533"/>
      <c r="BK285" s="533"/>
      <c r="BL285" s="682"/>
      <c r="BM285" s="402"/>
      <c r="BN285" s="402"/>
      <c r="BO285" s="402"/>
      <c r="BP285" s="402"/>
      <c r="BQ285" s="402"/>
      <c r="BR285" s="402"/>
      <c r="BS285" s="402"/>
      <c r="BT285" s="402"/>
      <c r="BU285" s="402"/>
      <c r="BV285" s="402"/>
      <c r="BW285" s="402"/>
      <c r="BX285" s="402"/>
      <c r="BY285" s="402"/>
      <c r="BZ285" s="402"/>
      <c r="CA285" s="402"/>
      <c r="CB285" s="402"/>
      <c r="CC285" s="402"/>
      <c r="CD285" s="402"/>
      <c r="CE285" s="402"/>
      <c r="CF285" s="402"/>
      <c r="CG285" s="402"/>
      <c r="CH285" s="402"/>
      <c r="CI285" s="402"/>
      <c r="CJ285" s="402"/>
    </row>
    <row r="286" spans="1:88" s="182" customFormat="1">
      <c r="A286" s="183"/>
      <c r="B286" s="183"/>
      <c r="C286" s="183"/>
      <c r="D286" s="183"/>
      <c r="E286" s="661"/>
      <c r="F286" s="661"/>
      <c r="G286" s="661"/>
      <c r="H286" s="661"/>
      <c r="I286" s="661"/>
      <c r="J286" s="661"/>
      <c r="K286" s="661"/>
      <c r="L286" s="661"/>
      <c r="M286" s="661"/>
      <c r="N286" s="661"/>
      <c r="O286" s="661"/>
      <c r="P286" s="661"/>
      <c r="Q286" s="661"/>
      <c r="R286" s="661"/>
      <c r="S286" s="661"/>
      <c r="T286" s="661"/>
      <c r="U286" s="661"/>
      <c r="V286" s="661"/>
      <c r="W286" s="661"/>
      <c r="X286" s="661"/>
      <c r="Y286" s="661"/>
      <c r="Z286" s="661"/>
      <c r="AA286" s="661"/>
      <c r="AB286" s="661"/>
      <c r="AC286" s="661"/>
      <c r="AD286" s="661"/>
      <c r="AE286" s="661"/>
      <c r="AF286" s="661"/>
      <c r="AG286" s="661"/>
      <c r="AH286" s="661"/>
      <c r="AI286" s="661"/>
      <c r="AJ286" s="661"/>
      <c r="AK286" s="661"/>
      <c r="AL286" s="661"/>
      <c r="AM286" s="221"/>
      <c r="AN286" s="221"/>
      <c r="AO286" s="221"/>
      <c r="AP286" s="221"/>
      <c r="AQ286" s="221"/>
      <c r="AR286" s="221"/>
      <c r="AS286" s="221"/>
      <c r="AT286" s="221"/>
      <c r="AU286" s="221"/>
      <c r="AV286" s="221"/>
      <c r="AW286" s="661"/>
      <c r="AX286" s="661"/>
      <c r="AY286" s="443"/>
      <c r="AZ286" s="443"/>
      <c r="BA286" s="443"/>
      <c r="BB286" s="443"/>
      <c r="BC286" s="443"/>
      <c r="BD286" s="443"/>
      <c r="BE286" s="443"/>
      <c r="BF286" s="443"/>
      <c r="BG286" s="443"/>
      <c r="BH286" s="443"/>
      <c r="BI286" s="533"/>
      <c r="BJ286" s="533"/>
      <c r="BK286" s="533"/>
      <c r="BL286" s="682"/>
      <c r="BM286" s="402"/>
      <c r="BN286" s="402"/>
      <c r="BO286" s="402"/>
      <c r="BP286" s="402"/>
      <c r="BQ286" s="402"/>
      <c r="BR286" s="402"/>
      <c r="BS286" s="402"/>
      <c r="BT286" s="402"/>
      <c r="BU286" s="402"/>
      <c r="BV286" s="402"/>
      <c r="BW286" s="402"/>
      <c r="BX286" s="402"/>
      <c r="BY286" s="402"/>
      <c r="BZ286" s="402"/>
      <c r="CA286" s="402"/>
      <c r="CB286" s="402"/>
      <c r="CC286" s="402"/>
      <c r="CD286" s="402"/>
      <c r="CE286" s="402"/>
      <c r="CF286" s="402"/>
      <c r="CG286" s="402"/>
      <c r="CH286" s="402"/>
      <c r="CI286" s="402"/>
      <c r="CJ286" s="402"/>
    </row>
    <row r="287" spans="1:88" s="182" customFormat="1">
      <c r="A287" s="183"/>
      <c r="B287" s="183"/>
      <c r="C287" s="183"/>
      <c r="D287" s="183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61"/>
      <c r="AB287" s="661"/>
      <c r="AC287" s="661"/>
      <c r="AD287" s="661"/>
      <c r="AE287" s="661"/>
      <c r="AF287" s="661"/>
      <c r="AG287" s="661"/>
      <c r="AH287" s="661"/>
      <c r="AI287" s="661"/>
      <c r="AJ287" s="661"/>
      <c r="AK287" s="661"/>
      <c r="AL287" s="661"/>
      <c r="AM287" s="221"/>
      <c r="AN287" s="221"/>
      <c r="AO287" s="221"/>
      <c r="AP287" s="221"/>
      <c r="AQ287" s="221"/>
      <c r="AR287" s="221"/>
      <c r="AS287" s="221"/>
      <c r="AT287" s="221"/>
      <c r="AU287" s="221"/>
      <c r="AV287" s="221"/>
      <c r="AW287" s="661"/>
      <c r="AX287" s="661"/>
      <c r="AY287" s="443"/>
      <c r="AZ287" s="443"/>
      <c r="BA287" s="443"/>
      <c r="BB287" s="443"/>
      <c r="BC287" s="443"/>
      <c r="BD287" s="443"/>
      <c r="BE287" s="443"/>
      <c r="BF287" s="443"/>
      <c r="BG287" s="443"/>
      <c r="BH287" s="443"/>
      <c r="BI287" s="533"/>
      <c r="BJ287" s="533"/>
      <c r="BK287" s="533"/>
      <c r="BL287" s="682"/>
      <c r="BM287" s="402"/>
      <c r="BN287" s="402"/>
      <c r="BO287" s="402"/>
      <c r="BP287" s="402"/>
      <c r="BQ287" s="402"/>
      <c r="BR287" s="402"/>
      <c r="BS287" s="402"/>
      <c r="BT287" s="402"/>
      <c r="BU287" s="402"/>
      <c r="BV287" s="402"/>
      <c r="BW287" s="402"/>
      <c r="BX287" s="402"/>
      <c r="BY287" s="402"/>
      <c r="BZ287" s="402"/>
      <c r="CA287" s="402"/>
      <c r="CB287" s="402"/>
      <c r="CC287" s="402"/>
      <c r="CD287" s="402"/>
      <c r="CE287" s="402"/>
      <c r="CF287" s="402"/>
      <c r="CG287" s="402"/>
      <c r="CH287" s="402"/>
      <c r="CI287" s="402"/>
      <c r="CJ287" s="402"/>
    </row>
    <row r="288" spans="1:88" s="182" customFormat="1">
      <c r="A288" s="183"/>
      <c r="B288" s="183"/>
      <c r="C288" s="183"/>
      <c r="D288" s="183"/>
      <c r="E288" s="661"/>
      <c r="F288" s="661"/>
      <c r="G288" s="661"/>
      <c r="H288" s="661"/>
      <c r="I288" s="661"/>
      <c r="J288" s="661"/>
      <c r="K288" s="661"/>
      <c r="L288" s="661"/>
      <c r="M288" s="661"/>
      <c r="N288" s="661"/>
      <c r="O288" s="661"/>
      <c r="P288" s="661"/>
      <c r="Q288" s="661"/>
      <c r="R288" s="661"/>
      <c r="S288" s="661"/>
      <c r="T288" s="661"/>
      <c r="U288" s="661"/>
      <c r="V288" s="661"/>
      <c r="W288" s="661"/>
      <c r="X288" s="661"/>
      <c r="Y288" s="661"/>
      <c r="Z288" s="661"/>
      <c r="AA288" s="661"/>
      <c r="AB288" s="661"/>
      <c r="AC288" s="661"/>
      <c r="AD288" s="661"/>
      <c r="AE288" s="661"/>
      <c r="AF288" s="661"/>
      <c r="AG288" s="661"/>
      <c r="AH288" s="661"/>
      <c r="AI288" s="661"/>
      <c r="AJ288" s="661"/>
      <c r="AK288" s="661"/>
      <c r="AL288" s="661"/>
      <c r="AM288" s="221"/>
      <c r="AN288" s="221"/>
      <c r="AO288" s="221"/>
      <c r="AP288" s="221"/>
      <c r="AQ288" s="221"/>
      <c r="AR288" s="221"/>
      <c r="AS288" s="221"/>
      <c r="AT288" s="221"/>
      <c r="AU288" s="221"/>
      <c r="AV288" s="221"/>
      <c r="AW288" s="661"/>
      <c r="AX288" s="661"/>
      <c r="AY288" s="443"/>
      <c r="AZ288" s="443"/>
      <c r="BA288" s="443"/>
      <c r="BB288" s="443"/>
      <c r="BC288" s="443"/>
      <c r="BD288" s="443"/>
      <c r="BE288" s="443"/>
      <c r="BF288" s="443"/>
      <c r="BG288" s="443"/>
      <c r="BH288" s="443"/>
      <c r="BI288" s="533"/>
      <c r="BJ288" s="533"/>
      <c r="BK288" s="533"/>
      <c r="BL288" s="682"/>
      <c r="BM288" s="402"/>
      <c r="BN288" s="402"/>
      <c r="BO288" s="402"/>
      <c r="BP288" s="402"/>
      <c r="BQ288" s="402"/>
      <c r="BR288" s="402"/>
      <c r="BS288" s="402"/>
      <c r="BT288" s="402"/>
      <c r="BU288" s="402"/>
      <c r="BV288" s="402"/>
      <c r="BW288" s="402"/>
      <c r="BX288" s="402"/>
      <c r="BY288" s="402"/>
      <c r="BZ288" s="402"/>
      <c r="CA288" s="402"/>
      <c r="CB288" s="402"/>
      <c r="CC288" s="402"/>
      <c r="CD288" s="402"/>
      <c r="CE288" s="402"/>
      <c r="CF288" s="402"/>
      <c r="CG288" s="402"/>
      <c r="CH288" s="402"/>
      <c r="CI288" s="402"/>
      <c r="CJ288" s="402"/>
    </row>
    <row r="289" spans="1:88" s="182" customFormat="1">
      <c r="A289" s="183"/>
      <c r="B289" s="183"/>
      <c r="C289" s="183"/>
      <c r="D289" s="183"/>
      <c r="E289" s="661"/>
      <c r="F289" s="661"/>
      <c r="G289" s="661"/>
      <c r="H289" s="661"/>
      <c r="I289" s="661"/>
      <c r="J289" s="661"/>
      <c r="K289" s="661"/>
      <c r="L289" s="661"/>
      <c r="M289" s="661"/>
      <c r="N289" s="661"/>
      <c r="O289" s="661"/>
      <c r="P289" s="661"/>
      <c r="Q289" s="661"/>
      <c r="R289" s="661"/>
      <c r="S289" s="661"/>
      <c r="T289" s="661"/>
      <c r="U289" s="661"/>
      <c r="V289" s="661"/>
      <c r="W289" s="661"/>
      <c r="X289" s="661"/>
      <c r="Y289" s="661"/>
      <c r="Z289" s="661"/>
      <c r="AA289" s="661"/>
      <c r="AB289" s="661"/>
      <c r="AC289" s="661"/>
      <c r="AD289" s="661"/>
      <c r="AE289" s="661"/>
      <c r="AF289" s="661"/>
      <c r="AG289" s="661"/>
      <c r="AH289" s="661"/>
      <c r="AI289" s="661"/>
      <c r="AJ289" s="661"/>
      <c r="AK289" s="661"/>
      <c r="AL289" s="661"/>
      <c r="AM289" s="221"/>
      <c r="AN289" s="221"/>
      <c r="AO289" s="221"/>
      <c r="AP289" s="221"/>
      <c r="AQ289" s="221"/>
      <c r="AR289" s="221"/>
      <c r="AS289" s="221"/>
      <c r="AT289" s="221"/>
      <c r="AU289" s="221"/>
      <c r="AV289" s="221"/>
      <c r="AW289" s="661"/>
      <c r="AX289" s="661"/>
      <c r="AY289" s="443"/>
      <c r="AZ289" s="443"/>
      <c r="BA289" s="443"/>
      <c r="BB289" s="443"/>
      <c r="BC289" s="443"/>
      <c r="BD289" s="443"/>
      <c r="BE289" s="443"/>
      <c r="BF289" s="443"/>
      <c r="BG289" s="443"/>
      <c r="BH289" s="443"/>
      <c r="BI289" s="533"/>
      <c r="BJ289" s="533"/>
      <c r="BK289" s="533"/>
      <c r="BL289" s="682"/>
      <c r="BM289" s="402"/>
      <c r="BN289" s="402"/>
      <c r="BO289" s="402"/>
      <c r="BP289" s="402"/>
      <c r="BQ289" s="402"/>
      <c r="BR289" s="402"/>
      <c r="BS289" s="402"/>
      <c r="BT289" s="402"/>
      <c r="BU289" s="402"/>
      <c r="BV289" s="402"/>
      <c r="BW289" s="402"/>
      <c r="BX289" s="402"/>
      <c r="BY289" s="402"/>
      <c r="BZ289" s="402"/>
      <c r="CA289" s="402"/>
      <c r="CB289" s="402"/>
      <c r="CC289" s="402"/>
      <c r="CD289" s="402"/>
      <c r="CE289" s="402"/>
      <c r="CF289" s="402"/>
      <c r="CG289" s="402"/>
      <c r="CH289" s="402"/>
      <c r="CI289" s="402"/>
      <c r="CJ289" s="402"/>
    </row>
    <row r="290" spans="1:88" s="182" customFormat="1">
      <c r="A290" s="183"/>
      <c r="B290" s="183"/>
      <c r="C290" s="183"/>
      <c r="D290" s="183"/>
      <c r="E290" s="661"/>
      <c r="F290" s="661"/>
      <c r="G290" s="661"/>
      <c r="H290" s="661"/>
      <c r="I290" s="661"/>
      <c r="J290" s="661"/>
      <c r="K290" s="661"/>
      <c r="L290" s="661"/>
      <c r="M290" s="661"/>
      <c r="N290" s="661"/>
      <c r="O290" s="661"/>
      <c r="P290" s="661"/>
      <c r="Q290" s="661"/>
      <c r="R290" s="661"/>
      <c r="S290" s="661"/>
      <c r="T290" s="661"/>
      <c r="U290" s="661"/>
      <c r="V290" s="661"/>
      <c r="W290" s="661"/>
      <c r="X290" s="661"/>
      <c r="Y290" s="661"/>
      <c r="Z290" s="661"/>
      <c r="AA290" s="661"/>
      <c r="AB290" s="661"/>
      <c r="AC290" s="661"/>
      <c r="AD290" s="661"/>
      <c r="AE290" s="661"/>
      <c r="AF290" s="661"/>
      <c r="AG290" s="661"/>
      <c r="AH290" s="661"/>
      <c r="AI290" s="661"/>
      <c r="AJ290" s="661"/>
      <c r="AK290" s="661"/>
      <c r="AL290" s="661"/>
      <c r="AM290" s="221"/>
      <c r="AN290" s="221"/>
      <c r="AO290" s="221"/>
      <c r="AP290" s="221"/>
      <c r="AQ290" s="221"/>
      <c r="AR290" s="221"/>
      <c r="AS290" s="221"/>
      <c r="AT290" s="221"/>
      <c r="AU290" s="221"/>
      <c r="AV290" s="221"/>
      <c r="AW290" s="661"/>
      <c r="AX290" s="661"/>
      <c r="AY290" s="443"/>
      <c r="AZ290" s="443"/>
      <c r="BA290" s="443"/>
      <c r="BB290" s="443"/>
      <c r="BC290" s="443"/>
      <c r="BD290" s="443"/>
      <c r="BE290" s="443"/>
      <c r="BF290" s="443"/>
      <c r="BG290" s="443"/>
      <c r="BH290" s="443"/>
      <c r="BI290" s="533"/>
      <c r="BJ290" s="533"/>
      <c r="BK290" s="533"/>
      <c r="BL290" s="682"/>
      <c r="BM290" s="402"/>
      <c r="BN290" s="402"/>
      <c r="BO290" s="402"/>
      <c r="BP290" s="402"/>
      <c r="BQ290" s="402"/>
      <c r="BR290" s="402"/>
      <c r="BS290" s="402"/>
      <c r="BT290" s="402"/>
      <c r="BU290" s="402"/>
      <c r="BV290" s="402"/>
      <c r="BW290" s="402"/>
      <c r="BX290" s="402"/>
      <c r="BY290" s="402"/>
      <c r="BZ290" s="402"/>
      <c r="CA290" s="402"/>
      <c r="CB290" s="402"/>
      <c r="CC290" s="402"/>
      <c r="CD290" s="402"/>
      <c r="CE290" s="402"/>
      <c r="CF290" s="402"/>
      <c r="CG290" s="402"/>
      <c r="CH290" s="402"/>
      <c r="CI290" s="402"/>
      <c r="CJ290" s="402"/>
    </row>
    <row r="291" spans="1:88" s="182" customFormat="1">
      <c r="A291" s="183"/>
      <c r="B291" s="183"/>
      <c r="C291" s="183"/>
      <c r="D291" s="183"/>
      <c r="E291" s="661"/>
      <c r="F291" s="661"/>
      <c r="G291" s="661"/>
      <c r="H291" s="661"/>
      <c r="I291" s="661"/>
      <c r="J291" s="661"/>
      <c r="K291" s="661"/>
      <c r="L291" s="661"/>
      <c r="M291" s="661"/>
      <c r="N291" s="661"/>
      <c r="O291" s="661"/>
      <c r="P291" s="661"/>
      <c r="Q291" s="661"/>
      <c r="R291" s="661"/>
      <c r="S291" s="661"/>
      <c r="T291" s="661"/>
      <c r="U291" s="661"/>
      <c r="V291" s="661"/>
      <c r="W291" s="661"/>
      <c r="X291" s="661"/>
      <c r="Y291" s="661"/>
      <c r="Z291" s="661"/>
      <c r="AA291" s="661"/>
      <c r="AB291" s="661"/>
      <c r="AC291" s="661"/>
      <c r="AD291" s="661"/>
      <c r="AE291" s="661"/>
      <c r="AF291" s="661"/>
      <c r="AG291" s="661"/>
      <c r="AH291" s="661"/>
      <c r="AI291" s="661"/>
      <c r="AJ291" s="661"/>
      <c r="AK291" s="661"/>
      <c r="AL291" s="661"/>
      <c r="AM291" s="221"/>
      <c r="AN291" s="221"/>
      <c r="AO291" s="221"/>
      <c r="AP291" s="221"/>
      <c r="AQ291" s="221"/>
      <c r="AR291" s="221"/>
      <c r="AS291" s="221"/>
      <c r="AT291" s="221"/>
      <c r="AU291" s="221"/>
      <c r="AV291" s="221"/>
      <c r="AW291" s="661"/>
      <c r="AX291" s="661"/>
      <c r="AY291" s="443"/>
      <c r="AZ291" s="443"/>
      <c r="BA291" s="443"/>
      <c r="BB291" s="443"/>
      <c r="BC291" s="443"/>
      <c r="BD291" s="443"/>
      <c r="BE291" s="443"/>
      <c r="BF291" s="443"/>
      <c r="BG291" s="443"/>
      <c r="BH291" s="443"/>
      <c r="BI291" s="533"/>
      <c r="BJ291" s="533"/>
      <c r="BK291" s="533"/>
      <c r="BL291" s="682"/>
      <c r="BM291" s="402"/>
      <c r="BN291" s="402"/>
      <c r="BO291" s="402"/>
      <c r="BP291" s="402"/>
      <c r="BQ291" s="402"/>
      <c r="BR291" s="402"/>
      <c r="BS291" s="402"/>
      <c r="BT291" s="402"/>
      <c r="BU291" s="402"/>
      <c r="BV291" s="402"/>
      <c r="BW291" s="402"/>
      <c r="BX291" s="402"/>
      <c r="BY291" s="402"/>
      <c r="BZ291" s="402"/>
      <c r="CA291" s="402"/>
      <c r="CB291" s="402"/>
      <c r="CC291" s="402"/>
      <c r="CD291" s="402"/>
      <c r="CE291" s="402"/>
      <c r="CF291" s="402"/>
      <c r="CG291" s="402"/>
      <c r="CH291" s="402"/>
      <c r="CI291" s="402"/>
      <c r="CJ291" s="402"/>
    </row>
    <row r="292" spans="1:88" s="182" customFormat="1">
      <c r="A292" s="183"/>
      <c r="B292" s="183"/>
      <c r="C292" s="183"/>
      <c r="D292" s="183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61"/>
      <c r="AB292" s="661"/>
      <c r="AC292" s="661"/>
      <c r="AD292" s="661"/>
      <c r="AE292" s="661"/>
      <c r="AF292" s="661"/>
      <c r="AG292" s="661"/>
      <c r="AH292" s="661"/>
      <c r="AI292" s="661"/>
      <c r="AJ292" s="661"/>
      <c r="AK292" s="661"/>
      <c r="AL292" s="661"/>
      <c r="AM292" s="221"/>
      <c r="AN292" s="221"/>
      <c r="AO292" s="221"/>
      <c r="AP292" s="221"/>
      <c r="AQ292" s="221"/>
      <c r="AR292" s="221"/>
      <c r="AS292" s="221"/>
      <c r="AT292" s="221"/>
      <c r="AU292" s="221"/>
      <c r="AV292" s="221"/>
      <c r="AW292" s="661"/>
      <c r="AX292" s="661"/>
      <c r="AY292" s="443"/>
      <c r="AZ292" s="443"/>
      <c r="BA292" s="443"/>
      <c r="BB292" s="443"/>
      <c r="BC292" s="443"/>
      <c r="BD292" s="443"/>
      <c r="BE292" s="443"/>
      <c r="BF292" s="443"/>
      <c r="BG292" s="443"/>
      <c r="BH292" s="443"/>
      <c r="BI292" s="533"/>
      <c r="BJ292" s="533"/>
      <c r="BK292" s="533"/>
      <c r="BL292" s="682"/>
      <c r="BM292" s="402"/>
      <c r="BN292" s="402"/>
      <c r="BO292" s="402"/>
      <c r="BP292" s="402"/>
      <c r="BQ292" s="402"/>
      <c r="BR292" s="402"/>
      <c r="BS292" s="402"/>
      <c r="BT292" s="402"/>
      <c r="BU292" s="402"/>
      <c r="BV292" s="402"/>
      <c r="BW292" s="402"/>
      <c r="BX292" s="402"/>
      <c r="BY292" s="402"/>
      <c r="BZ292" s="402"/>
      <c r="CA292" s="402"/>
      <c r="CB292" s="402"/>
      <c r="CC292" s="402"/>
      <c r="CD292" s="402"/>
      <c r="CE292" s="402"/>
      <c r="CF292" s="402"/>
      <c r="CG292" s="402"/>
      <c r="CH292" s="402"/>
      <c r="CI292" s="402"/>
      <c r="CJ292" s="402"/>
    </row>
    <row r="293" spans="1:88" s="182" customFormat="1">
      <c r="A293" s="183"/>
      <c r="B293" s="183"/>
      <c r="C293" s="183"/>
      <c r="D293" s="183"/>
      <c r="E293" s="661"/>
      <c r="F293" s="661"/>
      <c r="G293" s="661"/>
      <c r="H293" s="661"/>
      <c r="I293" s="661"/>
      <c r="J293" s="661"/>
      <c r="K293" s="661"/>
      <c r="L293" s="661"/>
      <c r="M293" s="661"/>
      <c r="N293" s="661"/>
      <c r="O293" s="661"/>
      <c r="P293" s="661"/>
      <c r="Q293" s="661"/>
      <c r="R293" s="661"/>
      <c r="S293" s="661"/>
      <c r="T293" s="661"/>
      <c r="U293" s="661"/>
      <c r="V293" s="661"/>
      <c r="W293" s="661"/>
      <c r="X293" s="661"/>
      <c r="Y293" s="661"/>
      <c r="Z293" s="661"/>
      <c r="AA293" s="661"/>
      <c r="AB293" s="661"/>
      <c r="AC293" s="661"/>
      <c r="AD293" s="661"/>
      <c r="AE293" s="661"/>
      <c r="AF293" s="661"/>
      <c r="AG293" s="661"/>
      <c r="AH293" s="661"/>
      <c r="AI293" s="661"/>
      <c r="AJ293" s="661"/>
      <c r="AK293" s="661"/>
      <c r="AL293" s="661"/>
      <c r="AM293" s="221"/>
      <c r="AN293" s="221"/>
      <c r="AO293" s="221"/>
      <c r="AP293" s="221"/>
      <c r="AQ293" s="221"/>
      <c r="AR293" s="221"/>
      <c r="AS293" s="221"/>
      <c r="AT293" s="221"/>
      <c r="AU293" s="221"/>
      <c r="AV293" s="221"/>
      <c r="AW293" s="661"/>
      <c r="AX293" s="661"/>
      <c r="AY293" s="443"/>
      <c r="AZ293" s="443"/>
      <c r="BA293" s="443"/>
      <c r="BB293" s="443"/>
      <c r="BC293" s="443"/>
      <c r="BD293" s="443"/>
      <c r="BE293" s="443"/>
      <c r="BF293" s="443"/>
      <c r="BG293" s="443"/>
      <c r="BH293" s="443"/>
      <c r="BI293" s="533"/>
      <c r="BJ293" s="533"/>
      <c r="BK293" s="533"/>
      <c r="BL293" s="682"/>
      <c r="BM293" s="402"/>
      <c r="BN293" s="402"/>
      <c r="BO293" s="402"/>
      <c r="BP293" s="402"/>
      <c r="BQ293" s="402"/>
      <c r="BR293" s="402"/>
      <c r="BS293" s="402"/>
      <c r="BT293" s="402"/>
      <c r="BU293" s="402"/>
      <c r="BV293" s="402"/>
      <c r="BW293" s="402"/>
      <c r="BX293" s="402"/>
      <c r="BY293" s="402"/>
      <c r="BZ293" s="402"/>
      <c r="CA293" s="402"/>
      <c r="CB293" s="402"/>
      <c r="CC293" s="402"/>
      <c r="CD293" s="402"/>
      <c r="CE293" s="402"/>
      <c r="CF293" s="402"/>
      <c r="CG293" s="402"/>
      <c r="CH293" s="402"/>
      <c r="CI293" s="402"/>
      <c r="CJ293" s="402"/>
    </row>
    <row r="294" spans="1:88" s="182" customFormat="1">
      <c r="A294" s="183"/>
      <c r="B294" s="183"/>
      <c r="C294" s="183"/>
      <c r="D294" s="183"/>
      <c r="E294" s="661"/>
      <c r="F294" s="661"/>
      <c r="G294" s="661"/>
      <c r="H294" s="661"/>
      <c r="I294" s="661"/>
      <c r="J294" s="661"/>
      <c r="K294" s="661"/>
      <c r="L294" s="661"/>
      <c r="M294" s="661"/>
      <c r="N294" s="661"/>
      <c r="O294" s="661"/>
      <c r="P294" s="661"/>
      <c r="Q294" s="661"/>
      <c r="R294" s="661"/>
      <c r="S294" s="661"/>
      <c r="T294" s="661"/>
      <c r="U294" s="661"/>
      <c r="V294" s="661"/>
      <c r="W294" s="661"/>
      <c r="X294" s="661"/>
      <c r="Y294" s="661"/>
      <c r="Z294" s="661"/>
      <c r="AA294" s="661"/>
      <c r="AB294" s="661"/>
      <c r="AC294" s="661"/>
      <c r="AD294" s="661"/>
      <c r="AE294" s="661"/>
      <c r="AF294" s="661"/>
      <c r="AG294" s="661"/>
      <c r="AH294" s="661"/>
      <c r="AI294" s="661"/>
      <c r="AJ294" s="661"/>
      <c r="AK294" s="661"/>
      <c r="AL294" s="661"/>
      <c r="AM294" s="221"/>
      <c r="AN294" s="221"/>
      <c r="AO294" s="221"/>
      <c r="AP294" s="221"/>
      <c r="AQ294" s="221"/>
      <c r="AR294" s="221"/>
      <c r="AS294" s="221"/>
      <c r="AT294" s="221"/>
      <c r="AU294" s="221"/>
      <c r="AV294" s="221"/>
      <c r="AW294" s="661"/>
      <c r="AX294" s="661"/>
      <c r="AY294" s="443"/>
      <c r="AZ294" s="443"/>
      <c r="BA294" s="443"/>
      <c r="BB294" s="443"/>
      <c r="BC294" s="443"/>
      <c r="BD294" s="443"/>
      <c r="BE294" s="443"/>
      <c r="BF294" s="443"/>
      <c r="BG294" s="443"/>
      <c r="BH294" s="443"/>
      <c r="BI294" s="533"/>
      <c r="BJ294" s="533"/>
      <c r="BK294" s="533"/>
      <c r="BL294" s="682"/>
      <c r="BM294" s="402"/>
      <c r="BN294" s="402"/>
      <c r="BO294" s="402"/>
      <c r="BP294" s="402"/>
      <c r="BQ294" s="402"/>
      <c r="BR294" s="402"/>
      <c r="BS294" s="402"/>
      <c r="BT294" s="402"/>
      <c r="BU294" s="402"/>
      <c r="BV294" s="402"/>
      <c r="BW294" s="402"/>
      <c r="BX294" s="402"/>
      <c r="BY294" s="402"/>
      <c r="BZ294" s="402"/>
      <c r="CA294" s="402"/>
      <c r="CB294" s="402"/>
      <c r="CC294" s="402"/>
      <c r="CD294" s="402"/>
      <c r="CE294" s="402"/>
      <c r="CF294" s="402"/>
      <c r="CG294" s="402"/>
      <c r="CH294" s="402"/>
      <c r="CI294" s="402"/>
      <c r="CJ294" s="402"/>
    </row>
    <row r="295" spans="1:88" s="182" customFormat="1">
      <c r="A295" s="183"/>
      <c r="B295" s="183"/>
      <c r="C295" s="183"/>
      <c r="D295" s="183"/>
      <c r="E295" s="661"/>
      <c r="F295" s="661"/>
      <c r="G295" s="661"/>
      <c r="H295" s="661"/>
      <c r="I295" s="661"/>
      <c r="J295" s="661"/>
      <c r="K295" s="661"/>
      <c r="L295" s="661"/>
      <c r="M295" s="661"/>
      <c r="N295" s="661"/>
      <c r="O295" s="661"/>
      <c r="P295" s="661"/>
      <c r="Q295" s="661"/>
      <c r="R295" s="661"/>
      <c r="S295" s="661"/>
      <c r="T295" s="661"/>
      <c r="U295" s="661"/>
      <c r="V295" s="661"/>
      <c r="W295" s="661"/>
      <c r="X295" s="661"/>
      <c r="Y295" s="661"/>
      <c r="Z295" s="661"/>
      <c r="AA295" s="661"/>
      <c r="AB295" s="661"/>
      <c r="AC295" s="661"/>
      <c r="AD295" s="661"/>
      <c r="AE295" s="661"/>
      <c r="AF295" s="661"/>
      <c r="AG295" s="661"/>
      <c r="AH295" s="661"/>
      <c r="AI295" s="661"/>
      <c r="AJ295" s="661"/>
      <c r="AK295" s="661"/>
      <c r="AL295" s="661"/>
      <c r="AM295" s="221"/>
      <c r="AN295" s="221"/>
      <c r="AO295" s="221"/>
      <c r="AP295" s="221"/>
      <c r="AQ295" s="221"/>
      <c r="AR295" s="221"/>
      <c r="AS295" s="221"/>
      <c r="AT295" s="221"/>
      <c r="AU295" s="221"/>
      <c r="AV295" s="221"/>
      <c r="AW295" s="661"/>
      <c r="AX295" s="661"/>
      <c r="AY295" s="443"/>
      <c r="AZ295" s="443"/>
      <c r="BA295" s="443"/>
      <c r="BB295" s="443"/>
      <c r="BC295" s="443"/>
      <c r="BD295" s="443"/>
      <c r="BE295" s="443"/>
      <c r="BF295" s="443"/>
      <c r="BG295" s="443"/>
      <c r="BH295" s="443"/>
      <c r="BI295" s="533"/>
      <c r="BJ295" s="533"/>
      <c r="BK295" s="533"/>
      <c r="BL295" s="682"/>
      <c r="BM295" s="402"/>
      <c r="BN295" s="402"/>
      <c r="BO295" s="402"/>
      <c r="BP295" s="402"/>
      <c r="BQ295" s="402"/>
      <c r="BR295" s="402"/>
      <c r="BS295" s="402"/>
      <c r="BT295" s="402"/>
      <c r="BU295" s="402"/>
      <c r="BV295" s="402"/>
      <c r="BW295" s="402"/>
      <c r="BX295" s="402"/>
      <c r="BY295" s="402"/>
      <c r="BZ295" s="402"/>
      <c r="CA295" s="402"/>
      <c r="CB295" s="402"/>
      <c r="CC295" s="402"/>
      <c r="CD295" s="402"/>
      <c r="CE295" s="402"/>
      <c r="CF295" s="402"/>
      <c r="CG295" s="402"/>
      <c r="CH295" s="402"/>
      <c r="CI295" s="402"/>
      <c r="CJ295" s="402"/>
    </row>
    <row r="296" spans="1:88" s="182" customFormat="1">
      <c r="A296" s="183"/>
      <c r="B296" s="183"/>
      <c r="C296" s="183"/>
      <c r="D296" s="183"/>
      <c r="E296" s="661"/>
      <c r="F296" s="661"/>
      <c r="G296" s="661"/>
      <c r="H296" s="661"/>
      <c r="I296" s="661"/>
      <c r="J296" s="661"/>
      <c r="K296" s="661"/>
      <c r="L296" s="661"/>
      <c r="M296" s="661"/>
      <c r="N296" s="661"/>
      <c r="O296" s="661"/>
      <c r="P296" s="661"/>
      <c r="Q296" s="661"/>
      <c r="R296" s="661"/>
      <c r="S296" s="661"/>
      <c r="T296" s="661"/>
      <c r="U296" s="661"/>
      <c r="V296" s="661"/>
      <c r="W296" s="661"/>
      <c r="X296" s="661"/>
      <c r="Y296" s="661"/>
      <c r="Z296" s="661"/>
      <c r="AA296" s="661"/>
      <c r="AB296" s="661"/>
      <c r="AC296" s="661"/>
      <c r="AD296" s="661"/>
      <c r="AE296" s="661"/>
      <c r="AF296" s="661"/>
      <c r="AG296" s="661"/>
      <c r="AH296" s="661"/>
      <c r="AI296" s="661"/>
      <c r="AJ296" s="661"/>
      <c r="AK296" s="661"/>
      <c r="AL296" s="661"/>
      <c r="AM296" s="221"/>
      <c r="AN296" s="221"/>
      <c r="AO296" s="221"/>
      <c r="AP296" s="221"/>
      <c r="AQ296" s="221"/>
      <c r="AR296" s="221"/>
      <c r="AS296" s="221"/>
      <c r="AT296" s="221"/>
      <c r="AU296" s="221"/>
      <c r="AV296" s="221"/>
      <c r="AW296" s="661"/>
      <c r="AX296" s="661"/>
      <c r="AY296" s="443"/>
      <c r="AZ296" s="443"/>
      <c r="BA296" s="443"/>
      <c r="BB296" s="443"/>
      <c r="BC296" s="443"/>
      <c r="BD296" s="443"/>
      <c r="BE296" s="443"/>
      <c r="BF296" s="443"/>
      <c r="BG296" s="443"/>
      <c r="BH296" s="443"/>
      <c r="BI296" s="533"/>
      <c r="BJ296" s="533"/>
      <c r="BK296" s="533"/>
      <c r="BL296" s="682"/>
      <c r="BM296" s="402"/>
      <c r="BN296" s="402"/>
      <c r="BO296" s="402"/>
      <c r="BP296" s="402"/>
      <c r="BQ296" s="402"/>
      <c r="BR296" s="402"/>
      <c r="BS296" s="402"/>
      <c r="BT296" s="402"/>
      <c r="BU296" s="402"/>
      <c r="BV296" s="402"/>
      <c r="BW296" s="402"/>
      <c r="BX296" s="402"/>
      <c r="BY296" s="402"/>
      <c r="BZ296" s="402"/>
      <c r="CA296" s="402"/>
      <c r="CB296" s="402"/>
      <c r="CC296" s="402"/>
      <c r="CD296" s="402"/>
      <c r="CE296" s="402"/>
      <c r="CF296" s="402"/>
      <c r="CG296" s="402"/>
      <c r="CH296" s="402"/>
      <c r="CI296" s="402"/>
      <c r="CJ296" s="402"/>
    </row>
    <row r="297" spans="1:88" s="182" customFormat="1">
      <c r="A297" s="183"/>
      <c r="B297" s="183"/>
      <c r="C297" s="183"/>
      <c r="D297" s="183"/>
      <c r="E297" s="661"/>
      <c r="F297" s="661"/>
      <c r="G297" s="661"/>
      <c r="H297" s="661"/>
      <c r="I297" s="661"/>
      <c r="J297" s="661"/>
      <c r="K297" s="661"/>
      <c r="L297" s="661"/>
      <c r="M297" s="661"/>
      <c r="N297" s="661"/>
      <c r="O297" s="661"/>
      <c r="P297" s="661"/>
      <c r="Q297" s="661"/>
      <c r="R297" s="661"/>
      <c r="S297" s="661"/>
      <c r="T297" s="661"/>
      <c r="U297" s="661"/>
      <c r="V297" s="661"/>
      <c r="W297" s="661"/>
      <c r="X297" s="661"/>
      <c r="Y297" s="661"/>
      <c r="Z297" s="661"/>
      <c r="AA297" s="661"/>
      <c r="AB297" s="661"/>
      <c r="AC297" s="661"/>
      <c r="AD297" s="661"/>
      <c r="AE297" s="661"/>
      <c r="AF297" s="661"/>
      <c r="AG297" s="661"/>
      <c r="AH297" s="661"/>
      <c r="AI297" s="661"/>
      <c r="AJ297" s="661"/>
      <c r="AK297" s="661"/>
      <c r="AL297" s="661"/>
      <c r="AM297" s="221"/>
      <c r="AN297" s="221"/>
      <c r="AO297" s="221"/>
      <c r="AP297" s="221"/>
      <c r="AQ297" s="221"/>
      <c r="AR297" s="221"/>
      <c r="AS297" s="221"/>
      <c r="AT297" s="221"/>
      <c r="AU297" s="221"/>
      <c r="AV297" s="221"/>
      <c r="AW297" s="661"/>
      <c r="AX297" s="661"/>
      <c r="AY297" s="443"/>
      <c r="AZ297" s="443"/>
      <c r="BA297" s="443"/>
      <c r="BB297" s="443"/>
      <c r="BC297" s="443"/>
      <c r="BD297" s="443"/>
      <c r="BE297" s="443"/>
      <c r="BF297" s="443"/>
      <c r="BG297" s="443"/>
      <c r="BH297" s="443"/>
      <c r="BI297" s="533"/>
      <c r="BJ297" s="533"/>
      <c r="BK297" s="533"/>
      <c r="BL297" s="682"/>
      <c r="BM297" s="402"/>
      <c r="BN297" s="402"/>
      <c r="BO297" s="402"/>
      <c r="BP297" s="402"/>
      <c r="BQ297" s="402"/>
      <c r="BR297" s="402"/>
      <c r="BS297" s="402"/>
      <c r="BT297" s="402"/>
      <c r="BU297" s="402"/>
      <c r="BV297" s="402"/>
      <c r="BW297" s="402"/>
      <c r="BX297" s="402"/>
      <c r="BY297" s="402"/>
      <c r="BZ297" s="402"/>
      <c r="CA297" s="402"/>
      <c r="CB297" s="402"/>
      <c r="CC297" s="402"/>
      <c r="CD297" s="402"/>
      <c r="CE297" s="402"/>
      <c r="CF297" s="402"/>
      <c r="CG297" s="402"/>
      <c r="CH297" s="402"/>
      <c r="CI297" s="402"/>
      <c r="CJ297" s="402"/>
    </row>
    <row r="298" spans="1:88" s="182" customFormat="1">
      <c r="A298" s="183"/>
      <c r="B298" s="183"/>
      <c r="C298" s="183"/>
      <c r="D298" s="183"/>
      <c r="E298" s="661"/>
      <c r="F298" s="661"/>
      <c r="G298" s="661"/>
      <c r="H298" s="661"/>
      <c r="I298" s="661"/>
      <c r="J298" s="661"/>
      <c r="K298" s="661"/>
      <c r="L298" s="661"/>
      <c r="M298" s="661"/>
      <c r="N298" s="661"/>
      <c r="O298" s="661"/>
      <c r="P298" s="661"/>
      <c r="Q298" s="661"/>
      <c r="R298" s="661"/>
      <c r="S298" s="661"/>
      <c r="T298" s="661"/>
      <c r="U298" s="661"/>
      <c r="V298" s="661"/>
      <c r="W298" s="661"/>
      <c r="X298" s="661"/>
      <c r="Y298" s="661"/>
      <c r="Z298" s="661"/>
      <c r="AA298" s="661"/>
      <c r="AB298" s="661"/>
      <c r="AC298" s="661"/>
      <c r="AD298" s="661"/>
      <c r="AE298" s="661"/>
      <c r="AF298" s="661"/>
      <c r="AG298" s="661"/>
      <c r="AH298" s="661"/>
      <c r="AI298" s="661"/>
      <c r="AJ298" s="661"/>
      <c r="AK298" s="661"/>
      <c r="AL298" s="661"/>
      <c r="AM298" s="221"/>
      <c r="AN298" s="221"/>
      <c r="AO298" s="221"/>
      <c r="AP298" s="221"/>
      <c r="AQ298" s="221"/>
      <c r="AR298" s="221"/>
      <c r="AS298" s="221"/>
      <c r="AT298" s="221"/>
      <c r="AU298" s="221"/>
      <c r="AV298" s="221"/>
      <c r="AW298" s="661"/>
      <c r="AX298" s="661"/>
      <c r="AY298" s="443"/>
      <c r="AZ298" s="443"/>
      <c r="BA298" s="443"/>
      <c r="BB298" s="443"/>
      <c r="BC298" s="443"/>
      <c r="BD298" s="443"/>
      <c r="BE298" s="443"/>
      <c r="BF298" s="443"/>
      <c r="BG298" s="443"/>
      <c r="BH298" s="443"/>
      <c r="BI298" s="533"/>
      <c r="BJ298" s="533"/>
      <c r="BK298" s="533"/>
      <c r="BL298" s="682"/>
      <c r="BM298" s="402"/>
      <c r="BN298" s="402"/>
      <c r="BO298" s="402"/>
      <c r="BP298" s="402"/>
      <c r="BQ298" s="402"/>
      <c r="BR298" s="402"/>
      <c r="BS298" s="402"/>
      <c r="BT298" s="402"/>
      <c r="BU298" s="402"/>
      <c r="BV298" s="402"/>
      <c r="BW298" s="402"/>
      <c r="BX298" s="402"/>
      <c r="BY298" s="402"/>
      <c r="BZ298" s="402"/>
      <c r="CA298" s="402"/>
      <c r="CB298" s="402"/>
      <c r="CC298" s="402"/>
      <c r="CD298" s="402"/>
      <c r="CE298" s="402"/>
      <c r="CF298" s="402"/>
      <c r="CG298" s="402"/>
      <c r="CH298" s="402"/>
      <c r="CI298" s="402"/>
      <c r="CJ298" s="402"/>
    </row>
    <row r="299" spans="1:88" s="182" customFormat="1">
      <c r="A299" s="183"/>
      <c r="B299" s="183"/>
      <c r="C299" s="183"/>
      <c r="D299" s="183"/>
      <c r="E299" s="661"/>
      <c r="F299" s="661"/>
      <c r="G299" s="661"/>
      <c r="H299" s="661"/>
      <c r="I299" s="661"/>
      <c r="J299" s="661"/>
      <c r="K299" s="661"/>
      <c r="L299" s="661"/>
      <c r="M299" s="661"/>
      <c r="N299" s="661"/>
      <c r="O299" s="661"/>
      <c r="P299" s="661"/>
      <c r="Q299" s="661"/>
      <c r="R299" s="661"/>
      <c r="S299" s="661"/>
      <c r="T299" s="661"/>
      <c r="U299" s="661"/>
      <c r="V299" s="661"/>
      <c r="W299" s="661"/>
      <c r="X299" s="661"/>
      <c r="Y299" s="661"/>
      <c r="Z299" s="661"/>
      <c r="AA299" s="661"/>
      <c r="AB299" s="661"/>
      <c r="AC299" s="661"/>
      <c r="AD299" s="661"/>
      <c r="AE299" s="661"/>
      <c r="AF299" s="661"/>
      <c r="AG299" s="661"/>
      <c r="AH299" s="661"/>
      <c r="AI299" s="661"/>
      <c r="AJ299" s="661"/>
      <c r="AK299" s="661"/>
      <c r="AL299" s="661"/>
      <c r="AM299" s="221"/>
      <c r="AN299" s="221"/>
      <c r="AO299" s="221"/>
      <c r="AP299" s="221"/>
      <c r="AQ299" s="221"/>
      <c r="AR299" s="221"/>
      <c r="AS299" s="221"/>
      <c r="AT299" s="221"/>
      <c r="AU299" s="221"/>
      <c r="AV299" s="221"/>
      <c r="AW299" s="661"/>
      <c r="AX299" s="661"/>
      <c r="AY299" s="443"/>
      <c r="AZ299" s="443"/>
      <c r="BA299" s="443"/>
      <c r="BB299" s="443"/>
      <c r="BC299" s="443"/>
      <c r="BD299" s="443"/>
      <c r="BE299" s="443"/>
      <c r="BF299" s="443"/>
      <c r="BG299" s="443"/>
      <c r="BH299" s="443"/>
      <c r="BI299" s="533"/>
      <c r="BJ299" s="533"/>
      <c r="BK299" s="533"/>
      <c r="BL299" s="682"/>
      <c r="BM299" s="402"/>
      <c r="BN299" s="402"/>
      <c r="BO299" s="402"/>
      <c r="BP299" s="402"/>
      <c r="BQ299" s="402"/>
      <c r="BR299" s="402"/>
      <c r="BS299" s="402"/>
      <c r="BT299" s="402"/>
      <c r="BU299" s="402"/>
      <c r="BV299" s="402"/>
      <c r="BW299" s="402"/>
      <c r="BX299" s="402"/>
      <c r="BY299" s="402"/>
      <c r="BZ299" s="402"/>
      <c r="CA299" s="402"/>
      <c r="CB299" s="402"/>
      <c r="CC299" s="402"/>
      <c r="CD299" s="402"/>
      <c r="CE299" s="402"/>
      <c r="CF299" s="402"/>
      <c r="CG299" s="402"/>
      <c r="CH299" s="402"/>
      <c r="CI299" s="402"/>
      <c r="CJ299" s="402"/>
    </row>
    <row r="300" spans="1:88" s="182" customFormat="1">
      <c r="A300" s="183"/>
      <c r="B300" s="183"/>
      <c r="C300" s="183"/>
      <c r="D300" s="183"/>
      <c r="E300" s="661"/>
      <c r="F300" s="661"/>
      <c r="G300" s="661"/>
      <c r="H300" s="661"/>
      <c r="I300" s="661"/>
      <c r="J300" s="661"/>
      <c r="K300" s="661"/>
      <c r="L300" s="661"/>
      <c r="M300" s="661"/>
      <c r="N300" s="661"/>
      <c r="O300" s="661"/>
      <c r="P300" s="661"/>
      <c r="Q300" s="661"/>
      <c r="R300" s="661"/>
      <c r="S300" s="661"/>
      <c r="T300" s="661"/>
      <c r="U300" s="661"/>
      <c r="V300" s="661"/>
      <c r="W300" s="661"/>
      <c r="X300" s="661"/>
      <c r="Y300" s="661"/>
      <c r="Z300" s="661"/>
      <c r="AA300" s="661"/>
      <c r="AB300" s="661"/>
      <c r="AC300" s="661"/>
      <c r="AD300" s="661"/>
      <c r="AE300" s="661"/>
      <c r="AF300" s="661"/>
      <c r="AG300" s="661"/>
      <c r="AH300" s="661"/>
      <c r="AI300" s="661"/>
      <c r="AJ300" s="661"/>
      <c r="AK300" s="661"/>
      <c r="AL300" s="661"/>
      <c r="AM300" s="221"/>
      <c r="AN300" s="221"/>
      <c r="AO300" s="221"/>
      <c r="AP300" s="221"/>
      <c r="AQ300" s="221"/>
      <c r="AR300" s="221"/>
      <c r="AS300" s="221"/>
      <c r="AT300" s="221"/>
      <c r="AU300" s="221"/>
      <c r="AV300" s="221"/>
      <c r="AW300" s="661"/>
      <c r="AX300" s="661"/>
      <c r="AY300" s="443"/>
      <c r="AZ300" s="443"/>
      <c r="BA300" s="443"/>
      <c r="BB300" s="443"/>
      <c r="BC300" s="443"/>
      <c r="BD300" s="443"/>
      <c r="BE300" s="443"/>
      <c r="BF300" s="443"/>
      <c r="BG300" s="443"/>
      <c r="BH300" s="443"/>
      <c r="BI300" s="533"/>
      <c r="BJ300" s="533"/>
      <c r="BK300" s="533"/>
      <c r="BL300" s="682"/>
      <c r="BM300" s="402"/>
      <c r="BN300" s="402"/>
      <c r="BO300" s="402"/>
      <c r="BP300" s="402"/>
      <c r="BQ300" s="402"/>
      <c r="BR300" s="402"/>
      <c r="BS300" s="402"/>
      <c r="BT300" s="402"/>
      <c r="BU300" s="402"/>
      <c r="BV300" s="402"/>
      <c r="BW300" s="402"/>
      <c r="BX300" s="402"/>
      <c r="BY300" s="402"/>
      <c r="BZ300" s="402"/>
      <c r="CA300" s="402"/>
      <c r="CB300" s="402"/>
      <c r="CC300" s="402"/>
      <c r="CD300" s="402"/>
      <c r="CE300" s="402"/>
      <c r="CF300" s="402"/>
      <c r="CG300" s="402"/>
      <c r="CH300" s="402"/>
      <c r="CI300" s="402"/>
      <c r="CJ300" s="402"/>
    </row>
    <row r="301" spans="1:88" s="182" customFormat="1">
      <c r="A301" s="183"/>
      <c r="B301" s="183"/>
      <c r="C301" s="183"/>
      <c r="D301" s="183"/>
      <c r="E301" s="661"/>
      <c r="F301" s="661"/>
      <c r="G301" s="661"/>
      <c r="H301" s="661"/>
      <c r="I301" s="661"/>
      <c r="J301" s="661"/>
      <c r="K301" s="661"/>
      <c r="L301" s="661"/>
      <c r="M301" s="661"/>
      <c r="N301" s="661"/>
      <c r="O301" s="661"/>
      <c r="P301" s="661"/>
      <c r="Q301" s="661"/>
      <c r="R301" s="661"/>
      <c r="S301" s="661"/>
      <c r="T301" s="661"/>
      <c r="U301" s="661"/>
      <c r="V301" s="661"/>
      <c r="W301" s="661"/>
      <c r="X301" s="661"/>
      <c r="Y301" s="661"/>
      <c r="Z301" s="661"/>
      <c r="AA301" s="661"/>
      <c r="AB301" s="661"/>
      <c r="AC301" s="661"/>
      <c r="AD301" s="661"/>
      <c r="AE301" s="661"/>
      <c r="AF301" s="661"/>
      <c r="AG301" s="661"/>
      <c r="AH301" s="661"/>
      <c r="AI301" s="661"/>
      <c r="AJ301" s="661"/>
      <c r="AK301" s="661"/>
      <c r="AL301" s="661"/>
      <c r="AM301" s="221"/>
      <c r="AN301" s="221"/>
      <c r="AO301" s="221"/>
      <c r="AP301" s="221"/>
      <c r="AQ301" s="221"/>
      <c r="AR301" s="221"/>
      <c r="AS301" s="221"/>
      <c r="AT301" s="221"/>
      <c r="AU301" s="221"/>
      <c r="AV301" s="221"/>
      <c r="AW301" s="661"/>
      <c r="AX301" s="661"/>
      <c r="AY301" s="443"/>
      <c r="AZ301" s="443"/>
      <c r="BA301" s="443"/>
      <c r="BB301" s="443"/>
      <c r="BC301" s="443"/>
      <c r="BD301" s="443"/>
      <c r="BE301" s="443"/>
      <c r="BF301" s="443"/>
      <c r="BG301" s="443"/>
      <c r="BH301" s="443"/>
      <c r="BI301" s="533"/>
      <c r="BJ301" s="533"/>
      <c r="BK301" s="533"/>
      <c r="BL301" s="682"/>
      <c r="BM301" s="402"/>
      <c r="BN301" s="402"/>
      <c r="BO301" s="402"/>
      <c r="BP301" s="402"/>
      <c r="BQ301" s="402"/>
      <c r="BR301" s="402"/>
      <c r="BS301" s="402"/>
      <c r="BT301" s="402"/>
      <c r="BU301" s="402"/>
      <c r="BV301" s="402"/>
      <c r="BW301" s="402"/>
      <c r="BX301" s="402"/>
      <c r="BY301" s="402"/>
      <c r="BZ301" s="402"/>
      <c r="CA301" s="402"/>
      <c r="CB301" s="402"/>
      <c r="CC301" s="402"/>
      <c r="CD301" s="402"/>
      <c r="CE301" s="402"/>
      <c r="CF301" s="402"/>
      <c r="CG301" s="402"/>
      <c r="CH301" s="402"/>
      <c r="CI301" s="402"/>
      <c r="CJ301" s="402"/>
    </row>
    <row r="302" spans="1:88" s="182" customFormat="1">
      <c r="A302" s="183"/>
      <c r="B302" s="183"/>
      <c r="C302" s="183"/>
      <c r="D302" s="183"/>
      <c r="E302" s="661"/>
      <c r="F302" s="661"/>
      <c r="G302" s="661"/>
      <c r="H302" s="661"/>
      <c r="I302" s="661"/>
      <c r="J302" s="661"/>
      <c r="K302" s="661"/>
      <c r="L302" s="661"/>
      <c r="M302" s="661"/>
      <c r="N302" s="661"/>
      <c r="O302" s="661"/>
      <c r="P302" s="661"/>
      <c r="Q302" s="661"/>
      <c r="R302" s="661"/>
      <c r="S302" s="661"/>
      <c r="T302" s="661"/>
      <c r="U302" s="661"/>
      <c r="V302" s="661"/>
      <c r="W302" s="661"/>
      <c r="X302" s="661"/>
      <c r="Y302" s="661"/>
      <c r="Z302" s="661"/>
      <c r="AA302" s="661"/>
      <c r="AB302" s="661"/>
      <c r="AC302" s="661"/>
      <c r="AD302" s="661"/>
      <c r="AE302" s="661"/>
      <c r="AF302" s="661"/>
      <c r="AG302" s="661"/>
      <c r="AH302" s="661"/>
      <c r="AI302" s="661"/>
      <c r="AJ302" s="661"/>
      <c r="AK302" s="661"/>
      <c r="AL302" s="661"/>
      <c r="AM302" s="221"/>
      <c r="AN302" s="221"/>
      <c r="AO302" s="221"/>
      <c r="AP302" s="221"/>
      <c r="AQ302" s="221"/>
      <c r="AR302" s="221"/>
      <c r="AS302" s="221"/>
      <c r="AT302" s="221"/>
      <c r="AU302" s="221"/>
      <c r="AV302" s="221"/>
      <c r="AW302" s="661"/>
      <c r="AX302" s="661"/>
      <c r="AY302" s="443"/>
      <c r="AZ302" s="443"/>
      <c r="BA302" s="443"/>
      <c r="BB302" s="443"/>
      <c r="BC302" s="443"/>
      <c r="BD302" s="443"/>
      <c r="BE302" s="443"/>
      <c r="BF302" s="443"/>
      <c r="BG302" s="443"/>
      <c r="BH302" s="443"/>
      <c r="BI302" s="533"/>
      <c r="BJ302" s="533"/>
      <c r="BK302" s="533"/>
      <c r="BL302" s="682"/>
      <c r="BM302" s="402"/>
      <c r="BN302" s="402"/>
      <c r="BO302" s="402"/>
      <c r="BP302" s="402"/>
      <c r="BQ302" s="402"/>
      <c r="BR302" s="402"/>
      <c r="BS302" s="402"/>
      <c r="BT302" s="402"/>
      <c r="BU302" s="402"/>
      <c r="BV302" s="402"/>
      <c r="BW302" s="402"/>
      <c r="BX302" s="402"/>
      <c r="BY302" s="402"/>
      <c r="BZ302" s="402"/>
      <c r="CA302" s="402"/>
      <c r="CB302" s="402"/>
      <c r="CC302" s="402"/>
      <c r="CD302" s="402"/>
      <c r="CE302" s="402"/>
      <c r="CF302" s="402"/>
      <c r="CG302" s="402"/>
      <c r="CH302" s="402"/>
      <c r="CI302" s="402"/>
      <c r="CJ302" s="402"/>
    </row>
    <row r="303" spans="1:88" s="182" customFormat="1">
      <c r="A303" s="183"/>
      <c r="B303" s="183"/>
      <c r="C303" s="183"/>
      <c r="D303" s="183"/>
      <c r="E303" s="661"/>
      <c r="F303" s="661"/>
      <c r="G303" s="661"/>
      <c r="H303" s="661"/>
      <c r="I303" s="661"/>
      <c r="J303" s="661"/>
      <c r="K303" s="661"/>
      <c r="L303" s="661"/>
      <c r="M303" s="661"/>
      <c r="N303" s="661"/>
      <c r="O303" s="661"/>
      <c r="P303" s="661"/>
      <c r="Q303" s="661"/>
      <c r="R303" s="661"/>
      <c r="S303" s="661"/>
      <c r="T303" s="661"/>
      <c r="U303" s="661"/>
      <c r="V303" s="661"/>
      <c r="W303" s="661"/>
      <c r="X303" s="661"/>
      <c r="Y303" s="661"/>
      <c r="Z303" s="661"/>
      <c r="AA303" s="661"/>
      <c r="AB303" s="661"/>
      <c r="AC303" s="661"/>
      <c r="AD303" s="661"/>
      <c r="AE303" s="661"/>
      <c r="AF303" s="661"/>
      <c r="AG303" s="661"/>
      <c r="AH303" s="661"/>
      <c r="AI303" s="661"/>
      <c r="AJ303" s="661"/>
      <c r="AK303" s="661"/>
      <c r="AL303" s="661"/>
      <c r="AM303" s="221"/>
      <c r="AN303" s="221"/>
      <c r="AO303" s="221"/>
      <c r="AP303" s="221"/>
      <c r="AQ303" s="221"/>
      <c r="AR303" s="221"/>
      <c r="AS303" s="221"/>
      <c r="AT303" s="221"/>
      <c r="AU303" s="221"/>
      <c r="AV303" s="221"/>
      <c r="AW303" s="661"/>
      <c r="AX303" s="661"/>
      <c r="AY303" s="443"/>
      <c r="AZ303" s="443"/>
      <c r="BA303" s="443"/>
      <c r="BB303" s="443"/>
      <c r="BC303" s="443"/>
      <c r="BD303" s="443"/>
      <c r="BE303" s="443"/>
      <c r="BF303" s="443"/>
      <c r="BG303" s="443"/>
      <c r="BH303" s="443"/>
      <c r="BI303" s="533"/>
      <c r="BJ303" s="533"/>
      <c r="BK303" s="533"/>
      <c r="BL303" s="682"/>
      <c r="BM303" s="402"/>
      <c r="BN303" s="402"/>
      <c r="BO303" s="402"/>
      <c r="BP303" s="402"/>
      <c r="BQ303" s="402"/>
      <c r="BR303" s="402"/>
      <c r="BS303" s="402"/>
      <c r="BT303" s="402"/>
      <c r="BU303" s="402"/>
      <c r="BV303" s="402"/>
      <c r="BW303" s="402"/>
      <c r="BX303" s="402"/>
      <c r="BY303" s="402"/>
      <c r="BZ303" s="402"/>
      <c r="CA303" s="402"/>
      <c r="CB303" s="402"/>
      <c r="CC303" s="402"/>
      <c r="CD303" s="402"/>
      <c r="CE303" s="402"/>
      <c r="CF303" s="402"/>
      <c r="CG303" s="402"/>
      <c r="CH303" s="402"/>
      <c r="CI303" s="402"/>
      <c r="CJ303" s="402"/>
    </row>
    <row r="304" spans="1:88" s="182" customFormat="1">
      <c r="A304" s="183"/>
      <c r="B304" s="183"/>
      <c r="C304" s="183"/>
      <c r="D304" s="183"/>
      <c r="E304" s="661"/>
      <c r="F304" s="661"/>
      <c r="G304" s="661"/>
      <c r="H304" s="661"/>
      <c r="I304" s="661"/>
      <c r="J304" s="661"/>
      <c r="K304" s="661"/>
      <c r="L304" s="661"/>
      <c r="M304" s="661"/>
      <c r="N304" s="661"/>
      <c r="O304" s="661"/>
      <c r="P304" s="661"/>
      <c r="Q304" s="661"/>
      <c r="R304" s="661"/>
      <c r="S304" s="661"/>
      <c r="T304" s="661"/>
      <c r="U304" s="661"/>
      <c r="V304" s="661"/>
      <c r="W304" s="661"/>
      <c r="X304" s="661"/>
      <c r="Y304" s="661"/>
      <c r="Z304" s="661"/>
      <c r="AA304" s="661"/>
      <c r="AB304" s="661"/>
      <c r="AC304" s="661"/>
      <c r="AD304" s="661"/>
      <c r="AE304" s="661"/>
      <c r="AF304" s="661"/>
      <c r="AG304" s="661"/>
      <c r="AH304" s="661"/>
      <c r="AI304" s="661"/>
      <c r="AJ304" s="661"/>
      <c r="AK304" s="661"/>
      <c r="AL304" s="661"/>
      <c r="AM304" s="221"/>
      <c r="AN304" s="221"/>
      <c r="AO304" s="221"/>
      <c r="AP304" s="221"/>
      <c r="AQ304" s="221"/>
      <c r="AR304" s="221"/>
      <c r="AS304" s="221"/>
      <c r="AT304" s="221"/>
      <c r="AU304" s="221"/>
      <c r="AV304" s="221"/>
      <c r="AW304" s="661"/>
      <c r="AX304" s="661"/>
      <c r="AY304" s="443"/>
      <c r="AZ304" s="443"/>
      <c r="BA304" s="443"/>
      <c r="BB304" s="443"/>
      <c r="BC304" s="443"/>
      <c r="BD304" s="443"/>
      <c r="BE304" s="443"/>
      <c r="BF304" s="443"/>
      <c r="BG304" s="443"/>
      <c r="BH304" s="443"/>
      <c r="BI304" s="533"/>
      <c r="BJ304" s="533"/>
      <c r="BK304" s="533"/>
      <c r="BL304" s="682"/>
      <c r="BM304" s="402"/>
      <c r="BN304" s="402"/>
      <c r="BO304" s="402"/>
      <c r="BP304" s="402"/>
      <c r="BQ304" s="402"/>
      <c r="BR304" s="402"/>
      <c r="BS304" s="402"/>
      <c r="BT304" s="402"/>
      <c r="BU304" s="402"/>
      <c r="BV304" s="402"/>
      <c r="BW304" s="402"/>
      <c r="BX304" s="402"/>
      <c r="BY304" s="402"/>
      <c r="BZ304" s="402"/>
      <c r="CA304" s="402"/>
      <c r="CB304" s="402"/>
      <c r="CC304" s="402"/>
      <c r="CD304" s="402"/>
      <c r="CE304" s="402"/>
      <c r="CF304" s="402"/>
      <c r="CG304" s="402"/>
      <c r="CH304" s="402"/>
      <c r="CI304" s="402"/>
      <c r="CJ304" s="402"/>
    </row>
    <row r="305" spans="1:88" s="182" customFormat="1">
      <c r="A305" s="183"/>
      <c r="B305" s="183"/>
      <c r="C305" s="183"/>
      <c r="D305" s="183"/>
      <c r="E305" s="661"/>
      <c r="F305" s="661"/>
      <c r="G305" s="661"/>
      <c r="H305" s="661"/>
      <c r="I305" s="661"/>
      <c r="J305" s="661"/>
      <c r="K305" s="661"/>
      <c r="L305" s="661"/>
      <c r="M305" s="661"/>
      <c r="N305" s="661"/>
      <c r="O305" s="661"/>
      <c r="P305" s="661"/>
      <c r="Q305" s="661"/>
      <c r="R305" s="661"/>
      <c r="S305" s="661"/>
      <c r="T305" s="661"/>
      <c r="U305" s="661"/>
      <c r="V305" s="661"/>
      <c r="W305" s="661"/>
      <c r="X305" s="661"/>
      <c r="Y305" s="661"/>
      <c r="Z305" s="661"/>
      <c r="AA305" s="661"/>
      <c r="AB305" s="661"/>
      <c r="AC305" s="661"/>
      <c r="AD305" s="661"/>
      <c r="AE305" s="661"/>
      <c r="AF305" s="661"/>
      <c r="AG305" s="661"/>
      <c r="AH305" s="661"/>
      <c r="AI305" s="661"/>
      <c r="AJ305" s="661"/>
      <c r="AK305" s="661"/>
      <c r="AL305" s="661"/>
      <c r="AM305" s="221"/>
      <c r="AN305" s="221"/>
      <c r="AO305" s="221"/>
      <c r="AP305" s="221"/>
      <c r="AQ305" s="221"/>
      <c r="AR305" s="221"/>
      <c r="AS305" s="221"/>
      <c r="AT305" s="221"/>
      <c r="AU305" s="221"/>
      <c r="AV305" s="221"/>
      <c r="AW305" s="661"/>
      <c r="AX305" s="661"/>
      <c r="AY305" s="443"/>
      <c r="AZ305" s="443"/>
      <c r="BA305" s="443"/>
      <c r="BB305" s="443"/>
      <c r="BC305" s="443"/>
      <c r="BD305" s="443"/>
      <c r="BE305" s="443"/>
      <c r="BF305" s="443"/>
      <c r="BG305" s="443"/>
      <c r="BH305" s="443"/>
      <c r="BI305" s="533"/>
      <c r="BJ305" s="533"/>
      <c r="BK305" s="533"/>
      <c r="BL305" s="682"/>
      <c r="BM305" s="402"/>
      <c r="BN305" s="402"/>
      <c r="BO305" s="402"/>
      <c r="BP305" s="402"/>
      <c r="BQ305" s="402"/>
      <c r="BR305" s="402"/>
      <c r="BS305" s="402"/>
      <c r="BT305" s="402"/>
      <c r="BU305" s="402"/>
      <c r="BV305" s="402"/>
      <c r="BW305" s="402"/>
      <c r="BX305" s="402"/>
      <c r="BY305" s="402"/>
      <c r="BZ305" s="402"/>
      <c r="CA305" s="402"/>
      <c r="CB305" s="402"/>
      <c r="CC305" s="402"/>
      <c r="CD305" s="402"/>
      <c r="CE305" s="402"/>
      <c r="CF305" s="402"/>
      <c r="CG305" s="402"/>
      <c r="CH305" s="402"/>
      <c r="CI305" s="402"/>
      <c r="CJ305" s="402"/>
    </row>
    <row r="306" spans="1:88" s="182" customFormat="1">
      <c r="A306" s="183"/>
      <c r="B306" s="183"/>
      <c r="C306" s="183"/>
      <c r="D306" s="183"/>
      <c r="E306" s="661"/>
      <c r="F306" s="661"/>
      <c r="G306" s="661"/>
      <c r="H306" s="661"/>
      <c r="I306" s="661"/>
      <c r="J306" s="661"/>
      <c r="K306" s="661"/>
      <c r="L306" s="661"/>
      <c r="M306" s="661"/>
      <c r="N306" s="661"/>
      <c r="O306" s="661"/>
      <c r="P306" s="661"/>
      <c r="Q306" s="661"/>
      <c r="R306" s="661"/>
      <c r="S306" s="661"/>
      <c r="T306" s="661"/>
      <c r="U306" s="661"/>
      <c r="V306" s="661"/>
      <c r="W306" s="661"/>
      <c r="X306" s="661"/>
      <c r="Y306" s="661"/>
      <c r="Z306" s="661"/>
      <c r="AA306" s="661"/>
      <c r="AB306" s="661"/>
      <c r="AC306" s="661"/>
      <c r="AD306" s="661"/>
      <c r="AE306" s="661"/>
      <c r="AF306" s="661"/>
      <c r="AG306" s="661"/>
      <c r="AH306" s="661"/>
      <c r="AI306" s="661"/>
      <c r="AJ306" s="661"/>
      <c r="AK306" s="661"/>
      <c r="AL306" s="661"/>
      <c r="AM306" s="221"/>
      <c r="AN306" s="221"/>
      <c r="AO306" s="221"/>
      <c r="AP306" s="221"/>
      <c r="AQ306" s="221"/>
      <c r="AR306" s="221"/>
      <c r="AS306" s="221"/>
      <c r="AT306" s="221"/>
      <c r="AU306" s="221"/>
      <c r="AV306" s="221"/>
      <c r="AW306" s="661"/>
      <c r="AX306" s="661"/>
      <c r="AY306" s="443"/>
      <c r="AZ306" s="443"/>
      <c r="BA306" s="443"/>
      <c r="BB306" s="443"/>
      <c r="BC306" s="443"/>
      <c r="BD306" s="443"/>
      <c r="BE306" s="443"/>
      <c r="BF306" s="443"/>
      <c r="BG306" s="443"/>
      <c r="BH306" s="443"/>
      <c r="BI306" s="533"/>
      <c r="BJ306" s="533"/>
      <c r="BK306" s="533"/>
      <c r="BL306" s="682"/>
      <c r="BM306" s="402"/>
      <c r="BN306" s="402"/>
      <c r="BO306" s="402"/>
      <c r="BP306" s="402"/>
      <c r="BQ306" s="402"/>
      <c r="BR306" s="402"/>
      <c r="BS306" s="402"/>
      <c r="BT306" s="402"/>
      <c r="BU306" s="402"/>
      <c r="BV306" s="402"/>
      <c r="BW306" s="402"/>
      <c r="BX306" s="402"/>
      <c r="BY306" s="402"/>
      <c r="BZ306" s="402"/>
      <c r="CA306" s="402"/>
      <c r="CB306" s="402"/>
      <c r="CC306" s="402"/>
      <c r="CD306" s="402"/>
      <c r="CE306" s="402"/>
      <c r="CF306" s="402"/>
      <c r="CG306" s="402"/>
      <c r="CH306" s="402"/>
      <c r="CI306" s="402"/>
      <c r="CJ306" s="402"/>
    </row>
    <row r="307" spans="1:88" s="182" customFormat="1">
      <c r="A307" s="183"/>
      <c r="B307" s="183"/>
      <c r="C307" s="183"/>
      <c r="D307" s="183"/>
      <c r="E307" s="661"/>
      <c r="F307" s="661"/>
      <c r="G307" s="661"/>
      <c r="H307" s="661"/>
      <c r="I307" s="661"/>
      <c r="J307" s="661"/>
      <c r="K307" s="661"/>
      <c r="L307" s="661"/>
      <c r="M307" s="661"/>
      <c r="N307" s="661"/>
      <c r="O307" s="661"/>
      <c r="P307" s="661"/>
      <c r="Q307" s="661"/>
      <c r="R307" s="661"/>
      <c r="S307" s="661"/>
      <c r="T307" s="661"/>
      <c r="U307" s="661"/>
      <c r="V307" s="661"/>
      <c r="W307" s="661"/>
      <c r="X307" s="661"/>
      <c r="Y307" s="661"/>
      <c r="Z307" s="661"/>
      <c r="AA307" s="661"/>
      <c r="AB307" s="661"/>
      <c r="AC307" s="661"/>
      <c r="AD307" s="661"/>
      <c r="AE307" s="661"/>
      <c r="AF307" s="661"/>
      <c r="AG307" s="661"/>
      <c r="AH307" s="661"/>
      <c r="AI307" s="661"/>
      <c r="AJ307" s="661"/>
      <c r="AK307" s="661"/>
      <c r="AL307" s="661"/>
      <c r="AM307" s="221"/>
      <c r="AN307" s="221"/>
      <c r="AO307" s="221"/>
      <c r="AP307" s="221"/>
      <c r="AQ307" s="221"/>
      <c r="AR307" s="221"/>
      <c r="AS307" s="221"/>
      <c r="AT307" s="221"/>
      <c r="AU307" s="221"/>
      <c r="AV307" s="221"/>
      <c r="AW307" s="661"/>
      <c r="AX307" s="661"/>
      <c r="AY307" s="443"/>
      <c r="AZ307" s="443"/>
      <c r="BA307" s="443"/>
      <c r="BB307" s="443"/>
      <c r="BC307" s="443"/>
      <c r="BD307" s="443"/>
      <c r="BE307" s="443"/>
      <c r="BF307" s="443"/>
      <c r="BG307" s="443"/>
      <c r="BH307" s="443"/>
      <c r="BI307" s="533"/>
      <c r="BJ307" s="533"/>
      <c r="BK307" s="533"/>
      <c r="BL307" s="682"/>
      <c r="BM307" s="402"/>
      <c r="BN307" s="402"/>
      <c r="BO307" s="402"/>
      <c r="BP307" s="402"/>
      <c r="BQ307" s="402"/>
      <c r="BR307" s="402"/>
      <c r="BS307" s="402"/>
      <c r="BT307" s="402"/>
      <c r="BU307" s="402"/>
      <c r="BV307" s="402"/>
      <c r="BW307" s="402"/>
      <c r="BX307" s="402"/>
      <c r="BY307" s="402"/>
      <c r="BZ307" s="402"/>
      <c r="CA307" s="402"/>
      <c r="CB307" s="402"/>
      <c r="CC307" s="402"/>
      <c r="CD307" s="402"/>
      <c r="CE307" s="402"/>
      <c r="CF307" s="402"/>
      <c r="CG307" s="402"/>
      <c r="CH307" s="402"/>
      <c r="CI307" s="402"/>
      <c r="CJ307" s="402"/>
    </row>
    <row r="308" spans="1:88" s="182" customFormat="1">
      <c r="A308" s="183"/>
      <c r="B308" s="183"/>
      <c r="C308" s="183"/>
      <c r="D308" s="183"/>
      <c r="E308" s="661"/>
      <c r="F308" s="661"/>
      <c r="G308" s="661"/>
      <c r="H308" s="661"/>
      <c r="I308" s="661"/>
      <c r="J308" s="661"/>
      <c r="K308" s="661"/>
      <c r="L308" s="661"/>
      <c r="M308" s="661"/>
      <c r="N308" s="661"/>
      <c r="O308" s="661"/>
      <c r="P308" s="661"/>
      <c r="Q308" s="661"/>
      <c r="R308" s="661"/>
      <c r="S308" s="661"/>
      <c r="T308" s="661"/>
      <c r="U308" s="661"/>
      <c r="V308" s="661"/>
      <c r="W308" s="661"/>
      <c r="X308" s="661"/>
      <c r="Y308" s="661"/>
      <c r="Z308" s="661"/>
      <c r="AA308" s="661"/>
      <c r="AB308" s="661"/>
      <c r="AC308" s="661"/>
      <c r="AD308" s="661"/>
      <c r="AE308" s="661"/>
      <c r="AF308" s="661"/>
      <c r="AG308" s="661"/>
      <c r="AH308" s="661"/>
      <c r="AI308" s="661"/>
      <c r="AJ308" s="661"/>
      <c r="AK308" s="661"/>
      <c r="AL308" s="661"/>
      <c r="AM308" s="221"/>
      <c r="AN308" s="221"/>
      <c r="AO308" s="221"/>
      <c r="AP308" s="221"/>
      <c r="AQ308" s="221"/>
      <c r="AR308" s="221"/>
      <c r="AS308" s="221"/>
      <c r="AT308" s="221"/>
      <c r="AU308" s="221"/>
      <c r="AV308" s="221"/>
      <c r="AW308" s="661"/>
      <c r="AX308" s="661"/>
      <c r="AY308" s="443"/>
      <c r="AZ308" s="443"/>
      <c r="BA308" s="443"/>
      <c r="BB308" s="443"/>
      <c r="BC308" s="443"/>
      <c r="BD308" s="443"/>
      <c r="BE308" s="443"/>
      <c r="BF308" s="443"/>
      <c r="BG308" s="443"/>
      <c r="BH308" s="443"/>
      <c r="BI308" s="533"/>
      <c r="BJ308" s="533"/>
      <c r="BK308" s="533"/>
      <c r="BL308" s="682"/>
      <c r="BM308" s="402"/>
      <c r="BN308" s="402"/>
      <c r="BO308" s="402"/>
      <c r="BP308" s="402"/>
      <c r="BQ308" s="402"/>
      <c r="BR308" s="402"/>
      <c r="BS308" s="402"/>
      <c r="BT308" s="402"/>
      <c r="BU308" s="402"/>
      <c r="BV308" s="402"/>
      <c r="BW308" s="402"/>
      <c r="BX308" s="402"/>
      <c r="BY308" s="402"/>
      <c r="BZ308" s="402"/>
      <c r="CA308" s="402"/>
      <c r="CB308" s="402"/>
      <c r="CC308" s="402"/>
      <c r="CD308" s="402"/>
      <c r="CE308" s="402"/>
      <c r="CF308" s="402"/>
      <c r="CG308" s="402"/>
      <c r="CH308" s="402"/>
      <c r="CI308" s="402"/>
      <c r="CJ308" s="402"/>
    </row>
    <row r="309" spans="1:88" s="182" customFormat="1">
      <c r="A309" s="183"/>
      <c r="B309" s="183"/>
      <c r="C309" s="183"/>
      <c r="D309" s="183"/>
      <c r="E309" s="661"/>
      <c r="F309" s="661"/>
      <c r="G309" s="661"/>
      <c r="H309" s="661"/>
      <c r="I309" s="661"/>
      <c r="J309" s="661"/>
      <c r="K309" s="661"/>
      <c r="L309" s="661"/>
      <c r="M309" s="661"/>
      <c r="N309" s="661"/>
      <c r="O309" s="661"/>
      <c r="P309" s="661"/>
      <c r="Q309" s="661"/>
      <c r="R309" s="661"/>
      <c r="S309" s="661"/>
      <c r="T309" s="661"/>
      <c r="U309" s="661"/>
      <c r="V309" s="661"/>
      <c r="W309" s="661"/>
      <c r="X309" s="661"/>
      <c r="Y309" s="661"/>
      <c r="Z309" s="661"/>
      <c r="AA309" s="661"/>
      <c r="AB309" s="661"/>
      <c r="AC309" s="661"/>
      <c r="AD309" s="661"/>
      <c r="AE309" s="661"/>
      <c r="AF309" s="661"/>
      <c r="AG309" s="661"/>
      <c r="AH309" s="661"/>
      <c r="AI309" s="661"/>
      <c r="AJ309" s="661"/>
      <c r="AK309" s="661"/>
      <c r="AL309" s="661"/>
      <c r="AM309" s="221"/>
      <c r="AN309" s="221"/>
      <c r="AO309" s="221"/>
      <c r="AP309" s="221"/>
      <c r="AQ309" s="221"/>
      <c r="AR309" s="221"/>
      <c r="AS309" s="221"/>
      <c r="AT309" s="221"/>
      <c r="AU309" s="221"/>
      <c r="AV309" s="221"/>
      <c r="AW309" s="661"/>
      <c r="AX309" s="661"/>
      <c r="AY309" s="443"/>
      <c r="AZ309" s="443"/>
      <c r="BA309" s="443"/>
      <c r="BB309" s="443"/>
      <c r="BC309" s="443"/>
      <c r="BD309" s="443"/>
      <c r="BE309" s="443"/>
      <c r="BF309" s="443"/>
      <c r="BG309" s="443"/>
      <c r="BH309" s="443"/>
      <c r="BI309" s="533"/>
      <c r="BJ309" s="533"/>
      <c r="BK309" s="533"/>
      <c r="BL309" s="682"/>
      <c r="BM309" s="402"/>
      <c r="BN309" s="402"/>
      <c r="BO309" s="402"/>
      <c r="BP309" s="402"/>
      <c r="BQ309" s="402"/>
      <c r="BR309" s="402"/>
      <c r="BS309" s="402"/>
      <c r="BT309" s="402"/>
      <c r="BU309" s="402"/>
      <c r="BV309" s="402"/>
      <c r="BW309" s="402"/>
      <c r="BX309" s="402"/>
      <c r="BY309" s="402"/>
      <c r="BZ309" s="402"/>
      <c r="CA309" s="402"/>
      <c r="CB309" s="402"/>
      <c r="CC309" s="402"/>
      <c r="CD309" s="402"/>
      <c r="CE309" s="402"/>
      <c r="CF309" s="402"/>
      <c r="CG309" s="402"/>
      <c r="CH309" s="402"/>
      <c r="CI309" s="402"/>
      <c r="CJ309" s="402"/>
    </row>
    <row r="310" spans="1:88" s="182" customFormat="1">
      <c r="A310" s="183"/>
      <c r="B310" s="183"/>
      <c r="C310" s="183"/>
      <c r="D310" s="183"/>
      <c r="E310" s="661"/>
      <c r="F310" s="661"/>
      <c r="G310" s="661"/>
      <c r="H310" s="661"/>
      <c r="I310" s="661"/>
      <c r="J310" s="661"/>
      <c r="K310" s="661"/>
      <c r="L310" s="661"/>
      <c r="M310" s="661"/>
      <c r="N310" s="661"/>
      <c r="O310" s="661"/>
      <c r="P310" s="661"/>
      <c r="Q310" s="661"/>
      <c r="R310" s="661"/>
      <c r="S310" s="661"/>
      <c r="T310" s="661"/>
      <c r="U310" s="661"/>
      <c r="V310" s="661"/>
      <c r="W310" s="661"/>
      <c r="X310" s="661"/>
      <c r="Y310" s="661"/>
      <c r="Z310" s="661"/>
      <c r="AA310" s="661"/>
      <c r="AB310" s="661"/>
      <c r="AC310" s="661"/>
      <c r="AD310" s="661"/>
      <c r="AE310" s="661"/>
      <c r="AF310" s="661"/>
      <c r="AG310" s="661"/>
      <c r="AH310" s="661"/>
      <c r="AI310" s="661"/>
      <c r="AJ310" s="661"/>
      <c r="AK310" s="661"/>
      <c r="AL310" s="661"/>
      <c r="AM310" s="221"/>
      <c r="AN310" s="221"/>
      <c r="AO310" s="221"/>
      <c r="AP310" s="221"/>
      <c r="AQ310" s="221"/>
      <c r="AR310" s="221"/>
      <c r="AS310" s="221"/>
      <c r="AT310" s="221"/>
      <c r="AU310" s="221"/>
      <c r="AV310" s="221"/>
      <c r="AW310" s="661"/>
      <c r="AX310" s="661"/>
      <c r="AY310" s="443"/>
      <c r="AZ310" s="443"/>
      <c r="BA310" s="443"/>
      <c r="BB310" s="443"/>
      <c r="BC310" s="443"/>
      <c r="BD310" s="443"/>
      <c r="BE310" s="443"/>
      <c r="BF310" s="443"/>
      <c r="BG310" s="443"/>
      <c r="BH310" s="443"/>
      <c r="BI310" s="533"/>
      <c r="BJ310" s="533"/>
      <c r="BK310" s="533"/>
      <c r="BL310" s="682"/>
      <c r="BM310" s="402"/>
      <c r="BN310" s="402"/>
      <c r="BO310" s="402"/>
      <c r="BP310" s="402"/>
      <c r="BQ310" s="402"/>
      <c r="BR310" s="402"/>
      <c r="BS310" s="402"/>
      <c r="BT310" s="402"/>
      <c r="BU310" s="402"/>
      <c r="BV310" s="402"/>
      <c r="BW310" s="402"/>
      <c r="BX310" s="402"/>
      <c r="BY310" s="402"/>
      <c r="BZ310" s="402"/>
      <c r="CA310" s="402"/>
      <c r="CB310" s="402"/>
      <c r="CC310" s="402"/>
      <c r="CD310" s="402"/>
      <c r="CE310" s="402"/>
      <c r="CF310" s="402"/>
      <c r="CG310" s="402"/>
      <c r="CH310" s="402"/>
      <c r="CI310" s="402"/>
      <c r="CJ310" s="402"/>
    </row>
    <row r="311" spans="1:88" s="182" customFormat="1">
      <c r="A311" s="183"/>
      <c r="B311" s="183"/>
      <c r="C311" s="183"/>
      <c r="D311" s="183"/>
      <c r="E311" s="661"/>
      <c r="F311" s="661"/>
      <c r="G311" s="661"/>
      <c r="H311" s="661"/>
      <c r="I311" s="661"/>
      <c r="J311" s="661"/>
      <c r="K311" s="661"/>
      <c r="L311" s="661"/>
      <c r="M311" s="661"/>
      <c r="N311" s="661"/>
      <c r="O311" s="661"/>
      <c r="P311" s="661"/>
      <c r="Q311" s="661"/>
      <c r="R311" s="661"/>
      <c r="S311" s="661"/>
      <c r="T311" s="661"/>
      <c r="U311" s="661"/>
      <c r="V311" s="661"/>
      <c r="W311" s="661"/>
      <c r="X311" s="661"/>
      <c r="Y311" s="661"/>
      <c r="Z311" s="661"/>
      <c r="AA311" s="661"/>
      <c r="AB311" s="661"/>
      <c r="AC311" s="661"/>
      <c r="AD311" s="661"/>
      <c r="AE311" s="661"/>
      <c r="AF311" s="661"/>
      <c r="AG311" s="661"/>
      <c r="AH311" s="661"/>
      <c r="AI311" s="661"/>
      <c r="AJ311" s="661"/>
      <c r="AK311" s="661"/>
      <c r="AL311" s="661"/>
      <c r="AM311" s="221"/>
      <c r="AN311" s="221"/>
      <c r="AO311" s="221"/>
      <c r="AP311" s="221"/>
      <c r="AQ311" s="221"/>
      <c r="AR311" s="221"/>
      <c r="AS311" s="221"/>
      <c r="AT311" s="221"/>
      <c r="AU311" s="221"/>
      <c r="AV311" s="221"/>
      <c r="AW311" s="661"/>
      <c r="AX311" s="661"/>
      <c r="AY311" s="443"/>
      <c r="AZ311" s="443"/>
      <c r="BA311" s="443"/>
      <c r="BB311" s="443"/>
      <c r="BC311" s="443"/>
      <c r="BD311" s="443"/>
      <c r="BE311" s="443"/>
      <c r="BF311" s="443"/>
      <c r="BG311" s="443"/>
      <c r="BH311" s="443"/>
      <c r="BI311" s="533"/>
      <c r="BJ311" s="533"/>
      <c r="BK311" s="533"/>
      <c r="BL311" s="682"/>
      <c r="BM311" s="402"/>
      <c r="BN311" s="402"/>
      <c r="BO311" s="402"/>
      <c r="BP311" s="402"/>
      <c r="BQ311" s="402"/>
      <c r="BR311" s="402"/>
      <c r="BS311" s="402"/>
      <c r="BT311" s="402"/>
      <c r="BU311" s="402"/>
      <c r="BV311" s="402"/>
      <c r="BW311" s="402"/>
      <c r="BX311" s="402"/>
      <c r="BY311" s="402"/>
      <c r="BZ311" s="402"/>
      <c r="CA311" s="402"/>
      <c r="CB311" s="402"/>
      <c r="CC311" s="402"/>
      <c r="CD311" s="402"/>
      <c r="CE311" s="402"/>
      <c r="CF311" s="402"/>
      <c r="CG311" s="402"/>
      <c r="CH311" s="402"/>
      <c r="CI311" s="402"/>
      <c r="CJ311" s="402"/>
    </row>
    <row r="312" spans="1:88" s="182" customFormat="1">
      <c r="A312" s="183"/>
      <c r="B312" s="183"/>
      <c r="C312" s="183"/>
      <c r="D312" s="183"/>
      <c r="E312" s="661"/>
      <c r="F312" s="661"/>
      <c r="G312" s="661"/>
      <c r="H312" s="661"/>
      <c r="I312" s="661"/>
      <c r="J312" s="661"/>
      <c r="K312" s="661"/>
      <c r="L312" s="661"/>
      <c r="M312" s="661"/>
      <c r="N312" s="661"/>
      <c r="O312" s="661"/>
      <c r="P312" s="661"/>
      <c r="Q312" s="661"/>
      <c r="R312" s="661"/>
      <c r="S312" s="661"/>
      <c r="T312" s="661"/>
      <c r="U312" s="661"/>
      <c r="V312" s="661"/>
      <c r="W312" s="661"/>
      <c r="X312" s="661"/>
      <c r="Y312" s="661"/>
      <c r="Z312" s="661"/>
      <c r="AA312" s="661"/>
      <c r="AB312" s="661"/>
      <c r="AC312" s="661"/>
      <c r="AD312" s="661"/>
      <c r="AE312" s="661"/>
      <c r="AF312" s="661"/>
      <c r="AG312" s="661"/>
      <c r="AH312" s="661"/>
      <c r="AI312" s="661"/>
      <c r="AJ312" s="661"/>
      <c r="AK312" s="661"/>
      <c r="AL312" s="661"/>
      <c r="AM312" s="221"/>
      <c r="AN312" s="221"/>
      <c r="AO312" s="221"/>
      <c r="AP312" s="221"/>
      <c r="AQ312" s="221"/>
      <c r="AR312" s="221"/>
      <c r="AS312" s="221"/>
      <c r="AT312" s="221"/>
      <c r="AU312" s="221"/>
      <c r="AV312" s="221"/>
      <c r="AW312" s="661"/>
      <c r="AX312" s="661"/>
      <c r="AY312" s="443"/>
      <c r="AZ312" s="443"/>
      <c r="BA312" s="443"/>
      <c r="BB312" s="443"/>
      <c r="BC312" s="443"/>
      <c r="BD312" s="443"/>
      <c r="BE312" s="443"/>
      <c r="BF312" s="443"/>
      <c r="BG312" s="443"/>
      <c r="BH312" s="443"/>
      <c r="BI312" s="533"/>
      <c r="BJ312" s="533"/>
      <c r="BK312" s="533"/>
      <c r="BL312" s="682"/>
      <c r="BM312" s="402"/>
      <c r="BN312" s="402"/>
      <c r="BO312" s="402"/>
      <c r="BP312" s="402"/>
      <c r="BQ312" s="402"/>
      <c r="BR312" s="402"/>
      <c r="BS312" s="402"/>
      <c r="BT312" s="402"/>
      <c r="BU312" s="402"/>
      <c r="BV312" s="402"/>
      <c r="BW312" s="402"/>
      <c r="BX312" s="402"/>
      <c r="BY312" s="402"/>
      <c r="BZ312" s="402"/>
      <c r="CA312" s="402"/>
      <c r="CB312" s="402"/>
      <c r="CC312" s="402"/>
      <c r="CD312" s="402"/>
      <c r="CE312" s="402"/>
      <c r="CF312" s="402"/>
      <c r="CG312" s="402"/>
      <c r="CH312" s="402"/>
      <c r="CI312" s="402"/>
      <c r="CJ312" s="402"/>
    </row>
    <row r="313" spans="1:88" s="182" customFormat="1">
      <c r="A313" s="183"/>
      <c r="B313" s="183"/>
      <c r="C313" s="183"/>
      <c r="D313" s="183"/>
      <c r="E313" s="661"/>
      <c r="F313" s="661"/>
      <c r="G313" s="661"/>
      <c r="H313" s="661"/>
      <c r="I313" s="661"/>
      <c r="J313" s="661"/>
      <c r="K313" s="661"/>
      <c r="L313" s="661"/>
      <c r="M313" s="661"/>
      <c r="N313" s="661"/>
      <c r="O313" s="661"/>
      <c r="P313" s="661"/>
      <c r="Q313" s="661"/>
      <c r="R313" s="661"/>
      <c r="S313" s="661"/>
      <c r="T313" s="661"/>
      <c r="U313" s="661"/>
      <c r="V313" s="661"/>
      <c r="W313" s="661"/>
      <c r="X313" s="661"/>
      <c r="Y313" s="661"/>
      <c r="Z313" s="661"/>
      <c r="AA313" s="661"/>
      <c r="AB313" s="661"/>
      <c r="AC313" s="661"/>
      <c r="AD313" s="661"/>
      <c r="AE313" s="661"/>
      <c r="AF313" s="661"/>
      <c r="AG313" s="661"/>
      <c r="AH313" s="661"/>
      <c r="AI313" s="661"/>
      <c r="AJ313" s="661"/>
      <c r="AK313" s="661"/>
      <c r="AL313" s="661"/>
      <c r="AM313" s="221"/>
      <c r="AN313" s="221"/>
      <c r="AO313" s="221"/>
      <c r="AP313" s="221"/>
      <c r="AQ313" s="221"/>
      <c r="AR313" s="221"/>
      <c r="AS313" s="221"/>
      <c r="AT313" s="221"/>
      <c r="AU313" s="221"/>
      <c r="AV313" s="221"/>
      <c r="AW313" s="661"/>
      <c r="AX313" s="661"/>
      <c r="AY313" s="443"/>
      <c r="AZ313" s="443"/>
      <c r="BA313" s="443"/>
      <c r="BB313" s="443"/>
      <c r="BC313" s="443"/>
      <c r="BD313" s="443"/>
      <c r="BE313" s="443"/>
      <c r="BF313" s="443"/>
      <c r="BG313" s="443"/>
      <c r="BH313" s="443"/>
      <c r="BI313" s="533"/>
      <c r="BJ313" s="533"/>
      <c r="BK313" s="533"/>
      <c r="BL313" s="682"/>
      <c r="BM313" s="402"/>
      <c r="BN313" s="402"/>
      <c r="BO313" s="402"/>
      <c r="BP313" s="402"/>
      <c r="BQ313" s="402"/>
      <c r="BR313" s="402"/>
      <c r="BS313" s="402"/>
      <c r="BT313" s="402"/>
      <c r="BU313" s="402"/>
      <c r="BV313" s="402"/>
      <c r="BW313" s="402"/>
      <c r="BX313" s="402"/>
      <c r="BY313" s="402"/>
      <c r="BZ313" s="402"/>
      <c r="CA313" s="402"/>
      <c r="CB313" s="402"/>
      <c r="CC313" s="402"/>
      <c r="CD313" s="402"/>
      <c r="CE313" s="402"/>
      <c r="CF313" s="402"/>
      <c r="CG313" s="402"/>
      <c r="CH313" s="402"/>
      <c r="CI313" s="402"/>
      <c r="CJ313" s="402"/>
    </row>
    <row r="314" spans="1:88" s="182" customFormat="1">
      <c r="A314" s="183"/>
      <c r="B314" s="183"/>
      <c r="C314" s="183"/>
      <c r="D314" s="183"/>
      <c r="E314" s="661"/>
      <c r="F314" s="661"/>
      <c r="G314" s="661"/>
      <c r="H314" s="661"/>
      <c r="I314" s="661"/>
      <c r="J314" s="661"/>
      <c r="K314" s="661"/>
      <c r="L314" s="661"/>
      <c r="M314" s="661"/>
      <c r="N314" s="661"/>
      <c r="O314" s="661"/>
      <c r="P314" s="661"/>
      <c r="Q314" s="661"/>
      <c r="R314" s="661"/>
      <c r="S314" s="661"/>
      <c r="T314" s="661"/>
      <c r="U314" s="661"/>
      <c r="V314" s="661"/>
      <c r="W314" s="661"/>
      <c r="X314" s="661"/>
      <c r="Y314" s="661"/>
      <c r="Z314" s="661"/>
      <c r="AA314" s="661"/>
      <c r="AB314" s="661"/>
      <c r="AC314" s="661"/>
      <c r="AD314" s="661"/>
      <c r="AE314" s="661"/>
      <c r="AF314" s="661"/>
      <c r="AG314" s="661"/>
      <c r="AH314" s="661"/>
      <c r="AI314" s="661"/>
      <c r="AJ314" s="661"/>
      <c r="AK314" s="661"/>
      <c r="AL314" s="661"/>
      <c r="AM314" s="221"/>
      <c r="AN314" s="221"/>
      <c r="AO314" s="221"/>
      <c r="AP314" s="221"/>
      <c r="AQ314" s="221"/>
      <c r="AR314" s="221"/>
      <c r="AS314" s="221"/>
      <c r="AT314" s="221"/>
      <c r="AU314" s="221"/>
      <c r="AV314" s="221"/>
      <c r="AW314" s="661"/>
      <c r="AX314" s="661"/>
      <c r="AY314" s="443"/>
      <c r="AZ314" s="443"/>
      <c r="BA314" s="443"/>
      <c r="BB314" s="443"/>
      <c r="BC314" s="443"/>
      <c r="BD314" s="443"/>
      <c r="BE314" s="443"/>
      <c r="BF314" s="443"/>
      <c r="BG314" s="443"/>
      <c r="BH314" s="443"/>
      <c r="BI314" s="533"/>
      <c r="BJ314" s="533"/>
      <c r="BK314" s="533"/>
      <c r="BL314" s="682"/>
      <c r="BM314" s="402"/>
      <c r="BN314" s="402"/>
      <c r="BO314" s="402"/>
      <c r="BP314" s="402"/>
      <c r="BQ314" s="402"/>
      <c r="BR314" s="402"/>
      <c r="BS314" s="402"/>
      <c r="BT314" s="402"/>
      <c r="BU314" s="402"/>
      <c r="BV314" s="402"/>
      <c r="BW314" s="402"/>
      <c r="BX314" s="402"/>
      <c r="BY314" s="402"/>
      <c r="BZ314" s="402"/>
      <c r="CA314" s="402"/>
      <c r="CB314" s="402"/>
      <c r="CC314" s="402"/>
      <c r="CD314" s="402"/>
      <c r="CE314" s="402"/>
      <c r="CF314" s="402"/>
      <c r="CG314" s="402"/>
      <c r="CH314" s="402"/>
      <c r="CI314" s="402"/>
      <c r="CJ314" s="402"/>
    </row>
    <row r="315" spans="1:88" s="182" customFormat="1">
      <c r="A315" s="183"/>
      <c r="B315" s="183"/>
      <c r="C315" s="183"/>
      <c r="D315" s="183"/>
      <c r="E315" s="661"/>
      <c r="F315" s="661"/>
      <c r="G315" s="661"/>
      <c r="H315" s="661"/>
      <c r="I315" s="661"/>
      <c r="J315" s="661"/>
      <c r="K315" s="661"/>
      <c r="L315" s="661"/>
      <c r="M315" s="661"/>
      <c r="N315" s="661"/>
      <c r="O315" s="661"/>
      <c r="P315" s="661"/>
      <c r="Q315" s="661"/>
      <c r="R315" s="661"/>
      <c r="S315" s="661"/>
      <c r="T315" s="661"/>
      <c r="U315" s="661"/>
      <c r="V315" s="661"/>
      <c r="W315" s="661"/>
      <c r="X315" s="661"/>
      <c r="Y315" s="661"/>
      <c r="Z315" s="661"/>
      <c r="AA315" s="661"/>
      <c r="AB315" s="661"/>
      <c r="AC315" s="661"/>
      <c r="AD315" s="661"/>
      <c r="AE315" s="661"/>
      <c r="AF315" s="661"/>
      <c r="AG315" s="661"/>
      <c r="AH315" s="661"/>
      <c r="AI315" s="661"/>
      <c r="AJ315" s="661"/>
      <c r="AK315" s="661"/>
      <c r="AL315" s="661"/>
      <c r="AM315" s="221"/>
      <c r="AN315" s="221"/>
      <c r="AO315" s="221"/>
      <c r="AP315" s="221"/>
      <c r="AQ315" s="221"/>
      <c r="AR315" s="221"/>
      <c r="AS315" s="221"/>
      <c r="AT315" s="221"/>
      <c r="AU315" s="221"/>
      <c r="AV315" s="221"/>
      <c r="AW315" s="661"/>
      <c r="AX315" s="661"/>
      <c r="AY315" s="443"/>
      <c r="AZ315" s="443"/>
      <c r="BA315" s="443"/>
      <c r="BB315" s="443"/>
      <c r="BC315" s="443"/>
      <c r="BD315" s="443"/>
      <c r="BE315" s="443"/>
      <c r="BF315" s="443"/>
      <c r="BG315" s="443"/>
      <c r="BH315" s="443"/>
      <c r="BI315" s="533"/>
      <c r="BJ315" s="533"/>
      <c r="BK315" s="533"/>
      <c r="BL315" s="682"/>
      <c r="BM315" s="402"/>
      <c r="BN315" s="402"/>
      <c r="BO315" s="402"/>
      <c r="BP315" s="402"/>
      <c r="BQ315" s="402"/>
      <c r="BR315" s="402"/>
      <c r="BS315" s="402"/>
      <c r="BT315" s="402"/>
      <c r="BU315" s="402"/>
      <c r="BV315" s="402"/>
      <c r="BW315" s="402"/>
      <c r="BX315" s="402"/>
      <c r="BY315" s="402"/>
      <c r="BZ315" s="402"/>
      <c r="CA315" s="402"/>
      <c r="CB315" s="402"/>
      <c r="CC315" s="402"/>
      <c r="CD315" s="402"/>
      <c r="CE315" s="402"/>
      <c r="CF315" s="402"/>
      <c r="CG315" s="402"/>
      <c r="CH315" s="402"/>
      <c r="CI315" s="402"/>
      <c r="CJ315" s="402"/>
    </row>
    <row r="316" spans="1:88" s="182" customFormat="1">
      <c r="A316" s="183"/>
      <c r="B316" s="183"/>
      <c r="C316" s="183"/>
      <c r="D316" s="183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1"/>
      <c r="P316" s="661"/>
      <c r="Q316" s="661"/>
      <c r="R316" s="661"/>
      <c r="S316" s="661"/>
      <c r="T316" s="661"/>
      <c r="U316" s="661"/>
      <c r="V316" s="661"/>
      <c r="W316" s="661"/>
      <c r="X316" s="661"/>
      <c r="Y316" s="661"/>
      <c r="Z316" s="661"/>
      <c r="AA316" s="661"/>
      <c r="AB316" s="661"/>
      <c r="AC316" s="661"/>
      <c r="AD316" s="661"/>
      <c r="AE316" s="661"/>
      <c r="AF316" s="661"/>
      <c r="AG316" s="661"/>
      <c r="AH316" s="661"/>
      <c r="AI316" s="661"/>
      <c r="AJ316" s="661"/>
      <c r="AK316" s="661"/>
      <c r="AL316" s="661"/>
      <c r="AM316" s="221"/>
      <c r="AN316" s="221"/>
      <c r="AO316" s="221"/>
      <c r="AP316" s="221"/>
      <c r="AQ316" s="221"/>
      <c r="AR316" s="221"/>
      <c r="AS316" s="221"/>
      <c r="AT316" s="221"/>
      <c r="AU316" s="221"/>
      <c r="AV316" s="221"/>
      <c r="AW316" s="661"/>
      <c r="AX316" s="661"/>
      <c r="AY316" s="443"/>
      <c r="AZ316" s="443"/>
      <c r="BA316" s="443"/>
      <c r="BB316" s="443"/>
      <c r="BC316" s="443"/>
      <c r="BD316" s="443"/>
      <c r="BE316" s="443"/>
      <c r="BF316" s="443"/>
      <c r="BG316" s="443"/>
      <c r="BH316" s="443"/>
      <c r="BI316" s="533"/>
      <c r="BJ316" s="533"/>
      <c r="BK316" s="533"/>
      <c r="BL316" s="682"/>
      <c r="BM316" s="402"/>
      <c r="BN316" s="402"/>
      <c r="BO316" s="402"/>
      <c r="BP316" s="402"/>
      <c r="BQ316" s="402"/>
      <c r="BR316" s="402"/>
      <c r="BS316" s="402"/>
      <c r="BT316" s="402"/>
      <c r="BU316" s="402"/>
      <c r="BV316" s="402"/>
      <c r="BW316" s="402"/>
      <c r="BX316" s="402"/>
      <c r="BY316" s="402"/>
      <c r="BZ316" s="402"/>
      <c r="CA316" s="402"/>
      <c r="CB316" s="402"/>
      <c r="CC316" s="402"/>
      <c r="CD316" s="402"/>
      <c r="CE316" s="402"/>
      <c r="CF316" s="402"/>
      <c r="CG316" s="402"/>
      <c r="CH316" s="402"/>
      <c r="CI316" s="402"/>
      <c r="CJ316" s="402"/>
    </row>
    <row r="317" spans="1:88" s="182" customFormat="1">
      <c r="A317" s="183"/>
      <c r="B317" s="183"/>
      <c r="C317" s="183"/>
      <c r="D317" s="183"/>
      <c r="E317" s="661"/>
      <c r="F317" s="661"/>
      <c r="G317" s="661"/>
      <c r="H317" s="661"/>
      <c r="I317" s="661"/>
      <c r="J317" s="661"/>
      <c r="K317" s="661"/>
      <c r="L317" s="661"/>
      <c r="M317" s="661"/>
      <c r="N317" s="661"/>
      <c r="O317" s="661"/>
      <c r="P317" s="661"/>
      <c r="Q317" s="661"/>
      <c r="R317" s="661"/>
      <c r="S317" s="661"/>
      <c r="T317" s="661"/>
      <c r="U317" s="661"/>
      <c r="V317" s="661"/>
      <c r="W317" s="661"/>
      <c r="X317" s="661"/>
      <c r="Y317" s="661"/>
      <c r="Z317" s="661"/>
      <c r="AA317" s="661"/>
      <c r="AB317" s="661"/>
      <c r="AC317" s="661"/>
      <c r="AD317" s="661"/>
      <c r="AE317" s="661"/>
      <c r="AF317" s="661"/>
      <c r="AG317" s="661"/>
      <c r="AH317" s="661"/>
      <c r="AI317" s="661"/>
      <c r="AJ317" s="661"/>
      <c r="AK317" s="661"/>
      <c r="AL317" s="661"/>
      <c r="AM317" s="221"/>
      <c r="AN317" s="221"/>
      <c r="AO317" s="221"/>
      <c r="AP317" s="221"/>
      <c r="AQ317" s="221"/>
      <c r="AR317" s="221"/>
      <c r="AS317" s="221"/>
      <c r="AT317" s="221"/>
      <c r="AU317" s="221"/>
      <c r="AV317" s="221"/>
      <c r="AW317" s="661"/>
      <c r="AX317" s="661"/>
      <c r="AY317" s="443"/>
      <c r="AZ317" s="443"/>
      <c r="BA317" s="443"/>
      <c r="BB317" s="443"/>
      <c r="BC317" s="443"/>
      <c r="BD317" s="443"/>
      <c r="BE317" s="443"/>
      <c r="BF317" s="443"/>
      <c r="BG317" s="443"/>
      <c r="BH317" s="443"/>
      <c r="BI317" s="533"/>
      <c r="BJ317" s="533"/>
      <c r="BK317" s="533"/>
      <c r="BL317" s="682"/>
      <c r="BM317" s="402"/>
      <c r="BN317" s="402"/>
      <c r="BO317" s="402"/>
      <c r="BP317" s="402"/>
      <c r="BQ317" s="402"/>
      <c r="BR317" s="402"/>
      <c r="BS317" s="402"/>
      <c r="BT317" s="402"/>
      <c r="BU317" s="402"/>
      <c r="BV317" s="402"/>
      <c r="BW317" s="402"/>
      <c r="BX317" s="402"/>
      <c r="BY317" s="402"/>
      <c r="BZ317" s="402"/>
      <c r="CA317" s="402"/>
      <c r="CB317" s="402"/>
      <c r="CC317" s="402"/>
      <c r="CD317" s="402"/>
      <c r="CE317" s="402"/>
      <c r="CF317" s="402"/>
      <c r="CG317" s="402"/>
      <c r="CH317" s="402"/>
      <c r="CI317" s="402"/>
      <c r="CJ317" s="402"/>
    </row>
    <row r="318" spans="1:88" s="182" customFormat="1">
      <c r="A318" s="183"/>
      <c r="B318" s="183"/>
      <c r="C318" s="183"/>
      <c r="D318" s="183"/>
      <c r="E318" s="661"/>
      <c r="F318" s="661"/>
      <c r="G318" s="661"/>
      <c r="H318" s="661"/>
      <c r="I318" s="661"/>
      <c r="J318" s="661"/>
      <c r="K318" s="661"/>
      <c r="L318" s="661"/>
      <c r="M318" s="661"/>
      <c r="N318" s="661"/>
      <c r="O318" s="661"/>
      <c r="P318" s="661"/>
      <c r="Q318" s="661"/>
      <c r="R318" s="661"/>
      <c r="S318" s="661"/>
      <c r="T318" s="661"/>
      <c r="U318" s="661"/>
      <c r="V318" s="661"/>
      <c r="W318" s="661"/>
      <c r="X318" s="661"/>
      <c r="Y318" s="661"/>
      <c r="Z318" s="661"/>
      <c r="AA318" s="661"/>
      <c r="AB318" s="661"/>
      <c r="AC318" s="661"/>
      <c r="AD318" s="661"/>
      <c r="AE318" s="661"/>
      <c r="AF318" s="661"/>
      <c r="AG318" s="661"/>
      <c r="AH318" s="661"/>
      <c r="AI318" s="661"/>
      <c r="AJ318" s="661"/>
      <c r="AK318" s="661"/>
      <c r="AL318" s="661"/>
      <c r="AM318" s="221"/>
      <c r="AN318" s="221"/>
      <c r="AO318" s="221"/>
      <c r="AP318" s="221"/>
      <c r="AQ318" s="221"/>
      <c r="AR318" s="221"/>
      <c r="AS318" s="221"/>
      <c r="AT318" s="221"/>
      <c r="AU318" s="221"/>
      <c r="AV318" s="221"/>
      <c r="AW318" s="661"/>
      <c r="AX318" s="661"/>
      <c r="AY318" s="443"/>
      <c r="AZ318" s="443"/>
      <c r="BA318" s="443"/>
      <c r="BB318" s="443"/>
      <c r="BC318" s="443"/>
      <c r="BD318" s="443"/>
      <c r="BE318" s="443"/>
      <c r="BF318" s="443"/>
      <c r="BG318" s="443"/>
      <c r="BH318" s="443"/>
      <c r="BI318" s="533"/>
      <c r="BJ318" s="533"/>
      <c r="BK318" s="533"/>
      <c r="BL318" s="682"/>
      <c r="BM318" s="402"/>
      <c r="BN318" s="402"/>
      <c r="BO318" s="402"/>
      <c r="BP318" s="402"/>
      <c r="BQ318" s="402"/>
      <c r="BR318" s="402"/>
      <c r="BS318" s="402"/>
      <c r="BT318" s="402"/>
      <c r="BU318" s="402"/>
      <c r="BV318" s="402"/>
      <c r="BW318" s="402"/>
      <c r="BX318" s="402"/>
      <c r="BY318" s="402"/>
      <c r="BZ318" s="402"/>
      <c r="CA318" s="402"/>
      <c r="CB318" s="402"/>
      <c r="CC318" s="402"/>
      <c r="CD318" s="402"/>
      <c r="CE318" s="402"/>
      <c r="CF318" s="402"/>
      <c r="CG318" s="402"/>
      <c r="CH318" s="402"/>
      <c r="CI318" s="402"/>
      <c r="CJ318" s="402"/>
    </row>
    <row r="319" spans="1:88" s="182" customFormat="1">
      <c r="A319" s="183"/>
      <c r="B319" s="183"/>
      <c r="C319" s="183"/>
      <c r="D319" s="183"/>
      <c r="E319" s="661"/>
      <c r="F319" s="661"/>
      <c r="G319" s="661"/>
      <c r="H319" s="661"/>
      <c r="I319" s="661"/>
      <c r="J319" s="661"/>
      <c r="K319" s="661"/>
      <c r="L319" s="661"/>
      <c r="M319" s="661"/>
      <c r="N319" s="661"/>
      <c r="O319" s="661"/>
      <c r="P319" s="661"/>
      <c r="Q319" s="661"/>
      <c r="R319" s="661"/>
      <c r="S319" s="661"/>
      <c r="T319" s="661"/>
      <c r="U319" s="661"/>
      <c r="V319" s="661"/>
      <c r="W319" s="661"/>
      <c r="X319" s="661"/>
      <c r="Y319" s="661"/>
      <c r="Z319" s="661"/>
      <c r="AA319" s="661"/>
      <c r="AB319" s="661"/>
      <c r="AC319" s="661"/>
      <c r="AD319" s="661"/>
      <c r="AE319" s="661"/>
      <c r="AF319" s="661"/>
      <c r="AG319" s="661"/>
      <c r="AH319" s="661"/>
      <c r="AI319" s="661"/>
      <c r="AJ319" s="661"/>
      <c r="AK319" s="661"/>
      <c r="AL319" s="661"/>
      <c r="AM319" s="221"/>
      <c r="AN319" s="221"/>
      <c r="AO319" s="221"/>
      <c r="AP319" s="221"/>
      <c r="AQ319" s="221"/>
      <c r="AR319" s="221"/>
      <c r="AS319" s="221"/>
      <c r="AT319" s="221"/>
      <c r="AU319" s="221"/>
      <c r="AV319" s="221"/>
      <c r="AW319" s="661"/>
      <c r="AX319" s="661"/>
      <c r="AY319" s="443"/>
      <c r="AZ319" s="443"/>
      <c r="BA319" s="443"/>
      <c r="BB319" s="443"/>
      <c r="BC319" s="443"/>
      <c r="BD319" s="443"/>
      <c r="BE319" s="443"/>
      <c r="BF319" s="443"/>
      <c r="BG319" s="443"/>
      <c r="BH319" s="443"/>
      <c r="BI319" s="533"/>
      <c r="BJ319" s="533"/>
      <c r="BK319" s="533"/>
      <c r="BL319" s="682"/>
      <c r="BM319" s="402"/>
      <c r="BN319" s="402"/>
      <c r="BO319" s="402"/>
      <c r="BP319" s="402"/>
      <c r="BQ319" s="402"/>
      <c r="BR319" s="402"/>
      <c r="BS319" s="402"/>
      <c r="BT319" s="402"/>
      <c r="BU319" s="402"/>
      <c r="BV319" s="402"/>
      <c r="BW319" s="402"/>
      <c r="BX319" s="402"/>
      <c r="BY319" s="402"/>
      <c r="BZ319" s="402"/>
      <c r="CA319" s="402"/>
      <c r="CB319" s="402"/>
      <c r="CC319" s="402"/>
      <c r="CD319" s="402"/>
      <c r="CE319" s="402"/>
      <c r="CF319" s="402"/>
      <c r="CG319" s="402"/>
      <c r="CH319" s="402"/>
      <c r="CI319" s="402"/>
      <c r="CJ319" s="402"/>
    </row>
    <row r="320" spans="1:88" s="182" customFormat="1">
      <c r="A320" s="183"/>
      <c r="B320" s="183"/>
      <c r="C320" s="183"/>
      <c r="D320" s="183"/>
      <c r="E320" s="661"/>
      <c r="F320" s="661"/>
      <c r="G320" s="661"/>
      <c r="H320" s="661"/>
      <c r="I320" s="661"/>
      <c r="J320" s="661"/>
      <c r="K320" s="661"/>
      <c r="L320" s="661"/>
      <c r="M320" s="661"/>
      <c r="N320" s="661"/>
      <c r="O320" s="661"/>
      <c r="P320" s="661"/>
      <c r="Q320" s="661"/>
      <c r="R320" s="661"/>
      <c r="S320" s="661"/>
      <c r="T320" s="661"/>
      <c r="U320" s="661"/>
      <c r="V320" s="661"/>
      <c r="W320" s="661"/>
      <c r="X320" s="661"/>
      <c r="Y320" s="661"/>
      <c r="Z320" s="661"/>
      <c r="AA320" s="661"/>
      <c r="AB320" s="661"/>
      <c r="AC320" s="661"/>
      <c r="AD320" s="661"/>
      <c r="AE320" s="661"/>
      <c r="AF320" s="661"/>
      <c r="AG320" s="661"/>
      <c r="AH320" s="661"/>
      <c r="AI320" s="661"/>
      <c r="AJ320" s="661"/>
      <c r="AK320" s="661"/>
      <c r="AL320" s="661"/>
      <c r="AM320" s="221"/>
      <c r="AN320" s="221"/>
      <c r="AO320" s="221"/>
      <c r="AP320" s="221"/>
      <c r="AQ320" s="221"/>
      <c r="AR320" s="221"/>
      <c r="AS320" s="221"/>
      <c r="AT320" s="221"/>
      <c r="AU320" s="221"/>
      <c r="AV320" s="221"/>
      <c r="AW320" s="661"/>
      <c r="AX320" s="661"/>
      <c r="AY320" s="443"/>
      <c r="AZ320" s="443"/>
      <c r="BA320" s="443"/>
      <c r="BB320" s="443"/>
      <c r="BC320" s="443"/>
      <c r="BD320" s="443"/>
      <c r="BE320" s="443"/>
      <c r="BF320" s="443"/>
      <c r="BG320" s="443"/>
      <c r="BH320" s="443"/>
      <c r="BI320" s="533"/>
      <c r="BJ320" s="533"/>
      <c r="BK320" s="533"/>
      <c r="BL320" s="682"/>
      <c r="BM320" s="402"/>
      <c r="BN320" s="402"/>
      <c r="BO320" s="402"/>
      <c r="BP320" s="402"/>
      <c r="BQ320" s="402"/>
      <c r="BR320" s="402"/>
      <c r="BS320" s="402"/>
      <c r="BT320" s="402"/>
      <c r="BU320" s="402"/>
      <c r="BV320" s="402"/>
      <c r="BW320" s="402"/>
      <c r="BX320" s="402"/>
      <c r="BY320" s="402"/>
      <c r="BZ320" s="402"/>
      <c r="CA320" s="402"/>
      <c r="CB320" s="402"/>
      <c r="CC320" s="402"/>
      <c r="CD320" s="402"/>
      <c r="CE320" s="402"/>
      <c r="CF320" s="402"/>
      <c r="CG320" s="402"/>
      <c r="CH320" s="402"/>
      <c r="CI320" s="402"/>
      <c r="CJ320" s="402"/>
    </row>
    <row r="321" spans="1:88" s="182" customFormat="1">
      <c r="A321" s="183"/>
      <c r="B321" s="183"/>
      <c r="C321" s="183"/>
      <c r="D321" s="183"/>
      <c r="E321" s="661"/>
      <c r="F321" s="661"/>
      <c r="G321" s="661"/>
      <c r="H321" s="661"/>
      <c r="I321" s="661"/>
      <c r="J321" s="661"/>
      <c r="K321" s="661"/>
      <c r="L321" s="661"/>
      <c r="M321" s="661"/>
      <c r="N321" s="661"/>
      <c r="O321" s="661"/>
      <c r="P321" s="661"/>
      <c r="Q321" s="661"/>
      <c r="R321" s="661"/>
      <c r="S321" s="661"/>
      <c r="T321" s="661"/>
      <c r="U321" s="661"/>
      <c r="V321" s="661"/>
      <c r="W321" s="661"/>
      <c r="X321" s="661"/>
      <c r="Y321" s="661"/>
      <c r="Z321" s="661"/>
      <c r="AA321" s="661"/>
      <c r="AB321" s="661"/>
      <c r="AC321" s="661"/>
      <c r="AD321" s="661"/>
      <c r="AE321" s="661"/>
      <c r="AF321" s="661"/>
      <c r="AG321" s="661"/>
      <c r="AH321" s="661"/>
      <c r="AI321" s="661"/>
      <c r="AJ321" s="661"/>
      <c r="AK321" s="661"/>
      <c r="AL321" s="661"/>
      <c r="AM321" s="221"/>
      <c r="AN321" s="221"/>
      <c r="AO321" s="221"/>
      <c r="AP321" s="221"/>
      <c r="AQ321" s="221"/>
      <c r="AR321" s="221"/>
      <c r="AS321" s="221"/>
      <c r="AT321" s="221"/>
      <c r="AU321" s="221"/>
      <c r="AV321" s="221"/>
      <c r="AW321" s="661"/>
      <c r="AX321" s="661"/>
      <c r="AY321" s="443"/>
      <c r="AZ321" s="443"/>
      <c r="BA321" s="443"/>
      <c r="BB321" s="443"/>
      <c r="BC321" s="443"/>
      <c r="BD321" s="443"/>
      <c r="BE321" s="443"/>
      <c r="BF321" s="443"/>
      <c r="BG321" s="443"/>
      <c r="BH321" s="443"/>
      <c r="BI321" s="533"/>
      <c r="BJ321" s="533"/>
      <c r="BK321" s="533"/>
      <c r="BL321" s="682"/>
      <c r="BM321" s="402"/>
      <c r="BN321" s="402"/>
      <c r="BO321" s="402"/>
      <c r="BP321" s="402"/>
      <c r="BQ321" s="402"/>
      <c r="BR321" s="402"/>
      <c r="BS321" s="402"/>
      <c r="BT321" s="402"/>
      <c r="BU321" s="402"/>
      <c r="BV321" s="402"/>
      <c r="BW321" s="402"/>
      <c r="BX321" s="402"/>
      <c r="BY321" s="402"/>
      <c r="BZ321" s="402"/>
      <c r="CA321" s="402"/>
      <c r="CB321" s="402"/>
      <c r="CC321" s="402"/>
      <c r="CD321" s="402"/>
      <c r="CE321" s="402"/>
      <c r="CF321" s="402"/>
      <c r="CG321" s="402"/>
      <c r="CH321" s="402"/>
      <c r="CI321" s="402"/>
      <c r="CJ321" s="402"/>
    </row>
    <row r="322" spans="1:88" s="182" customFormat="1">
      <c r="A322" s="183"/>
      <c r="B322" s="183"/>
      <c r="C322" s="183"/>
      <c r="D322" s="183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1"/>
      <c r="P322" s="661"/>
      <c r="Q322" s="661"/>
      <c r="R322" s="661"/>
      <c r="S322" s="661"/>
      <c r="T322" s="661"/>
      <c r="U322" s="661"/>
      <c r="V322" s="661"/>
      <c r="W322" s="661"/>
      <c r="X322" s="661"/>
      <c r="Y322" s="661"/>
      <c r="Z322" s="661"/>
      <c r="AA322" s="661"/>
      <c r="AB322" s="661"/>
      <c r="AC322" s="661"/>
      <c r="AD322" s="661"/>
      <c r="AE322" s="661"/>
      <c r="AF322" s="661"/>
      <c r="AG322" s="661"/>
      <c r="AH322" s="661"/>
      <c r="AI322" s="661"/>
      <c r="AJ322" s="661"/>
      <c r="AK322" s="661"/>
      <c r="AL322" s="661"/>
      <c r="AM322" s="221"/>
      <c r="AN322" s="221"/>
      <c r="AO322" s="221"/>
      <c r="AP322" s="221"/>
      <c r="AQ322" s="221"/>
      <c r="AR322" s="221"/>
      <c r="AS322" s="221"/>
      <c r="AT322" s="221"/>
      <c r="AU322" s="221"/>
      <c r="AV322" s="221"/>
      <c r="AW322" s="661"/>
      <c r="AX322" s="661"/>
      <c r="AY322" s="443"/>
      <c r="AZ322" s="443"/>
      <c r="BA322" s="443"/>
      <c r="BB322" s="443"/>
      <c r="BC322" s="443"/>
      <c r="BD322" s="443"/>
      <c r="BE322" s="443"/>
      <c r="BF322" s="443"/>
      <c r="BG322" s="443"/>
      <c r="BH322" s="443"/>
      <c r="BI322" s="533"/>
      <c r="BJ322" s="533"/>
      <c r="BK322" s="533"/>
      <c r="BL322" s="682"/>
      <c r="BM322" s="402"/>
      <c r="BN322" s="402"/>
      <c r="BO322" s="402"/>
      <c r="BP322" s="402"/>
      <c r="BQ322" s="402"/>
      <c r="BR322" s="402"/>
      <c r="BS322" s="402"/>
      <c r="BT322" s="402"/>
      <c r="BU322" s="402"/>
      <c r="BV322" s="402"/>
      <c r="BW322" s="402"/>
      <c r="BX322" s="402"/>
      <c r="BY322" s="402"/>
      <c r="BZ322" s="402"/>
      <c r="CA322" s="402"/>
      <c r="CB322" s="402"/>
      <c r="CC322" s="402"/>
      <c r="CD322" s="402"/>
      <c r="CE322" s="402"/>
      <c r="CF322" s="402"/>
      <c r="CG322" s="402"/>
      <c r="CH322" s="402"/>
      <c r="CI322" s="402"/>
      <c r="CJ322" s="402"/>
    </row>
    <row r="323" spans="1:88" s="182" customFormat="1">
      <c r="A323" s="183"/>
      <c r="B323" s="183"/>
      <c r="C323" s="183"/>
      <c r="D323" s="183"/>
      <c r="E323" s="661"/>
      <c r="F323" s="661"/>
      <c r="G323" s="661"/>
      <c r="H323" s="661"/>
      <c r="I323" s="661"/>
      <c r="J323" s="661"/>
      <c r="K323" s="661"/>
      <c r="L323" s="661"/>
      <c r="M323" s="661"/>
      <c r="N323" s="661"/>
      <c r="O323" s="661"/>
      <c r="P323" s="661"/>
      <c r="Q323" s="661"/>
      <c r="R323" s="661"/>
      <c r="S323" s="661"/>
      <c r="T323" s="661"/>
      <c r="U323" s="661"/>
      <c r="V323" s="661"/>
      <c r="W323" s="661"/>
      <c r="X323" s="661"/>
      <c r="Y323" s="661"/>
      <c r="Z323" s="661"/>
      <c r="AA323" s="661"/>
      <c r="AB323" s="661"/>
      <c r="AC323" s="661"/>
      <c r="AD323" s="661"/>
      <c r="AE323" s="661"/>
      <c r="AF323" s="661"/>
      <c r="AG323" s="661"/>
      <c r="AH323" s="661"/>
      <c r="AI323" s="661"/>
      <c r="AJ323" s="661"/>
      <c r="AK323" s="661"/>
      <c r="AL323" s="661"/>
      <c r="AM323" s="221"/>
      <c r="AN323" s="221"/>
      <c r="AO323" s="221"/>
      <c r="AP323" s="221"/>
      <c r="AQ323" s="221"/>
      <c r="AR323" s="221"/>
      <c r="AS323" s="221"/>
      <c r="AT323" s="221"/>
      <c r="AU323" s="221"/>
      <c r="AV323" s="221"/>
      <c r="AW323" s="661"/>
      <c r="AX323" s="661"/>
      <c r="AY323" s="443"/>
      <c r="AZ323" s="443"/>
      <c r="BA323" s="443"/>
      <c r="BB323" s="443"/>
      <c r="BC323" s="443"/>
      <c r="BD323" s="443"/>
      <c r="BE323" s="443"/>
      <c r="BF323" s="443"/>
      <c r="BG323" s="443"/>
      <c r="BH323" s="443"/>
      <c r="BI323" s="533"/>
      <c r="BJ323" s="533"/>
      <c r="BK323" s="533"/>
      <c r="BL323" s="682"/>
      <c r="BM323" s="402"/>
      <c r="BN323" s="402"/>
      <c r="BO323" s="402"/>
      <c r="BP323" s="402"/>
      <c r="BQ323" s="402"/>
      <c r="BR323" s="402"/>
      <c r="BS323" s="402"/>
      <c r="BT323" s="402"/>
      <c r="BU323" s="402"/>
      <c r="BV323" s="402"/>
      <c r="BW323" s="402"/>
      <c r="BX323" s="402"/>
      <c r="BY323" s="402"/>
      <c r="BZ323" s="402"/>
      <c r="CA323" s="402"/>
      <c r="CB323" s="402"/>
      <c r="CC323" s="402"/>
      <c r="CD323" s="402"/>
      <c r="CE323" s="402"/>
      <c r="CF323" s="402"/>
      <c r="CG323" s="402"/>
      <c r="CH323" s="402"/>
      <c r="CI323" s="402"/>
      <c r="CJ323" s="402"/>
    </row>
    <row r="324" spans="1:88" s="182" customFormat="1">
      <c r="A324" s="183"/>
      <c r="B324" s="183"/>
      <c r="C324" s="183"/>
      <c r="D324" s="183"/>
      <c r="E324" s="661"/>
      <c r="F324" s="661"/>
      <c r="G324" s="661"/>
      <c r="H324" s="661"/>
      <c r="I324" s="661"/>
      <c r="J324" s="661"/>
      <c r="K324" s="661"/>
      <c r="L324" s="661"/>
      <c r="M324" s="661"/>
      <c r="N324" s="661"/>
      <c r="O324" s="661"/>
      <c r="P324" s="661"/>
      <c r="Q324" s="661"/>
      <c r="R324" s="661"/>
      <c r="S324" s="661"/>
      <c r="T324" s="661"/>
      <c r="U324" s="661"/>
      <c r="V324" s="661"/>
      <c r="W324" s="661"/>
      <c r="X324" s="661"/>
      <c r="Y324" s="661"/>
      <c r="Z324" s="661"/>
      <c r="AA324" s="661"/>
      <c r="AB324" s="661"/>
      <c r="AC324" s="661"/>
      <c r="AD324" s="661"/>
      <c r="AE324" s="661"/>
      <c r="AF324" s="661"/>
      <c r="AG324" s="661"/>
      <c r="AH324" s="661"/>
      <c r="AI324" s="661"/>
      <c r="AJ324" s="661"/>
      <c r="AK324" s="661"/>
      <c r="AL324" s="661"/>
      <c r="AM324" s="221"/>
      <c r="AN324" s="221"/>
      <c r="AO324" s="221"/>
      <c r="AP324" s="221"/>
      <c r="AQ324" s="221"/>
      <c r="AR324" s="221"/>
      <c r="AS324" s="221"/>
      <c r="AT324" s="221"/>
      <c r="AU324" s="221"/>
      <c r="AV324" s="221"/>
      <c r="AW324" s="661"/>
      <c r="AX324" s="661"/>
      <c r="AY324" s="443"/>
      <c r="AZ324" s="443"/>
      <c r="BA324" s="443"/>
      <c r="BB324" s="443"/>
      <c r="BC324" s="443"/>
      <c r="BD324" s="443"/>
      <c r="BE324" s="443"/>
      <c r="BF324" s="443"/>
      <c r="BG324" s="443"/>
      <c r="BH324" s="443"/>
      <c r="BI324" s="533"/>
      <c r="BJ324" s="533"/>
      <c r="BK324" s="533"/>
      <c r="BL324" s="682"/>
      <c r="BM324" s="402"/>
      <c r="BN324" s="402"/>
      <c r="BO324" s="402"/>
      <c r="BP324" s="402"/>
      <c r="BQ324" s="402"/>
      <c r="BR324" s="402"/>
      <c r="BS324" s="402"/>
      <c r="BT324" s="402"/>
      <c r="BU324" s="402"/>
      <c r="BV324" s="402"/>
      <c r="BW324" s="402"/>
      <c r="BX324" s="402"/>
      <c r="BY324" s="402"/>
      <c r="BZ324" s="402"/>
      <c r="CA324" s="402"/>
      <c r="CB324" s="402"/>
      <c r="CC324" s="402"/>
      <c r="CD324" s="402"/>
      <c r="CE324" s="402"/>
      <c r="CF324" s="402"/>
      <c r="CG324" s="402"/>
      <c r="CH324" s="402"/>
      <c r="CI324" s="402"/>
      <c r="CJ324" s="402"/>
    </row>
    <row r="325" spans="1:88" s="182" customFormat="1">
      <c r="A325" s="183"/>
      <c r="B325" s="183"/>
      <c r="C325" s="183"/>
      <c r="D325" s="183"/>
      <c r="E325" s="661"/>
      <c r="F325" s="661"/>
      <c r="G325" s="661"/>
      <c r="H325" s="661"/>
      <c r="I325" s="661"/>
      <c r="J325" s="661"/>
      <c r="K325" s="661"/>
      <c r="L325" s="661"/>
      <c r="M325" s="661"/>
      <c r="N325" s="661"/>
      <c r="O325" s="661"/>
      <c r="P325" s="661"/>
      <c r="Q325" s="661"/>
      <c r="R325" s="661"/>
      <c r="S325" s="661"/>
      <c r="T325" s="661"/>
      <c r="U325" s="661"/>
      <c r="V325" s="661"/>
      <c r="W325" s="661"/>
      <c r="X325" s="661"/>
      <c r="Y325" s="661"/>
      <c r="Z325" s="661"/>
      <c r="AA325" s="661"/>
      <c r="AB325" s="661"/>
      <c r="AC325" s="661"/>
      <c r="AD325" s="661"/>
      <c r="AE325" s="661"/>
      <c r="AF325" s="661"/>
      <c r="AG325" s="661"/>
      <c r="AH325" s="661"/>
      <c r="AI325" s="661"/>
      <c r="AJ325" s="661"/>
      <c r="AK325" s="661"/>
      <c r="AL325" s="661"/>
      <c r="AM325" s="221"/>
      <c r="AN325" s="221"/>
      <c r="AO325" s="221"/>
      <c r="AP325" s="221"/>
      <c r="AQ325" s="221"/>
      <c r="AR325" s="221"/>
      <c r="AS325" s="221"/>
      <c r="AT325" s="221"/>
      <c r="AU325" s="221"/>
      <c r="AV325" s="221"/>
      <c r="AW325" s="661"/>
      <c r="AX325" s="661"/>
      <c r="AY325" s="443"/>
      <c r="AZ325" s="443"/>
      <c r="BA325" s="443"/>
      <c r="BB325" s="443"/>
      <c r="BC325" s="443"/>
      <c r="BD325" s="443"/>
      <c r="BE325" s="443"/>
      <c r="BF325" s="443"/>
      <c r="BG325" s="443"/>
      <c r="BH325" s="443"/>
      <c r="BI325" s="533"/>
      <c r="BJ325" s="533"/>
      <c r="BK325" s="533"/>
      <c r="BL325" s="682"/>
      <c r="BM325" s="402"/>
      <c r="BN325" s="402"/>
      <c r="BO325" s="402"/>
      <c r="BP325" s="402"/>
      <c r="BQ325" s="402"/>
      <c r="BR325" s="402"/>
      <c r="BS325" s="402"/>
      <c r="BT325" s="402"/>
      <c r="BU325" s="402"/>
      <c r="BV325" s="402"/>
      <c r="BW325" s="402"/>
      <c r="BX325" s="402"/>
      <c r="BY325" s="402"/>
      <c r="BZ325" s="402"/>
      <c r="CA325" s="402"/>
      <c r="CB325" s="402"/>
      <c r="CC325" s="402"/>
      <c r="CD325" s="402"/>
      <c r="CE325" s="402"/>
      <c r="CF325" s="402"/>
      <c r="CG325" s="402"/>
      <c r="CH325" s="402"/>
      <c r="CI325" s="402"/>
      <c r="CJ325" s="402"/>
    </row>
    <row r="326" spans="1:88" s="182" customFormat="1">
      <c r="A326" s="183"/>
      <c r="B326" s="183"/>
      <c r="C326" s="183"/>
      <c r="D326" s="183"/>
      <c r="E326" s="661"/>
      <c r="F326" s="661"/>
      <c r="G326" s="661"/>
      <c r="H326" s="661"/>
      <c r="I326" s="661"/>
      <c r="J326" s="661"/>
      <c r="K326" s="661"/>
      <c r="L326" s="661"/>
      <c r="M326" s="661"/>
      <c r="N326" s="661"/>
      <c r="O326" s="661"/>
      <c r="P326" s="661"/>
      <c r="Q326" s="661"/>
      <c r="R326" s="661"/>
      <c r="S326" s="661"/>
      <c r="T326" s="661"/>
      <c r="U326" s="661"/>
      <c r="V326" s="661"/>
      <c r="W326" s="661"/>
      <c r="X326" s="661"/>
      <c r="Y326" s="661"/>
      <c r="Z326" s="661"/>
      <c r="AA326" s="661"/>
      <c r="AB326" s="661"/>
      <c r="AC326" s="661"/>
      <c r="AD326" s="661"/>
      <c r="AE326" s="661"/>
      <c r="AF326" s="661"/>
      <c r="AG326" s="661"/>
      <c r="AH326" s="661"/>
      <c r="AI326" s="661"/>
      <c r="AJ326" s="661"/>
      <c r="AK326" s="661"/>
      <c r="AL326" s="661"/>
      <c r="AM326" s="221"/>
      <c r="AN326" s="221"/>
      <c r="AO326" s="221"/>
      <c r="AP326" s="221"/>
      <c r="AQ326" s="221"/>
      <c r="AR326" s="221"/>
      <c r="AS326" s="661"/>
      <c r="AT326" s="221"/>
      <c r="AU326" s="221"/>
      <c r="AV326" s="221"/>
      <c r="AW326" s="661"/>
      <c r="AX326" s="661"/>
      <c r="AY326" s="443"/>
      <c r="AZ326" s="443"/>
      <c r="BA326" s="443"/>
      <c r="BB326" s="443"/>
      <c r="BC326" s="443"/>
      <c r="BD326" s="443"/>
      <c r="BE326" s="443"/>
      <c r="BF326" s="443"/>
      <c r="BG326" s="443"/>
      <c r="BH326" s="443"/>
      <c r="BI326" s="533"/>
      <c r="BJ326" s="533"/>
      <c r="BK326" s="533"/>
      <c r="BL326" s="682"/>
      <c r="BM326" s="402"/>
      <c r="BN326" s="402"/>
      <c r="BO326" s="402"/>
      <c r="BP326" s="402"/>
      <c r="BQ326" s="402"/>
      <c r="BR326" s="402"/>
      <c r="BS326" s="402"/>
      <c r="BT326" s="402"/>
      <c r="BU326" s="402"/>
      <c r="BV326" s="402"/>
      <c r="BW326" s="402"/>
      <c r="BX326" s="402"/>
      <c r="BY326" s="402"/>
      <c r="BZ326" s="402"/>
      <c r="CA326" s="402"/>
      <c r="CB326" s="402"/>
      <c r="CC326" s="402"/>
      <c r="CD326" s="402"/>
      <c r="CE326" s="402"/>
      <c r="CF326" s="402"/>
      <c r="CG326" s="402"/>
      <c r="CH326" s="402"/>
      <c r="CI326" s="402"/>
      <c r="CJ326" s="402"/>
    </row>
    <row r="327" spans="1:88" s="182" customFormat="1">
      <c r="A327" s="183"/>
      <c r="B327" s="183"/>
      <c r="C327" s="183"/>
      <c r="D327" s="183"/>
      <c r="E327" s="661"/>
      <c r="F327" s="661"/>
      <c r="G327" s="661"/>
      <c r="H327" s="661"/>
      <c r="I327" s="661"/>
      <c r="J327" s="661"/>
      <c r="K327" s="661"/>
      <c r="L327" s="661"/>
      <c r="M327" s="661"/>
      <c r="N327" s="661"/>
      <c r="O327" s="661"/>
      <c r="P327" s="661"/>
      <c r="Q327" s="661"/>
      <c r="R327" s="661"/>
      <c r="S327" s="661"/>
      <c r="T327" s="661"/>
      <c r="U327" s="661"/>
      <c r="V327" s="661"/>
      <c r="W327" s="661"/>
      <c r="X327" s="661"/>
      <c r="Y327" s="661"/>
      <c r="Z327" s="661"/>
      <c r="AA327" s="661"/>
      <c r="AB327" s="661"/>
      <c r="AC327" s="661"/>
      <c r="AD327" s="661"/>
      <c r="AE327" s="661"/>
      <c r="AF327" s="661"/>
      <c r="AG327" s="661"/>
      <c r="AH327" s="661"/>
      <c r="AI327" s="661"/>
      <c r="AJ327" s="661"/>
      <c r="AK327" s="661"/>
      <c r="AL327" s="661"/>
      <c r="AM327" s="221"/>
      <c r="AN327" s="221"/>
      <c r="AO327" s="221"/>
      <c r="AP327" s="221"/>
      <c r="AQ327" s="221"/>
      <c r="AR327" s="221"/>
      <c r="AS327" s="661"/>
      <c r="AT327" s="221"/>
      <c r="AU327" s="221"/>
      <c r="AV327" s="221"/>
      <c r="AW327" s="661"/>
      <c r="AX327" s="661"/>
      <c r="AY327" s="443"/>
      <c r="AZ327" s="443"/>
      <c r="BA327" s="443"/>
      <c r="BB327" s="443"/>
      <c r="BC327" s="443"/>
      <c r="BD327" s="443"/>
      <c r="BE327" s="443"/>
      <c r="BF327" s="443"/>
      <c r="BG327" s="443"/>
      <c r="BH327" s="443"/>
      <c r="BI327" s="533"/>
      <c r="BJ327" s="533"/>
      <c r="BK327" s="533"/>
      <c r="BL327" s="682"/>
      <c r="BM327" s="402"/>
      <c r="BN327" s="402"/>
      <c r="BO327" s="402"/>
      <c r="BP327" s="402"/>
      <c r="BQ327" s="402"/>
      <c r="BR327" s="402"/>
      <c r="BS327" s="402"/>
      <c r="BT327" s="402"/>
      <c r="BU327" s="402"/>
      <c r="BV327" s="402"/>
      <c r="BW327" s="402"/>
      <c r="BX327" s="402"/>
      <c r="BY327" s="402"/>
      <c r="BZ327" s="402"/>
      <c r="CA327" s="402"/>
      <c r="CB327" s="402"/>
      <c r="CC327" s="402"/>
      <c r="CD327" s="402"/>
      <c r="CE327" s="402"/>
      <c r="CF327" s="402"/>
      <c r="CG327" s="402"/>
      <c r="CH327" s="402"/>
      <c r="CI327" s="402"/>
      <c r="CJ327" s="402"/>
    </row>
    <row r="328" spans="1:88" s="182" customFormat="1">
      <c r="A328" s="183"/>
      <c r="B328" s="183"/>
      <c r="C328" s="183"/>
      <c r="D328" s="183"/>
      <c r="E328" s="661"/>
      <c r="F328" s="661"/>
      <c r="G328" s="661"/>
      <c r="H328" s="661"/>
      <c r="I328" s="661"/>
      <c r="J328" s="661"/>
      <c r="K328" s="661"/>
      <c r="L328" s="661"/>
      <c r="M328" s="661"/>
      <c r="N328" s="661"/>
      <c r="O328" s="661"/>
      <c r="P328" s="661"/>
      <c r="Q328" s="661"/>
      <c r="R328" s="661"/>
      <c r="S328" s="661"/>
      <c r="T328" s="661"/>
      <c r="U328" s="661"/>
      <c r="V328" s="661"/>
      <c r="W328" s="661"/>
      <c r="X328" s="661"/>
      <c r="Y328" s="661"/>
      <c r="Z328" s="661"/>
      <c r="AA328" s="661"/>
      <c r="AB328" s="661"/>
      <c r="AC328" s="661"/>
      <c r="AD328" s="661"/>
      <c r="AE328" s="661"/>
      <c r="AF328" s="661"/>
      <c r="AG328" s="661"/>
      <c r="AH328" s="661"/>
      <c r="AI328" s="661"/>
      <c r="AJ328" s="661"/>
      <c r="AK328" s="661"/>
      <c r="AL328" s="661"/>
      <c r="AM328" s="221"/>
      <c r="AN328" s="221"/>
      <c r="AO328" s="221"/>
      <c r="AP328" s="221"/>
      <c r="AQ328" s="221"/>
      <c r="AR328" s="221"/>
      <c r="AS328" s="661"/>
      <c r="AT328" s="221"/>
      <c r="AU328" s="221"/>
      <c r="AV328" s="221"/>
      <c r="AW328" s="661"/>
      <c r="AX328" s="661"/>
      <c r="AY328" s="443"/>
      <c r="AZ328" s="443"/>
      <c r="BA328" s="443"/>
      <c r="BB328" s="443"/>
      <c r="BC328" s="443"/>
      <c r="BD328" s="443"/>
      <c r="BE328" s="443"/>
      <c r="BF328" s="443"/>
      <c r="BG328" s="443"/>
      <c r="BH328" s="443"/>
      <c r="BI328" s="533"/>
      <c r="BJ328" s="533"/>
      <c r="BK328" s="533"/>
      <c r="BL328" s="682"/>
      <c r="BM328" s="402"/>
      <c r="BN328" s="402"/>
      <c r="BO328" s="402"/>
      <c r="BP328" s="402"/>
      <c r="BQ328" s="402"/>
      <c r="BR328" s="402"/>
      <c r="BS328" s="402"/>
      <c r="BT328" s="402"/>
      <c r="BU328" s="402"/>
      <c r="BV328" s="402"/>
      <c r="BW328" s="402"/>
      <c r="BX328" s="402"/>
      <c r="BY328" s="402"/>
      <c r="BZ328" s="402"/>
      <c r="CA328" s="402"/>
      <c r="CB328" s="402"/>
      <c r="CC328" s="402"/>
      <c r="CD328" s="402"/>
      <c r="CE328" s="402"/>
      <c r="CF328" s="402"/>
      <c r="CG328" s="402"/>
      <c r="CH328" s="402"/>
      <c r="CI328" s="402"/>
      <c r="CJ328" s="402"/>
    </row>
    <row r="329" spans="1:88" s="182" customFormat="1">
      <c r="A329" s="183"/>
      <c r="B329" s="183"/>
      <c r="C329" s="183"/>
      <c r="D329" s="183"/>
      <c r="E329" s="661"/>
      <c r="F329" s="661"/>
      <c r="G329" s="661"/>
      <c r="H329" s="661"/>
      <c r="I329" s="661"/>
      <c r="J329" s="661"/>
      <c r="K329" s="661"/>
      <c r="L329" s="661"/>
      <c r="M329" s="661"/>
      <c r="N329" s="661"/>
      <c r="O329" s="661"/>
      <c r="P329" s="661"/>
      <c r="Q329" s="661"/>
      <c r="R329" s="661"/>
      <c r="S329" s="661"/>
      <c r="T329" s="661"/>
      <c r="U329" s="661"/>
      <c r="V329" s="661"/>
      <c r="W329" s="661"/>
      <c r="X329" s="661"/>
      <c r="Y329" s="661"/>
      <c r="Z329" s="661"/>
      <c r="AA329" s="661"/>
      <c r="AB329" s="661"/>
      <c r="AC329" s="661"/>
      <c r="AD329" s="661"/>
      <c r="AE329" s="661"/>
      <c r="AF329" s="661"/>
      <c r="AG329" s="661"/>
      <c r="AH329" s="661"/>
      <c r="AI329" s="661"/>
      <c r="AJ329" s="661"/>
      <c r="AK329" s="661"/>
      <c r="AL329" s="661"/>
      <c r="AM329" s="221"/>
      <c r="AN329" s="221"/>
      <c r="AO329" s="221"/>
      <c r="AP329" s="221"/>
      <c r="AQ329" s="221"/>
      <c r="AR329" s="221"/>
      <c r="AS329" s="661"/>
      <c r="AT329" s="221"/>
      <c r="AU329" s="221"/>
      <c r="AV329" s="221"/>
      <c r="AW329" s="661"/>
      <c r="AX329" s="661"/>
      <c r="AY329" s="443"/>
      <c r="AZ329" s="443"/>
      <c r="BA329" s="443"/>
      <c r="BB329" s="443"/>
      <c r="BC329" s="443"/>
      <c r="BD329" s="443"/>
      <c r="BE329" s="443"/>
      <c r="BF329" s="443"/>
      <c r="BG329" s="443"/>
      <c r="BH329" s="443"/>
      <c r="BI329" s="533"/>
      <c r="BJ329" s="533"/>
      <c r="BK329" s="533"/>
      <c r="BL329" s="682"/>
      <c r="BM329" s="402"/>
      <c r="BN329" s="402"/>
      <c r="BO329" s="402"/>
      <c r="BP329" s="402"/>
      <c r="BQ329" s="402"/>
      <c r="BR329" s="402"/>
      <c r="BS329" s="402"/>
      <c r="BT329" s="402"/>
      <c r="BU329" s="402"/>
      <c r="BV329" s="402"/>
      <c r="BW329" s="402"/>
      <c r="BX329" s="402"/>
      <c r="BY329" s="402"/>
      <c r="BZ329" s="402"/>
      <c r="CA329" s="402"/>
      <c r="CB329" s="402"/>
      <c r="CC329" s="402"/>
      <c r="CD329" s="402"/>
      <c r="CE329" s="402"/>
      <c r="CF329" s="402"/>
      <c r="CG329" s="402"/>
      <c r="CH329" s="402"/>
      <c r="CI329" s="402"/>
      <c r="CJ329" s="402"/>
    </row>
    <row r="330" spans="1:88" s="182" customFormat="1">
      <c r="A330" s="183"/>
      <c r="B330" s="183"/>
      <c r="C330" s="183"/>
      <c r="D330" s="183"/>
      <c r="E330" s="661"/>
      <c r="F330" s="661"/>
      <c r="G330" s="661"/>
      <c r="H330" s="661"/>
      <c r="I330" s="661"/>
      <c r="J330" s="661"/>
      <c r="K330" s="661"/>
      <c r="L330" s="661"/>
      <c r="M330" s="661"/>
      <c r="N330" s="661"/>
      <c r="O330" s="661"/>
      <c r="P330" s="661"/>
      <c r="Q330" s="661"/>
      <c r="R330" s="661"/>
      <c r="S330" s="661"/>
      <c r="T330" s="661"/>
      <c r="U330" s="661"/>
      <c r="V330" s="661"/>
      <c r="W330" s="661"/>
      <c r="X330" s="661"/>
      <c r="Y330" s="661"/>
      <c r="Z330" s="661"/>
      <c r="AA330" s="661"/>
      <c r="AB330" s="661"/>
      <c r="AC330" s="661"/>
      <c r="AD330" s="661"/>
      <c r="AE330" s="661"/>
      <c r="AF330" s="661"/>
      <c r="AG330" s="661"/>
      <c r="AH330" s="661"/>
      <c r="AI330" s="661"/>
      <c r="AJ330" s="661"/>
      <c r="AK330" s="661"/>
      <c r="AL330" s="661"/>
      <c r="AM330" s="221"/>
      <c r="AN330" s="221"/>
      <c r="AO330" s="221"/>
      <c r="AP330" s="221"/>
      <c r="AQ330" s="221"/>
      <c r="AR330" s="221"/>
      <c r="AS330" s="661"/>
      <c r="AT330" s="221"/>
      <c r="AU330" s="221"/>
      <c r="AV330" s="221"/>
      <c r="AW330" s="661"/>
      <c r="AX330" s="661"/>
      <c r="AY330" s="443"/>
      <c r="AZ330" s="443"/>
      <c r="BA330" s="443"/>
      <c r="BB330" s="443"/>
      <c r="BC330" s="443"/>
      <c r="BD330" s="443"/>
      <c r="BE330" s="443"/>
      <c r="BF330" s="443"/>
      <c r="BG330" s="443"/>
      <c r="BH330" s="443"/>
      <c r="BI330" s="533"/>
      <c r="BJ330" s="533"/>
      <c r="BK330" s="533"/>
      <c r="BL330" s="682"/>
      <c r="BM330" s="402"/>
      <c r="BN330" s="402"/>
      <c r="BO330" s="402"/>
      <c r="BP330" s="402"/>
      <c r="BQ330" s="402"/>
      <c r="BR330" s="402"/>
      <c r="BS330" s="402"/>
      <c r="BT330" s="402"/>
      <c r="BU330" s="402"/>
      <c r="BV330" s="402"/>
      <c r="BW330" s="402"/>
      <c r="BX330" s="402"/>
      <c r="BY330" s="402"/>
      <c r="BZ330" s="402"/>
      <c r="CA330" s="402"/>
      <c r="CB330" s="402"/>
      <c r="CC330" s="402"/>
      <c r="CD330" s="402"/>
      <c r="CE330" s="402"/>
      <c r="CF330" s="402"/>
      <c r="CG330" s="402"/>
      <c r="CH330" s="402"/>
      <c r="CI330" s="402"/>
      <c r="CJ330" s="402"/>
    </row>
    <row r="331" spans="1:88" s="182" customFormat="1">
      <c r="A331" s="183"/>
      <c r="B331" s="183"/>
      <c r="C331" s="183"/>
      <c r="D331" s="183"/>
      <c r="E331" s="661"/>
      <c r="F331" s="661"/>
      <c r="G331" s="661"/>
      <c r="H331" s="661"/>
      <c r="I331" s="661"/>
      <c r="J331" s="661"/>
      <c r="K331" s="661"/>
      <c r="L331" s="661"/>
      <c r="M331" s="661"/>
      <c r="N331" s="661"/>
      <c r="O331" s="661"/>
      <c r="P331" s="661"/>
      <c r="Q331" s="661"/>
      <c r="R331" s="661"/>
      <c r="S331" s="661"/>
      <c r="T331" s="661"/>
      <c r="U331" s="661"/>
      <c r="V331" s="661"/>
      <c r="W331" s="661"/>
      <c r="X331" s="661"/>
      <c r="Y331" s="661"/>
      <c r="Z331" s="661"/>
      <c r="AA331" s="661"/>
      <c r="AB331" s="661"/>
      <c r="AC331" s="661"/>
      <c r="AD331" s="661"/>
      <c r="AE331" s="661"/>
      <c r="AF331" s="661"/>
      <c r="AG331" s="661"/>
      <c r="AH331" s="661"/>
      <c r="AI331" s="661"/>
      <c r="AJ331" s="661"/>
      <c r="AK331" s="661"/>
      <c r="AL331" s="661"/>
      <c r="AM331" s="221"/>
      <c r="AN331" s="221"/>
      <c r="AO331" s="221"/>
      <c r="AP331" s="221"/>
      <c r="AQ331" s="221"/>
      <c r="AR331" s="221"/>
      <c r="AS331" s="661"/>
      <c r="AT331" s="221"/>
      <c r="AU331" s="221"/>
      <c r="AV331" s="221"/>
      <c r="AW331" s="661"/>
      <c r="AX331" s="661"/>
      <c r="AY331" s="443"/>
      <c r="AZ331" s="443"/>
      <c r="BA331" s="443"/>
      <c r="BB331" s="443"/>
      <c r="BC331" s="443"/>
      <c r="BD331" s="443"/>
      <c r="BE331" s="443"/>
      <c r="BF331" s="443"/>
      <c r="BG331" s="443"/>
      <c r="BH331" s="443"/>
      <c r="BI331" s="533"/>
      <c r="BJ331" s="533"/>
      <c r="BK331" s="533"/>
      <c r="BL331" s="682"/>
      <c r="BM331" s="402"/>
      <c r="BN331" s="402"/>
      <c r="BO331" s="402"/>
      <c r="BP331" s="402"/>
      <c r="BQ331" s="402"/>
      <c r="BR331" s="402"/>
      <c r="BS331" s="402"/>
      <c r="BT331" s="402"/>
      <c r="BU331" s="402"/>
      <c r="BV331" s="402"/>
      <c r="BW331" s="402"/>
      <c r="BX331" s="402"/>
      <c r="BY331" s="402"/>
      <c r="BZ331" s="402"/>
      <c r="CA331" s="402"/>
      <c r="CB331" s="402"/>
      <c r="CC331" s="402"/>
      <c r="CD331" s="402"/>
      <c r="CE331" s="402"/>
      <c r="CF331" s="402"/>
      <c r="CG331" s="402"/>
      <c r="CH331" s="402"/>
      <c r="CI331" s="402"/>
      <c r="CJ331" s="402"/>
    </row>
    <row r="332" spans="1:88" s="182" customFormat="1">
      <c r="A332" s="183"/>
      <c r="B332" s="183"/>
      <c r="C332" s="183"/>
      <c r="D332" s="183"/>
      <c r="E332" s="661"/>
      <c r="F332" s="661"/>
      <c r="G332" s="661"/>
      <c r="H332" s="661"/>
      <c r="I332" s="661"/>
      <c r="J332" s="661"/>
      <c r="K332" s="661"/>
      <c r="L332" s="661"/>
      <c r="M332" s="661"/>
      <c r="N332" s="661"/>
      <c r="O332" s="661"/>
      <c r="P332" s="661"/>
      <c r="Q332" s="661"/>
      <c r="R332" s="661"/>
      <c r="S332" s="661"/>
      <c r="T332" s="661"/>
      <c r="U332" s="661"/>
      <c r="V332" s="661"/>
      <c r="W332" s="661"/>
      <c r="X332" s="661"/>
      <c r="Y332" s="661"/>
      <c r="Z332" s="661"/>
      <c r="AA332" s="661"/>
      <c r="AB332" s="661"/>
      <c r="AC332" s="661"/>
      <c r="AD332" s="661"/>
      <c r="AE332" s="661"/>
      <c r="AF332" s="661"/>
      <c r="AG332" s="661"/>
      <c r="AH332" s="661"/>
      <c r="AI332" s="661"/>
      <c r="AJ332" s="661"/>
      <c r="AK332" s="661"/>
      <c r="AL332" s="661"/>
      <c r="AM332" s="221"/>
      <c r="AN332" s="221"/>
      <c r="AO332" s="221"/>
      <c r="AP332" s="661"/>
      <c r="AQ332" s="661"/>
      <c r="AR332" s="661"/>
      <c r="AS332" s="661"/>
      <c r="AT332" s="221"/>
      <c r="AU332" s="221"/>
      <c r="AV332" s="221"/>
      <c r="AW332" s="661"/>
      <c r="AX332" s="661"/>
      <c r="AY332" s="443"/>
      <c r="AZ332" s="443"/>
      <c r="BA332" s="443"/>
      <c r="BB332" s="443"/>
      <c r="BC332" s="443"/>
      <c r="BD332" s="443"/>
      <c r="BE332" s="443"/>
      <c r="BF332" s="443"/>
      <c r="BG332" s="443"/>
      <c r="BH332" s="443"/>
      <c r="BI332" s="533"/>
      <c r="BJ332" s="533"/>
      <c r="BK332" s="533"/>
      <c r="BL332" s="682"/>
      <c r="BM332" s="402"/>
      <c r="BN332" s="402"/>
      <c r="BO332" s="402"/>
      <c r="BP332" s="402"/>
      <c r="BQ332" s="402"/>
      <c r="BR332" s="402"/>
      <c r="BS332" s="402"/>
      <c r="BT332" s="402"/>
      <c r="BU332" s="402"/>
      <c r="BV332" s="402"/>
      <c r="BW332" s="402"/>
      <c r="BX332" s="402"/>
      <c r="BY332" s="402"/>
      <c r="BZ332" s="402"/>
      <c r="CA332" s="402"/>
      <c r="CB332" s="402"/>
      <c r="CC332" s="402"/>
      <c r="CD332" s="402"/>
      <c r="CE332" s="402"/>
      <c r="CF332" s="402"/>
      <c r="CG332" s="402"/>
      <c r="CH332" s="402"/>
      <c r="CI332" s="402"/>
      <c r="CJ332" s="402"/>
    </row>
    <row r="333" spans="1:88" s="182" customFormat="1">
      <c r="A333" s="183"/>
      <c r="B333" s="183"/>
      <c r="C333" s="183"/>
      <c r="D333" s="183"/>
      <c r="E333" s="661"/>
      <c r="F333" s="661"/>
      <c r="G333" s="661"/>
      <c r="H333" s="661"/>
      <c r="I333" s="661"/>
      <c r="J333" s="661"/>
      <c r="K333" s="661"/>
      <c r="L333" s="661"/>
      <c r="M333" s="661"/>
      <c r="N333" s="661"/>
      <c r="O333" s="661"/>
      <c r="P333" s="661"/>
      <c r="Q333" s="661"/>
      <c r="R333" s="661"/>
      <c r="S333" s="661"/>
      <c r="T333" s="661"/>
      <c r="U333" s="661"/>
      <c r="V333" s="661"/>
      <c r="W333" s="661"/>
      <c r="X333" s="661"/>
      <c r="Y333" s="661"/>
      <c r="Z333" s="661"/>
      <c r="AA333" s="661"/>
      <c r="AB333" s="661"/>
      <c r="AC333" s="661"/>
      <c r="AD333" s="661"/>
      <c r="AE333" s="661"/>
      <c r="AF333" s="661"/>
      <c r="AG333" s="661"/>
      <c r="AH333" s="661"/>
      <c r="AI333" s="661"/>
      <c r="AJ333" s="661"/>
      <c r="AK333" s="661"/>
      <c r="AL333" s="661"/>
      <c r="AM333" s="221"/>
      <c r="AN333" s="221"/>
      <c r="AO333" s="221"/>
      <c r="AP333" s="661"/>
      <c r="AQ333" s="661"/>
      <c r="AR333" s="661"/>
      <c r="AS333" s="661"/>
      <c r="AT333" s="221"/>
      <c r="AU333" s="221"/>
      <c r="AV333" s="221"/>
      <c r="AW333" s="661"/>
      <c r="AX333" s="661"/>
      <c r="AY333" s="443"/>
      <c r="AZ333" s="443"/>
      <c r="BA333" s="443"/>
      <c r="BB333" s="443"/>
      <c r="BC333" s="443"/>
      <c r="BD333" s="443"/>
      <c r="BE333" s="443"/>
      <c r="BF333" s="443"/>
      <c r="BG333" s="443"/>
      <c r="BH333" s="443"/>
      <c r="BI333" s="533"/>
      <c r="BJ333" s="533"/>
      <c r="BK333" s="533"/>
      <c r="BL333" s="682"/>
      <c r="BM333" s="402"/>
      <c r="BN333" s="402"/>
      <c r="BO333" s="402"/>
      <c r="BP333" s="402"/>
      <c r="BQ333" s="402"/>
      <c r="BR333" s="402"/>
      <c r="BS333" s="402"/>
      <c r="BT333" s="402"/>
      <c r="BU333" s="402"/>
      <c r="BV333" s="402"/>
      <c r="BW333" s="402"/>
      <c r="BX333" s="402"/>
      <c r="BY333" s="402"/>
      <c r="BZ333" s="402"/>
      <c r="CA333" s="402"/>
      <c r="CB333" s="402"/>
      <c r="CC333" s="402"/>
      <c r="CD333" s="402"/>
      <c r="CE333" s="402"/>
      <c r="CF333" s="402"/>
      <c r="CG333" s="402"/>
      <c r="CH333" s="402"/>
      <c r="CI333" s="402"/>
      <c r="CJ333" s="402"/>
    </row>
    <row r="334" spans="1:88" s="182" customFormat="1">
      <c r="A334" s="183"/>
      <c r="B334" s="183"/>
      <c r="C334" s="183"/>
      <c r="D334" s="183"/>
      <c r="E334" s="661"/>
      <c r="F334" s="661"/>
      <c r="G334" s="661"/>
      <c r="H334" s="661"/>
      <c r="I334" s="661"/>
      <c r="J334" s="661"/>
      <c r="K334" s="661"/>
      <c r="L334" s="661"/>
      <c r="M334" s="661"/>
      <c r="N334" s="661"/>
      <c r="O334" s="661"/>
      <c r="P334" s="661"/>
      <c r="Q334" s="661"/>
      <c r="R334" s="661"/>
      <c r="S334" s="661"/>
      <c r="T334" s="661"/>
      <c r="U334" s="661"/>
      <c r="V334" s="661"/>
      <c r="W334" s="661"/>
      <c r="X334" s="661"/>
      <c r="Y334" s="661"/>
      <c r="Z334" s="661"/>
      <c r="AA334" s="661"/>
      <c r="AB334" s="661"/>
      <c r="AC334" s="661"/>
      <c r="AD334" s="661"/>
      <c r="AE334" s="661"/>
      <c r="AF334" s="661"/>
      <c r="AG334" s="661"/>
      <c r="AH334" s="661"/>
      <c r="AI334" s="661"/>
      <c r="AJ334" s="661"/>
      <c r="AK334" s="661"/>
      <c r="AL334" s="661"/>
      <c r="AM334" s="221"/>
      <c r="AN334" s="221"/>
      <c r="AO334" s="221"/>
      <c r="AP334" s="661"/>
      <c r="AQ334" s="661"/>
      <c r="AR334" s="661"/>
      <c r="AS334" s="661"/>
      <c r="AT334" s="221"/>
      <c r="AU334" s="221"/>
      <c r="AV334" s="221"/>
      <c r="AW334" s="661"/>
      <c r="AX334" s="661"/>
      <c r="AY334" s="443"/>
      <c r="AZ334" s="443"/>
      <c r="BA334" s="443"/>
      <c r="BB334" s="443"/>
      <c r="BC334" s="443"/>
      <c r="BD334" s="443"/>
      <c r="BE334" s="443"/>
      <c r="BF334" s="443"/>
      <c r="BG334" s="443"/>
      <c r="BH334" s="443"/>
      <c r="BI334" s="533"/>
      <c r="BJ334" s="533"/>
      <c r="BK334" s="533"/>
      <c r="BL334" s="682"/>
      <c r="BM334" s="402"/>
      <c r="BN334" s="402"/>
      <c r="BO334" s="402"/>
      <c r="BP334" s="402"/>
      <c r="BQ334" s="402"/>
      <c r="BR334" s="402"/>
      <c r="BS334" s="402"/>
      <c r="BT334" s="402"/>
      <c r="BU334" s="402"/>
      <c r="BV334" s="402"/>
      <c r="BW334" s="402"/>
      <c r="BX334" s="402"/>
      <c r="BY334" s="402"/>
      <c r="BZ334" s="402"/>
      <c r="CA334" s="402"/>
      <c r="CB334" s="402"/>
      <c r="CC334" s="402"/>
      <c r="CD334" s="402"/>
      <c r="CE334" s="402"/>
      <c r="CF334" s="402"/>
      <c r="CG334" s="402"/>
      <c r="CH334" s="402"/>
      <c r="CI334" s="402"/>
      <c r="CJ334" s="402"/>
    </row>
    <row r="335" spans="1:88" s="182" customFormat="1">
      <c r="A335" s="183"/>
      <c r="B335" s="183"/>
      <c r="C335" s="183"/>
      <c r="D335" s="183"/>
      <c r="E335" s="661"/>
      <c r="F335" s="661"/>
      <c r="G335" s="661"/>
      <c r="H335" s="661"/>
      <c r="I335" s="661"/>
      <c r="J335" s="661"/>
      <c r="K335" s="661"/>
      <c r="L335" s="661"/>
      <c r="M335" s="661"/>
      <c r="N335" s="661"/>
      <c r="O335" s="661"/>
      <c r="P335" s="661"/>
      <c r="Q335" s="661"/>
      <c r="R335" s="661"/>
      <c r="S335" s="661"/>
      <c r="T335" s="661"/>
      <c r="U335" s="661"/>
      <c r="V335" s="661"/>
      <c r="W335" s="661"/>
      <c r="X335" s="661"/>
      <c r="Y335" s="661"/>
      <c r="Z335" s="661"/>
      <c r="AA335" s="661"/>
      <c r="AB335" s="661"/>
      <c r="AC335" s="661"/>
      <c r="AD335" s="661"/>
      <c r="AE335" s="661"/>
      <c r="AF335" s="661"/>
      <c r="AG335" s="661"/>
      <c r="AH335" s="661"/>
      <c r="AI335" s="661"/>
      <c r="AJ335" s="661"/>
      <c r="AK335" s="661"/>
      <c r="AL335" s="661"/>
      <c r="AM335" s="221"/>
      <c r="AN335" s="221"/>
      <c r="AO335" s="221"/>
      <c r="AP335" s="661"/>
      <c r="AQ335" s="661"/>
      <c r="AR335" s="661"/>
      <c r="AS335" s="661"/>
      <c r="AT335" s="221"/>
      <c r="AU335" s="221"/>
      <c r="AV335" s="221"/>
      <c r="AW335" s="661"/>
      <c r="AX335" s="661"/>
      <c r="AY335" s="443"/>
      <c r="AZ335" s="443"/>
      <c r="BA335" s="443"/>
      <c r="BB335" s="443"/>
      <c r="BC335" s="443"/>
      <c r="BD335" s="443"/>
      <c r="BE335" s="443"/>
      <c r="BF335" s="443"/>
      <c r="BG335" s="443"/>
      <c r="BH335" s="443"/>
      <c r="BI335" s="533"/>
      <c r="BJ335" s="533"/>
      <c r="BK335" s="533"/>
      <c r="BL335" s="682"/>
      <c r="BM335" s="402"/>
      <c r="BN335" s="402"/>
      <c r="BO335" s="402"/>
      <c r="BP335" s="402"/>
      <c r="BQ335" s="402"/>
      <c r="BR335" s="402"/>
      <c r="BS335" s="402"/>
      <c r="BT335" s="402"/>
      <c r="BU335" s="402"/>
      <c r="BV335" s="402"/>
      <c r="BW335" s="402"/>
      <c r="BX335" s="402"/>
      <c r="BY335" s="402"/>
      <c r="BZ335" s="402"/>
      <c r="CA335" s="402"/>
      <c r="CB335" s="402"/>
      <c r="CC335" s="402"/>
      <c r="CD335" s="402"/>
      <c r="CE335" s="402"/>
      <c r="CF335" s="402"/>
      <c r="CG335" s="402"/>
      <c r="CH335" s="402"/>
      <c r="CI335" s="402"/>
      <c r="CJ335" s="402"/>
    </row>
    <row r="336" spans="1:88" s="182" customFormat="1">
      <c r="A336" s="183"/>
      <c r="B336" s="183"/>
      <c r="C336" s="183"/>
      <c r="D336" s="183"/>
      <c r="E336" s="661"/>
      <c r="F336" s="661"/>
      <c r="G336" s="661"/>
      <c r="H336" s="661"/>
      <c r="I336" s="661"/>
      <c r="J336" s="661"/>
      <c r="K336" s="661"/>
      <c r="L336" s="661"/>
      <c r="M336" s="661"/>
      <c r="N336" s="661"/>
      <c r="O336" s="661"/>
      <c r="P336" s="661"/>
      <c r="Q336" s="661"/>
      <c r="R336" s="661"/>
      <c r="S336" s="661"/>
      <c r="T336" s="661"/>
      <c r="U336" s="661"/>
      <c r="V336" s="661"/>
      <c r="W336" s="661"/>
      <c r="X336" s="661"/>
      <c r="Y336" s="661"/>
      <c r="Z336" s="661"/>
      <c r="AA336" s="661"/>
      <c r="AB336" s="661"/>
      <c r="AC336" s="661"/>
      <c r="AD336" s="661"/>
      <c r="AE336" s="661"/>
      <c r="AF336" s="661"/>
      <c r="AG336" s="661"/>
      <c r="AH336" s="661"/>
      <c r="AI336" s="661"/>
      <c r="AJ336" s="661"/>
      <c r="AK336" s="661"/>
      <c r="AL336" s="661"/>
      <c r="AM336" s="221"/>
      <c r="AN336" s="221"/>
      <c r="AO336" s="221"/>
      <c r="AP336" s="661"/>
      <c r="AQ336" s="661"/>
      <c r="AR336" s="661"/>
      <c r="AS336" s="661"/>
      <c r="AT336" s="221"/>
      <c r="AU336" s="221"/>
      <c r="AV336" s="221"/>
      <c r="AW336" s="661"/>
      <c r="AX336" s="661"/>
      <c r="AY336" s="443"/>
      <c r="AZ336" s="443"/>
      <c r="BA336" s="443"/>
      <c r="BB336" s="443"/>
      <c r="BC336" s="443"/>
      <c r="BD336" s="443"/>
      <c r="BE336" s="443"/>
      <c r="BF336" s="443"/>
      <c r="BG336" s="443"/>
      <c r="BH336" s="443"/>
      <c r="BI336" s="533"/>
      <c r="BJ336" s="533"/>
      <c r="BK336" s="533"/>
      <c r="BL336" s="682"/>
      <c r="BM336" s="402"/>
      <c r="BN336" s="402"/>
      <c r="BO336" s="402"/>
      <c r="BP336" s="402"/>
      <c r="BQ336" s="402"/>
      <c r="BR336" s="402"/>
      <c r="BS336" s="402"/>
      <c r="BT336" s="402"/>
      <c r="BU336" s="402"/>
      <c r="BV336" s="402"/>
      <c r="BW336" s="402"/>
      <c r="BX336" s="402"/>
      <c r="BY336" s="402"/>
      <c r="BZ336" s="402"/>
      <c r="CA336" s="402"/>
      <c r="CB336" s="402"/>
      <c r="CC336" s="402"/>
      <c r="CD336" s="402"/>
      <c r="CE336" s="402"/>
      <c r="CF336" s="402"/>
      <c r="CG336" s="402"/>
      <c r="CH336" s="402"/>
      <c r="CI336" s="402"/>
      <c r="CJ336" s="402"/>
    </row>
    <row r="337" spans="1:88" s="182" customFormat="1">
      <c r="A337" s="183"/>
      <c r="B337" s="183"/>
      <c r="C337" s="183"/>
      <c r="D337" s="183"/>
      <c r="E337" s="661"/>
      <c r="F337" s="661"/>
      <c r="G337" s="661"/>
      <c r="H337" s="661"/>
      <c r="I337" s="661"/>
      <c r="J337" s="661"/>
      <c r="K337" s="661"/>
      <c r="L337" s="661"/>
      <c r="M337" s="661"/>
      <c r="N337" s="661"/>
      <c r="O337" s="661"/>
      <c r="P337" s="661"/>
      <c r="Q337" s="661"/>
      <c r="R337" s="661"/>
      <c r="S337" s="661"/>
      <c r="T337" s="661"/>
      <c r="U337" s="661"/>
      <c r="V337" s="661"/>
      <c r="W337" s="661"/>
      <c r="X337" s="661"/>
      <c r="Y337" s="661"/>
      <c r="Z337" s="661"/>
      <c r="AA337" s="661"/>
      <c r="AB337" s="661"/>
      <c r="AC337" s="661"/>
      <c r="AD337" s="661"/>
      <c r="AE337" s="661"/>
      <c r="AF337" s="661"/>
      <c r="AG337" s="661"/>
      <c r="AH337" s="661"/>
      <c r="AI337" s="661"/>
      <c r="AJ337" s="661"/>
      <c r="AK337" s="661"/>
      <c r="AL337" s="661"/>
      <c r="AM337" s="221"/>
      <c r="AN337" s="221"/>
      <c r="AO337" s="221"/>
      <c r="AP337" s="661"/>
      <c r="AQ337" s="661"/>
      <c r="AR337" s="661"/>
      <c r="AS337" s="661"/>
      <c r="AT337" s="661"/>
      <c r="AU337" s="661"/>
      <c r="AV337" s="661"/>
      <c r="AW337" s="661"/>
      <c r="AX337" s="661"/>
      <c r="AY337" s="443"/>
      <c r="AZ337" s="443"/>
      <c r="BA337" s="443"/>
      <c r="BB337" s="443"/>
      <c r="BC337" s="443"/>
      <c r="BD337" s="443"/>
      <c r="BE337" s="443"/>
      <c r="BF337" s="443"/>
      <c r="BG337" s="443"/>
      <c r="BH337" s="443"/>
      <c r="BI337" s="533"/>
      <c r="BJ337" s="533"/>
      <c r="BK337" s="533"/>
      <c r="BL337" s="682"/>
      <c r="BM337" s="402"/>
      <c r="BN337" s="402"/>
      <c r="BO337" s="402"/>
      <c r="BP337" s="402"/>
      <c r="BQ337" s="402"/>
      <c r="BR337" s="402"/>
      <c r="BS337" s="402"/>
      <c r="BT337" s="402"/>
      <c r="BU337" s="402"/>
      <c r="BV337" s="402"/>
      <c r="BW337" s="402"/>
      <c r="BX337" s="402"/>
      <c r="BY337" s="402"/>
      <c r="BZ337" s="402"/>
      <c r="CA337" s="402"/>
      <c r="CB337" s="402"/>
      <c r="CC337" s="402"/>
      <c r="CD337" s="402"/>
      <c r="CE337" s="402"/>
      <c r="CF337" s="402"/>
      <c r="CG337" s="402"/>
      <c r="CH337" s="402"/>
      <c r="CI337" s="402"/>
      <c r="CJ337" s="402"/>
    </row>
    <row r="338" spans="1:88" s="182" customFormat="1">
      <c r="A338" s="183"/>
      <c r="B338" s="183"/>
      <c r="C338" s="183"/>
      <c r="D338" s="183"/>
      <c r="E338" s="661"/>
      <c r="F338" s="661"/>
      <c r="G338" s="661"/>
      <c r="H338" s="661"/>
      <c r="I338" s="661"/>
      <c r="J338" s="661"/>
      <c r="K338" s="661"/>
      <c r="L338" s="661"/>
      <c r="M338" s="661"/>
      <c r="N338" s="661"/>
      <c r="O338" s="661"/>
      <c r="P338" s="661"/>
      <c r="Q338" s="661"/>
      <c r="R338" s="661"/>
      <c r="S338" s="661"/>
      <c r="T338" s="661"/>
      <c r="U338" s="661"/>
      <c r="V338" s="661"/>
      <c r="W338" s="661"/>
      <c r="X338" s="661"/>
      <c r="Y338" s="661"/>
      <c r="Z338" s="661"/>
      <c r="AA338" s="661"/>
      <c r="AB338" s="661"/>
      <c r="AC338" s="661"/>
      <c r="AD338" s="661"/>
      <c r="AE338" s="661"/>
      <c r="AF338" s="661"/>
      <c r="AG338" s="661"/>
      <c r="AH338" s="661"/>
      <c r="AI338" s="661"/>
      <c r="AJ338" s="661"/>
      <c r="AK338" s="661"/>
      <c r="AL338" s="661"/>
      <c r="AM338" s="221"/>
      <c r="AN338" s="221"/>
      <c r="AO338" s="221"/>
      <c r="AP338" s="661"/>
      <c r="AQ338" s="661"/>
      <c r="AR338" s="661"/>
      <c r="AS338" s="661"/>
      <c r="AT338" s="661"/>
      <c r="AU338" s="661"/>
      <c r="AV338" s="661"/>
      <c r="AW338" s="661"/>
      <c r="AX338" s="661"/>
      <c r="AY338" s="443"/>
      <c r="AZ338" s="443"/>
      <c r="BA338" s="443"/>
      <c r="BB338" s="443"/>
      <c r="BC338" s="443"/>
      <c r="BD338" s="443"/>
      <c r="BE338" s="443"/>
      <c r="BF338" s="443"/>
      <c r="BG338" s="443"/>
      <c r="BH338" s="443"/>
      <c r="BI338" s="533"/>
      <c r="BJ338" s="533"/>
      <c r="BK338" s="533"/>
      <c r="BL338" s="682"/>
      <c r="BM338" s="402"/>
      <c r="BN338" s="402"/>
      <c r="BO338" s="402"/>
      <c r="BP338" s="402"/>
      <c r="BQ338" s="402"/>
      <c r="BR338" s="402"/>
      <c r="BS338" s="402"/>
      <c r="BT338" s="402"/>
      <c r="BU338" s="402"/>
      <c r="BV338" s="402"/>
      <c r="BW338" s="402"/>
      <c r="BX338" s="402"/>
      <c r="BY338" s="402"/>
      <c r="BZ338" s="402"/>
      <c r="CA338" s="402"/>
      <c r="CB338" s="402"/>
      <c r="CC338" s="402"/>
      <c r="CD338" s="402"/>
      <c r="CE338" s="402"/>
      <c r="CF338" s="402"/>
      <c r="CG338" s="402"/>
      <c r="CH338" s="402"/>
      <c r="CI338" s="402"/>
      <c r="CJ338" s="402"/>
    </row>
    <row r="339" spans="1:88" s="182" customFormat="1">
      <c r="A339" s="183"/>
      <c r="B339" s="183"/>
      <c r="C339" s="183"/>
      <c r="D339" s="183"/>
      <c r="E339" s="661"/>
      <c r="F339" s="661"/>
      <c r="G339" s="661"/>
      <c r="H339" s="661"/>
      <c r="I339" s="661"/>
      <c r="J339" s="661"/>
      <c r="K339" s="661"/>
      <c r="L339" s="661"/>
      <c r="M339" s="661"/>
      <c r="N339" s="661"/>
      <c r="O339" s="661"/>
      <c r="P339" s="661"/>
      <c r="Q339" s="661"/>
      <c r="R339" s="661"/>
      <c r="S339" s="661"/>
      <c r="T339" s="661"/>
      <c r="U339" s="661"/>
      <c r="V339" s="661"/>
      <c r="W339" s="661"/>
      <c r="X339" s="661"/>
      <c r="Y339" s="661"/>
      <c r="Z339" s="661"/>
      <c r="AA339" s="661"/>
      <c r="AB339" s="661"/>
      <c r="AC339" s="661"/>
      <c r="AD339" s="661"/>
      <c r="AE339" s="661"/>
      <c r="AF339" s="661"/>
      <c r="AG339" s="661"/>
      <c r="AH339" s="661"/>
      <c r="AI339" s="661"/>
      <c r="AJ339" s="661"/>
      <c r="AK339" s="661"/>
      <c r="AL339" s="661"/>
      <c r="AM339" s="221"/>
      <c r="AN339" s="221"/>
      <c r="AO339" s="221"/>
      <c r="AP339" s="661"/>
      <c r="AQ339" s="661"/>
      <c r="AR339" s="661"/>
      <c r="AS339" s="661"/>
      <c r="AT339" s="661"/>
      <c r="AU339" s="661"/>
      <c r="AV339" s="661"/>
      <c r="AW339" s="661"/>
      <c r="AX339" s="661"/>
      <c r="AY339" s="443"/>
      <c r="AZ339" s="443"/>
      <c r="BA339" s="443"/>
      <c r="BB339" s="443"/>
      <c r="BC339" s="443"/>
      <c r="BD339" s="443"/>
      <c r="BE339" s="443"/>
      <c r="BF339" s="443"/>
      <c r="BG339" s="443"/>
      <c r="BH339" s="443"/>
      <c r="BI339" s="533"/>
      <c r="BJ339" s="533"/>
      <c r="BK339" s="533"/>
      <c r="BL339" s="682"/>
      <c r="BM339" s="402"/>
      <c r="BN339" s="402"/>
      <c r="BO339" s="402"/>
      <c r="BP339" s="402"/>
      <c r="BQ339" s="402"/>
      <c r="BR339" s="402"/>
      <c r="BS339" s="402"/>
      <c r="BT339" s="402"/>
      <c r="BU339" s="402"/>
      <c r="BV339" s="402"/>
      <c r="BW339" s="402"/>
      <c r="BX339" s="402"/>
      <c r="BY339" s="402"/>
      <c r="BZ339" s="402"/>
      <c r="CA339" s="402"/>
      <c r="CB339" s="402"/>
      <c r="CC339" s="402"/>
      <c r="CD339" s="402"/>
      <c r="CE339" s="402"/>
      <c r="CF339" s="402"/>
      <c r="CG339" s="402"/>
      <c r="CH339" s="402"/>
      <c r="CI339" s="402"/>
      <c r="CJ339" s="402"/>
    </row>
    <row r="340" spans="1:88" s="182" customFormat="1">
      <c r="A340" s="183"/>
      <c r="B340" s="183"/>
      <c r="C340" s="183"/>
      <c r="D340" s="183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61"/>
      <c r="AB340" s="661"/>
      <c r="AC340" s="661"/>
      <c r="AD340" s="661"/>
      <c r="AE340" s="661"/>
      <c r="AF340" s="661"/>
      <c r="AG340" s="661"/>
      <c r="AH340" s="661"/>
      <c r="AI340" s="661"/>
      <c r="AJ340" s="661"/>
      <c r="AK340" s="661"/>
      <c r="AL340" s="661"/>
      <c r="AM340" s="221"/>
      <c r="AN340" s="221"/>
      <c r="AO340" s="221"/>
      <c r="AP340" s="661"/>
      <c r="AQ340" s="661"/>
      <c r="AR340" s="661"/>
      <c r="AS340" s="661"/>
      <c r="AT340" s="661"/>
      <c r="AU340" s="661"/>
      <c r="AV340" s="661"/>
      <c r="AW340" s="661"/>
      <c r="AX340" s="661"/>
      <c r="AY340" s="443"/>
      <c r="AZ340" s="443"/>
      <c r="BA340" s="443"/>
      <c r="BB340" s="443"/>
      <c r="BC340" s="443"/>
      <c r="BD340" s="443"/>
      <c r="BE340" s="443"/>
      <c r="BF340" s="443"/>
      <c r="BG340" s="443"/>
      <c r="BH340" s="443"/>
      <c r="BI340" s="533"/>
      <c r="BJ340" s="533"/>
      <c r="BK340" s="533"/>
      <c r="BL340" s="682"/>
      <c r="BM340" s="402"/>
      <c r="BN340" s="402"/>
      <c r="BO340" s="402"/>
      <c r="BP340" s="402"/>
      <c r="BQ340" s="402"/>
      <c r="BR340" s="402"/>
      <c r="BS340" s="402"/>
      <c r="BT340" s="402"/>
      <c r="BU340" s="402"/>
      <c r="BV340" s="402"/>
      <c r="BW340" s="402"/>
      <c r="BX340" s="402"/>
      <c r="BY340" s="402"/>
      <c r="BZ340" s="402"/>
      <c r="CA340" s="402"/>
      <c r="CB340" s="402"/>
      <c r="CC340" s="402"/>
      <c r="CD340" s="402"/>
      <c r="CE340" s="402"/>
      <c r="CF340" s="402"/>
      <c r="CG340" s="402"/>
      <c r="CH340" s="402"/>
      <c r="CI340" s="402"/>
      <c r="CJ340" s="402"/>
    </row>
    <row r="341" spans="1:88" s="182" customFormat="1">
      <c r="A341" s="183"/>
      <c r="B341" s="183"/>
      <c r="C341" s="183"/>
      <c r="D341" s="183"/>
      <c r="E341" s="661"/>
      <c r="F341" s="661"/>
      <c r="G341" s="661"/>
      <c r="H341" s="661"/>
      <c r="I341" s="661"/>
      <c r="J341" s="661"/>
      <c r="K341" s="661"/>
      <c r="L341" s="661"/>
      <c r="M341" s="661"/>
      <c r="N341" s="661"/>
      <c r="O341" s="661"/>
      <c r="P341" s="661"/>
      <c r="Q341" s="661"/>
      <c r="R341" s="661"/>
      <c r="S341" s="661"/>
      <c r="T341" s="661"/>
      <c r="U341" s="661"/>
      <c r="V341" s="661"/>
      <c r="W341" s="661"/>
      <c r="X341" s="661"/>
      <c r="Y341" s="661"/>
      <c r="Z341" s="661"/>
      <c r="AA341" s="661"/>
      <c r="AB341" s="661"/>
      <c r="AC341" s="661"/>
      <c r="AD341" s="661"/>
      <c r="AE341" s="661"/>
      <c r="AF341" s="661"/>
      <c r="AG341" s="661"/>
      <c r="AH341" s="661"/>
      <c r="AI341" s="661"/>
      <c r="AJ341" s="661"/>
      <c r="AK341" s="661"/>
      <c r="AL341" s="661"/>
      <c r="AM341" s="221"/>
      <c r="AN341" s="221"/>
      <c r="AO341" s="221"/>
      <c r="AP341" s="661"/>
      <c r="AQ341" s="661"/>
      <c r="AR341" s="661"/>
      <c r="AS341" s="661"/>
      <c r="AT341" s="661"/>
      <c r="AU341" s="661"/>
      <c r="AV341" s="661"/>
      <c r="AW341" s="661"/>
      <c r="AX341" s="661"/>
      <c r="AY341" s="443"/>
      <c r="AZ341" s="443"/>
      <c r="BA341" s="443"/>
      <c r="BB341" s="443"/>
      <c r="BC341" s="443"/>
      <c r="BD341" s="443"/>
      <c r="BE341" s="443"/>
      <c r="BF341" s="443"/>
      <c r="BG341" s="443"/>
      <c r="BH341" s="443"/>
      <c r="BI341" s="533"/>
      <c r="BJ341" s="533"/>
      <c r="BK341" s="533"/>
      <c r="BL341" s="682"/>
      <c r="BM341" s="402"/>
      <c r="BN341" s="402"/>
      <c r="BO341" s="402"/>
      <c r="BP341" s="402"/>
      <c r="BQ341" s="402"/>
      <c r="BR341" s="402"/>
      <c r="BS341" s="402"/>
      <c r="BT341" s="402"/>
      <c r="BU341" s="402"/>
      <c r="BV341" s="402"/>
      <c r="BW341" s="402"/>
      <c r="BX341" s="402"/>
      <c r="BY341" s="402"/>
      <c r="BZ341" s="402"/>
      <c r="CA341" s="402"/>
      <c r="CB341" s="402"/>
      <c r="CC341" s="402"/>
      <c r="CD341" s="402"/>
      <c r="CE341" s="402"/>
      <c r="CF341" s="402"/>
      <c r="CG341" s="402"/>
      <c r="CH341" s="402"/>
      <c r="CI341" s="402"/>
      <c r="CJ341" s="402"/>
    </row>
    <row r="342" spans="1:88" s="182" customFormat="1">
      <c r="A342" s="183"/>
      <c r="B342" s="183"/>
      <c r="C342" s="183"/>
      <c r="D342" s="183"/>
      <c r="E342" s="661"/>
      <c r="F342" s="661"/>
      <c r="G342" s="661"/>
      <c r="H342" s="661"/>
      <c r="I342" s="661"/>
      <c r="J342" s="661"/>
      <c r="K342" s="661"/>
      <c r="L342" s="661"/>
      <c r="M342" s="661"/>
      <c r="N342" s="661"/>
      <c r="O342" s="661"/>
      <c r="P342" s="661"/>
      <c r="Q342" s="661"/>
      <c r="R342" s="661"/>
      <c r="S342" s="661"/>
      <c r="T342" s="661"/>
      <c r="U342" s="661"/>
      <c r="V342" s="661"/>
      <c r="W342" s="661"/>
      <c r="X342" s="661"/>
      <c r="Y342" s="661"/>
      <c r="Z342" s="661"/>
      <c r="AA342" s="661"/>
      <c r="AB342" s="661"/>
      <c r="AC342" s="661"/>
      <c r="AD342" s="661"/>
      <c r="AE342" s="661"/>
      <c r="AF342" s="661"/>
      <c r="AG342" s="661"/>
      <c r="AH342" s="661"/>
      <c r="AI342" s="661"/>
      <c r="AJ342" s="661"/>
      <c r="AK342" s="661"/>
      <c r="AL342" s="661"/>
      <c r="AM342" s="221"/>
      <c r="AN342" s="221"/>
      <c r="AO342" s="221"/>
      <c r="AP342" s="661"/>
      <c r="AQ342" s="661"/>
      <c r="AR342" s="661"/>
      <c r="AS342" s="661"/>
      <c r="AT342" s="661"/>
      <c r="AU342" s="661"/>
      <c r="AV342" s="661"/>
      <c r="AW342" s="661"/>
      <c r="AX342" s="661"/>
      <c r="AY342" s="443"/>
      <c r="AZ342" s="443"/>
      <c r="BA342" s="443"/>
      <c r="BB342" s="443"/>
      <c r="BC342" s="443"/>
      <c r="BD342" s="443"/>
      <c r="BE342" s="443"/>
      <c r="BF342" s="443"/>
      <c r="BG342" s="443"/>
      <c r="BH342" s="443"/>
      <c r="BI342" s="533"/>
      <c r="BJ342" s="533"/>
      <c r="BK342" s="533"/>
      <c r="BL342" s="682"/>
      <c r="BM342" s="402"/>
      <c r="BN342" s="402"/>
      <c r="BO342" s="402"/>
      <c r="BP342" s="402"/>
      <c r="BQ342" s="402"/>
      <c r="BR342" s="402"/>
      <c r="BS342" s="402"/>
      <c r="BT342" s="402"/>
      <c r="BU342" s="402"/>
      <c r="BV342" s="402"/>
      <c r="BW342" s="402"/>
      <c r="BX342" s="402"/>
      <c r="BY342" s="402"/>
      <c r="BZ342" s="402"/>
      <c r="CA342" s="402"/>
      <c r="CB342" s="402"/>
      <c r="CC342" s="402"/>
      <c r="CD342" s="402"/>
      <c r="CE342" s="402"/>
      <c r="CF342" s="402"/>
      <c r="CG342" s="402"/>
      <c r="CH342" s="402"/>
      <c r="CI342" s="402"/>
      <c r="CJ342" s="402"/>
    </row>
    <row r="343" spans="1:88" s="182" customFormat="1">
      <c r="A343" s="183"/>
      <c r="B343" s="183"/>
      <c r="C343" s="183"/>
      <c r="D343" s="183"/>
      <c r="E343" s="661"/>
      <c r="F343" s="661"/>
      <c r="G343" s="661"/>
      <c r="H343" s="661"/>
      <c r="I343" s="661"/>
      <c r="J343" s="661"/>
      <c r="K343" s="661"/>
      <c r="L343" s="661"/>
      <c r="M343" s="661"/>
      <c r="N343" s="661"/>
      <c r="O343" s="661"/>
      <c r="P343" s="661"/>
      <c r="Q343" s="661"/>
      <c r="R343" s="661"/>
      <c r="S343" s="661"/>
      <c r="T343" s="661"/>
      <c r="U343" s="661"/>
      <c r="V343" s="661"/>
      <c r="W343" s="661"/>
      <c r="X343" s="661"/>
      <c r="Y343" s="661"/>
      <c r="Z343" s="661"/>
      <c r="AA343" s="661"/>
      <c r="AB343" s="661"/>
      <c r="AC343" s="661"/>
      <c r="AD343" s="661"/>
      <c r="AE343" s="661"/>
      <c r="AF343" s="661"/>
      <c r="AG343" s="661"/>
      <c r="AH343" s="661"/>
      <c r="AI343" s="661"/>
      <c r="AJ343" s="661"/>
      <c r="AK343" s="661"/>
      <c r="AL343" s="661"/>
      <c r="AM343" s="221"/>
      <c r="AN343" s="221"/>
      <c r="AO343" s="221"/>
      <c r="AP343" s="661"/>
      <c r="AQ343" s="661"/>
      <c r="AR343" s="661"/>
      <c r="AS343" s="661"/>
      <c r="AT343" s="661"/>
      <c r="AU343" s="661"/>
      <c r="AV343" s="661"/>
      <c r="AW343" s="661"/>
      <c r="AX343" s="661"/>
      <c r="AY343" s="443"/>
      <c r="AZ343" s="443"/>
      <c r="BA343" s="443"/>
      <c r="BB343" s="443"/>
      <c r="BC343" s="443"/>
      <c r="BD343" s="443"/>
      <c r="BE343" s="443"/>
      <c r="BF343" s="443"/>
      <c r="BG343" s="443"/>
      <c r="BH343" s="443"/>
      <c r="BI343" s="533"/>
      <c r="BJ343" s="533"/>
      <c r="BK343" s="533"/>
      <c r="BL343" s="682"/>
      <c r="BM343" s="402"/>
      <c r="BN343" s="402"/>
      <c r="BO343" s="402"/>
      <c r="BP343" s="402"/>
      <c r="BQ343" s="402"/>
      <c r="BR343" s="402"/>
      <c r="BS343" s="402"/>
      <c r="BT343" s="402"/>
      <c r="BU343" s="402"/>
      <c r="BV343" s="402"/>
      <c r="BW343" s="402"/>
      <c r="BX343" s="402"/>
      <c r="BY343" s="402"/>
      <c r="BZ343" s="402"/>
      <c r="CA343" s="402"/>
      <c r="CB343" s="402"/>
      <c r="CC343" s="402"/>
      <c r="CD343" s="402"/>
      <c r="CE343" s="402"/>
      <c r="CF343" s="402"/>
      <c r="CG343" s="402"/>
      <c r="CH343" s="402"/>
      <c r="CI343" s="402"/>
      <c r="CJ343" s="402"/>
    </row>
    <row r="344" spans="1:88" s="182" customFormat="1">
      <c r="A344" s="183"/>
      <c r="B344" s="183"/>
      <c r="C344" s="183"/>
      <c r="D344" s="183"/>
      <c r="E344" s="661"/>
      <c r="F344" s="661"/>
      <c r="G344" s="661"/>
      <c r="H344" s="661"/>
      <c r="I344" s="661"/>
      <c r="J344" s="661"/>
      <c r="K344" s="661"/>
      <c r="L344" s="661"/>
      <c r="M344" s="661"/>
      <c r="N344" s="661"/>
      <c r="O344" s="661"/>
      <c r="P344" s="661"/>
      <c r="Q344" s="661"/>
      <c r="R344" s="661"/>
      <c r="S344" s="661"/>
      <c r="T344" s="661"/>
      <c r="U344" s="661"/>
      <c r="V344" s="661"/>
      <c r="W344" s="661"/>
      <c r="X344" s="661"/>
      <c r="Y344" s="661"/>
      <c r="Z344" s="661"/>
      <c r="AA344" s="661"/>
      <c r="AB344" s="661"/>
      <c r="AC344" s="661"/>
      <c r="AD344" s="661"/>
      <c r="AE344" s="661"/>
      <c r="AF344" s="661"/>
      <c r="AG344" s="661"/>
      <c r="AH344" s="661"/>
      <c r="AI344" s="661"/>
      <c r="AJ344" s="661"/>
      <c r="AK344" s="661"/>
      <c r="AL344" s="661"/>
      <c r="AM344" s="221"/>
      <c r="AN344" s="221"/>
      <c r="AO344" s="221"/>
      <c r="AP344" s="661"/>
      <c r="AQ344" s="661"/>
      <c r="AR344" s="661"/>
      <c r="AS344" s="661"/>
      <c r="AT344" s="661"/>
      <c r="AU344" s="661"/>
      <c r="AV344" s="661"/>
      <c r="AW344" s="661"/>
      <c r="AX344" s="661"/>
      <c r="AY344" s="443"/>
      <c r="AZ344" s="443"/>
      <c r="BA344" s="443"/>
      <c r="BB344" s="443"/>
      <c r="BC344" s="443"/>
      <c r="BD344" s="443"/>
      <c r="BE344" s="443"/>
      <c r="BF344" s="443"/>
      <c r="BG344" s="443"/>
      <c r="BH344" s="443"/>
      <c r="BI344" s="533"/>
      <c r="BJ344" s="533"/>
      <c r="BK344" s="533"/>
      <c r="BL344" s="682"/>
      <c r="BM344" s="402"/>
      <c r="BN344" s="402"/>
      <c r="BO344" s="402"/>
      <c r="BP344" s="402"/>
      <c r="BQ344" s="402"/>
      <c r="BR344" s="402"/>
      <c r="BS344" s="402"/>
      <c r="BT344" s="402"/>
      <c r="BU344" s="402"/>
      <c r="BV344" s="402"/>
      <c r="BW344" s="402"/>
      <c r="BX344" s="402"/>
      <c r="BY344" s="402"/>
      <c r="BZ344" s="402"/>
      <c r="CA344" s="402"/>
      <c r="CB344" s="402"/>
      <c r="CC344" s="402"/>
      <c r="CD344" s="402"/>
      <c r="CE344" s="402"/>
      <c r="CF344" s="402"/>
      <c r="CG344" s="402"/>
      <c r="CH344" s="402"/>
      <c r="CI344" s="402"/>
      <c r="CJ344" s="402"/>
    </row>
    <row r="345" spans="1:88" s="182" customFormat="1">
      <c r="A345" s="183"/>
      <c r="B345" s="183"/>
      <c r="C345" s="183"/>
      <c r="D345" s="183"/>
      <c r="E345" s="661"/>
      <c r="F345" s="661"/>
      <c r="G345" s="661"/>
      <c r="H345" s="661"/>
      <c r="I345" s="661"/>
      <c r="J345" s="661"/>
      <c r="K345" s="661"/>
      <c r="L345" s="661"/>
      <c r="M345" s="661"/>
      <c r="N345" s="661"/>
      <c r="O345" s="661"/>
      <c r="P345" s="661"/>
      <c r="Q345" s="661"/>
      <c r="R345" s="661"/>
      <c r="S345" s="661"/>
      <c r="T345" s="661"/>
      <c r="U345" s="661"/>
      <c r="V345" s="661"/>
      <c r="W345" s="661"/>
      <c r="X345" s="661"/>
      <c r="Y345" s="661"/>
      <c r="Z345" s="661"/>
      <c r="AA345" s="661"/>
      <c r="AB345" s="661"/>
      <c r="AC345" s="661"/>
      <c r="AD345" s="661"/>
      <c r="AE345" s="661"/>
      <c r="AF345" s="661"/>
      <c r="AG345" s="661"/>
      <c r="AH345" s="661"/>
      <c r="AI345" s="661"/>
      <c r="AJ345" s="661"/>
      <c r="AK345" s="661"/>
      <c r="AL345" s="661"/>
      <c r="AM345" s="221"/>
      <c r="AN345" s="221"/>
      <c r="AO345" s="221"/>
      <c r="AP345" s="661"/>
      <c r="AQ345" s="661"/>
      <c r="AR345" s="661"/>
      <c r="AS345" s="661"/>
      <c r="AT345" s="661"/>
      <c r="AU345" s="661"/>
      <c r="AV345" s="661"/>
      <c r="AW345" s="661"/>
      <c r="AX345" s="661"/>
      <c r="AY345" s="443"/>
      <c r="AZ345" s="443"/>
      <c r="BA345" s="443"/>
      <c r="BB345" s="443"/>
      <c r="BC345" s="443"/>
      <c r="BD345" s="443"/>
      <c r="BE345" s="443"/>
      <c r="BF345" s="443"/>
      <c r="BG345" s="443"/>
      <c r="BH345" s="443"/>
      <c r="BI345" s="533"/>
      <c r="BJ345" s="533"/>
      <c r="BK345" s="533"/>
      <c r="BL345" s="682"/>
      <c r="BM345" s="402"/>
      <c r="BN345" s="402"/>
      <c r="BO345" s="402"/>
      <c r="BP345" s="402"/>
      <c r="BQ345" s="402"/>
      <c r="BR345" s="402"/>
      <c r="BS345" s="402"/>
      <c r="BT345" s="402"/>
      <c r="BU345" s="402"/>
      <c r="BV345" s="402"/>
      <c r="BW345" s="402"/>
      <c r="BX345" s="402"/>
      <c r="BY345" s="402"/>
      <c r="BZ345" s="402"/>
      <c r="CA345" s="402"/>
      <c r="CB345" s="402"/>
      <c r="CC345" s="402"/>
      <c r="CD345" s="402"/>
      <c r="CE345" s="402"/>
      <c r="CF345" s="402"/>
      <c r="CG345" s="402"/>
      <c r="CH345" s="402"/>
      <c r="CI345" s="402"/>
      <c r="CJ345" s="402"/>
    </row>
    <row r="346" spans="1:88" s="182" customFormat="1">
      <c r="A346" s="183"/>
      <c r="B346" s="183"/>
      <c r="C346" s="183"/>
      <c r="D346" s="183"/>
      <c r="E346" s="661"/>
      <c r="F346" s="661"/>
      <c r="G346" s="661"/>
      <c r="H346" s="661"/>
      <c r="I346" s="661"/>
      <c r="J346" s="661"/>
      <c r="K346" s="661"/>
      <c r="L346" s="661"/>
      <c r="M346" s="661"/>
      <c r="N346" s="661"/>
      <c r="O346" s="661"/>
      <c r="P346" s="661"/>
      <c r="Q346" s="661"/>
      <c r="R346" s="661"/>
      <c r="S346" s="661"/>
      <c r="T346" s="661"/>
      <c r="U346" s="661"/>
      <c r="V346" s="661"/>
      <c r="W346" s="661"/>
      <c r="X346" s="661"/>
      <c r="Y346" s="661"/>
      <c r="Z346" s="661"/>
      <c r="AA346" s="661"/>
      <c r="AB346" s="661"/>
      <c r="AC346" s="661"/>
      <c r="AD346" s="661"/>
      <c r="AE346" s="661"/>
      <c r="AF346" s="661"/>
      <c r="AG346" s="661"/>
      <c r="AH346" s="661"/>
      <c r="AI346" s="661"/>
      <c r="AJ346" s="661"/>
      <c r="AK346" s="661"/>
      <c r="AL346" s="661"/>
      <c r="AM346" s="221"/>
      <c r="AN346" s="221"/>
      <c r="AO346" s="221"/>
      <c r="AP346" s="661"/>
      <c r="AQ346" s="661"/>
      <c r="AR346" s="661"/>
      <c r="AS346" s="661"/>
      <c r="AT346" s="661"/>
      <c r="AU346" s="661"/>
      <c r="AV346" s="661"/>
      <c r="AW346" s="661"/>
      <c r="AX346" s="661"/>
      <c r="AY346" s="443"/>
      <c r="AZ346" s="443"/>
      <c r="BA346" s="443"/>
      <c r="BB346" s="443"/>
      <c r="BC346" s="443"/>
      <c r="BD346" s="443"/>
      <c r="BE346" s="443"/>
      <c r="BF346" s="443"/>
      <c r="BG346" s="443"/>
      <c r="BH346" s="443"/>
      <c r="BI346" s="533"/>
      <c r="BJ346" s="533"/>
      <c r="BK346" s="533"/>
      <c r="BL346" s="682"/>
      <c r="BM346" s="402"/>
      <c r="BN346" s="402"/>
      <c r="BO346" s="402"/>
      <c r="BP346" s="402"/>
      <c r="BQ346" s="402"/>
      <c r="BR346" s="402"/>
      <c r="BS346" s="402"/>
      <c r="BT346" s="402"/>
      <c r="BU346" s="402"/>
      <c r="BV346" s="402"/>
      <c r="BW346" s="402"/>
      <c r="BX346" s="402"/>
      <c r="BY346" s="402"/>
      <c r="BZ346" s="402"/>
      <c r="CA346" s="402"/>
      <c r="CB346" s="402"/>
      <c r="CC346" s="402"/>
      <c r="CD346" s="402"/>
      <c r="CE346" s="402"/>
      <c r="CF346" s="402"/>
      <c r="CG346" s="402"/>
      <c r="CH346" s="402"/>
      <c r="CI346" s="402"/>
      <c r="CJ346" s="402"/>
    </row>
    <row r="347" spans="1:88" s="182" customFormat="1">
      <c r="A347" s="183"/>
      <c r="B347" s="183"/>
      <c r="C347" s="183"/>
      <c r="D347" s="183"/>
      <c r="E347" s="661"/>
      <c r="F347" s="661"/>
      <c r="G347" s="661"/>
      <c r="H347" s="661"/>
      <c r="I347" s="661"/>
      <c r="J347" s="661"/>
      <c r="K347" s="661"/>
      <c r="L347" s="661"/>
      <c r="M347" s="661"/>
      <c r="N347" s="661"/>
      <c r="O347" s="661"/>
      <c r="P347" s="661"/>
      <c r="Q347" s="661"/>
      <c r="R347" s="661"/>
      <c r="S347" s="661"/>
      <c r="T347" s="661"/>
      <c r="U347" s="661"/>
      <c r="V347" s="661"/>
      <c r="W347" s="661"/>
      <c r="X347" s="661"/>
      <c r="Y347" s="661"/>
      <c r="Z347" s="661"/>
      <c r="AA347" s="661"/>
      <c r="AB347" s="661"/>
      <c r="AC347" s="661"/>
      <c r="AD347" s="661"/>
      <c r="AE347" s="661"/>
      <c r="AF347" s="661"/>
      <c r="AG347" s="661"/>
      <c r="AH347" s="661"/>
      <c r="AI347" s="661"/>
      <c r="AJ347" s="661"/>
      <c r="AK347" s="661"/>
      <c r="AL347" s="661"/>
      <c r="AM347" s="221"/>
      <c r="AN347" s="221"/>
      <c r="AO347" s="221"/>
      <c r="AP347" s="661"/>
      <c r="AQ347" s="661"/>
      <c r="AR347" s="661"/>
      <c r="AS347" s="661"/>
      <c r="AT347" s="661"/>
      <c r="AU347" s="661"/>
      <c r="AV347" s="661"/>
      <c r="AW347" s="661"/>
      <c r="AX347" s="661"/>
      <c r="AY347" s="443"/>
      <c r="AZ347" s="443"/>
      <c r="BA347" s="443"/>
      <c r="BB347" s="443"/>
      <c r="BC347" s="443"/>
      <c r="BD347" s="443"/>
      <c r="BE347" s="443"/>
      <c r="BF347" s="443"/>
      <c r="BG347" s="443"/>
      <c r="BH347" s="443"/>
      <c r="BI347" s="533"/>
      <c r="BJ347" s="533"/>
      <c r="BK347" s="533"/>
      <c r="BL347" s="682"/>
      <c r="BM347" s="402"/>
      <c r="BN347" s="402"/>
      <c r="BO347" s="402"/>
      <c r="BP347" s="402"/>
      <c r="BQ347" s="402"/>
      <c r="BR347" s="402"/>
      <c r="BS347" s="402"/>
      <c r="BT347" s="402"/>
      <c r="BU347" s="402"/>
      <c r="BV347" s="402"/>
      <c r="BW347" s="402"/>
      <c r="BX347" s="402"/>
      <c r="BY347" s="402"/>
      <c r="BZ347" s="402"/>
      <c r="CA347" s="402"/>
      <c r="CB347" s="402"/>
      <c r="CC347" s="402"/>
      <c r="CD347" s="402"/>
      <c r="CE347" s="402"/>
      <c r="CF347" s="402"/>
      <c r="CG347" s="402"/>
      <c r="CH347" s="402"/>
      <c r="CI347" s="402"/>
      <c r="CJ347" s="402"/>
    </row>
    <row r="348" spans="1:88" s="182" customFormat="1">
      <c r="A348" s="183"/>
      <c r="B348" s="183"/>
      <c r="C348" s="183"/>
      <c r="D348" s="183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61"/>
      <c r="AB348" s="661"/>
      <c r="AC348" s="661"/>
      <c r="AD348" s="661"/>
      <c r="AE348" s="661"/>
      <c r="AF348" s="661"/>
      <c r="AG348" s="661"/>
      <c r="AH348" s="661"/>
      <c r="AI348" s="661"/>
      <c r="AJ348" s="661"/>
      <c r="AK348" s="661"/>
      <c r="AL348" s="661"/>
      <c r="AM348" s="221"/>
      <c r="AN348" s="221"/>
      <c r="AO348" s="221"/>
      <c r="AP348" s="661"/>
      <c r="AQ348" s="661"/>
      <c r="AR348" s="661"/>
      <c r="AS348" s="661"/>
      <c r="AT348" s="661"/>
      <c r="AU348" s="661"/>
      <c r="AV348" s="661"/>
      <c r="AW348" s="661"/>
      <c r="AX348" s="661"/>
      <c r="AY348" s="443"/>
      <c r="AZ348" s="443"/>
      <c r="BA348" s="443"/>
      <c r="BB348" s="443"/>
      <c r="BC348" s="443"/>
      <c r="BD348" s="443"/>
      <c r="BE348" s="443"/>
      <c r="BF348" s="443"/>
      <c r="BG348" s="443"/>
      <c r="BH348" s="443"/>
      <c r="BI348" s="533"/>
      <c r="BJ348" s="533"/>
      <c r="BK348" s="533"/>
      <c r="BL348" s="682"/>
      <c r="BM348" s="402"/>
      <c r="BN348" s="402"/>
      <c r="BO348" s="402"/>
      <c r="BP348" s="402"/>
      <c r="BQ348" s="402"/>
      <c r="BR348" s="402"/>
      <c r="BS348" s="402"/>
      <c r="BT348" s="402"/>
      <c r="BU348" s="402"/>
      <c r="BV348" s="402"/>
      <c r="BW348" s="402"/>
      <c r="BX348" s="402"/>
      <c r="BY348" s="402"/>
      <c r="BZ348" s="402"/>
      <c r="CA348" s="402"/>
      <c r="CB348" s="402"/>
      <c r="CC348" s="402"/>
      <c r="CD348" s="402"/>
      <c r="CE348" s="402"/>
      <c r="CF348" s="402"/>
      <c r="CG348" s="402"/>
      <c r="CH348" s="402"/>
      <c r="CI348" s="402"/>
      <c r="CJ348" s="402"/>
    </row>
    <row r="349" spans="1:88" s="182" customFormat="1">
      <c r="A349" s="183"/>
      <c r="B349" s="183"/>
      <c r="C349" s="183"/>
      <c r="D349" s="183"/>
      <c r="E349" s="661"/>
      <c r="F349" s="661"/>
      <c r="G349" s="661"/>
      <c r="H349" s="661"/>
      <c r="I349" s="661"/>
      <c r="J349" s="661"/>
      <c r="K349" s="661"/>
      <c r="L349" s="661"/>
      <c r="M349" s="661"/>
      <c r="N349" s="661"/>
      <c r="O349" s="661"/>
      <c r="P349" s="661"/>
      <c r="Q349" s="661"/>
      <c r="R349" s="661"/>
      <c r="S349" s="661"/>
      <c r="T349" s="661"/>
      <c r="U349" s="661"/>
      <c r="V349" s="661"/>
      <c r="W349" s="661"/>
      <c r="X349" s="661"/>
      <c r="Y349" s="661"/>
      <c r="Z349" s="661"/>
      <c r="AA349" s="661"/>
      <c r="AB349" s="661"/>
      <c r="AC349" s="661"/>
      <c r="AD349" s="661"/>
      <c r="AE349" s="661"/>
      <c r="AF349" s="661"/>
      <c r="AG349" s="661"/>
      <c r="AH349" s="661"/>
      <c r="AI349" s="661"/>
      <c r="AJ349" s="661"/>
      <c r="AK349" s="661"/>
      <c r="AL349" s="661"/>
      <c r="AM349" s="221"/>
      <c r="AN349" s="221"/>
      <c r="AO349" s="221"/>
      <c r="AP349" s="661"/>
      <c r="AQ349" s="661"/>
      <c r="AR349" s="661"/>
      <c r="AS349" s="661"/>
      <c r="AT349" s="661"/>
      <c r="AU349" s="661"/>
      <c r="AV349" s="661"/>
      <c r="AW349" s="661"/>
      <c r="AX349" s="661"/>
      <c r="AY349" s="443"/>
      <c r="AZ349" s="443"/>
      <c r="BA349" s="443"/>
      <c r="BB349" s="443"/>
      <c r="BC349" s="443"/>
      <c r="BD349" s="443"/>
      <c r="BE349" s="443"/>
      <c r="BF349" s="443"/>
      <c r="BG349" s="443"/>
      <c r="BH349" s="443"/>
      <c r="BI349" s="533"/>
      <c r="BJ349" s="533"/>
      <c r="BK349" s="533"/>
      <c r="BL349" s="682"/>
      <c r="BM349" s="402"/>
      <c r="BN349" s="402"/>
      <c r="BO349" s="402"/>
      <c r="BP349" s="402"/>
      <c r="BQ349" s="402"/>
      <c r="BR349" s="402"/>
      <c r="BS349" s="402"/>
      <c r="BT349" s="402"/>
      <c r="BU349" s="402"/>
      <c r="BV349" s="402"/>
      <c r="BW349" s="402"/>
      <c r="BX349" s="402"/>
      <c r="BY349" s="402"/>
      <c r="BZ349" s="402"/>
      <c r="CA349" s="402"/>
      <c r="CB349" s="402"/>
      <c r="CC349" s="402"/>
      <c r="CD349" s="402"/>
      <c r="CE349" s="402"/>
      <c r="CF349" s="402"/>
      <c r="CG349" s="402"/>
      <c r="CH349" s="402"/>
      <c r="CI349" s="402"/>
      <c r="CJ349" s="402"/>
    </row>
    <row r="350" spans="1:88" s="182" customFormat="1">
      <c r="A350" s="183"/>
      <c r="B350" s="183"/>
      <c r="C350" s="183"/>
      <c r="D350" s="183"/>
      <c r="E350" s="661"/>
      <c r="F350" s="661"/>
      <c r="G350" s="661"/>
      <c r="H350" s="661"/>
      <c r="I350" s="661"/>
      <c r="J350" s="661"/>
      <c r="K350" s="661"/>
      <c r="L350" s="661"/>
      <c r="M350" s="661"/>
      <c r="N350" s="661"/>
      <c r="O350" s="661"/>
      <c r="P350" s="661"/>
      <c r="Q350" s="661"/>
      <c r="R350" s="661"/>
      <c r="S350" s="661"/>
      <c r="T350" s="661"/>
      <c r="U350" s="661"/>
      <c r="V350" s="661"/>
      <c r="W350" s="661"/>
      <c r="X350" s="661"/>
      <c r="Y350" s="661"/>
      <c r="Z350" s="661"/>
      <c r="AA350" s="661"/>
      <c r="AB350" s="661"/>
      <c r="AC350" s="661"/>
      <c r="AD350" s="661"/>
      <c r="AE350" s="661"/>
      <c r="AF350" s="661"/>
      <c r="AG350" s="661"/>
      <c r="AH350" s="661"/>
      <c r="AI350" s="661"/>
      <c r="AJ350" s="661"/>
      <c r="AK350" s="661"/>
      <c r="AL350" s="661"/>
      <c r="AM350" s="221"/>
      <c r="AN350" s="221"/>
      <c r="AO350" s="221"/>
      <c r="AP350" s="661"/>
      <c r="AQ350" s="661"/>
      <c r="AR350" s="661"/>
      <c r="AS350" s="661"/>
      <c r="AT350" s="661"/>
      <c r="AU350" s="661"/>
      <c r="AV350" s="661"/>
      <c r="AW350" s="661"/>
      <c r="AX350" s="661"/>
      <c r="AY350" s="443"/>
      <c r="AZ350" s="443"/>
      <c r="BA350" s="443"/>
      <c r="BB350" s="443"/>
      <c r="BC350" s="443"/>
      <c r="BD350" s="443"/>
      <c r="BE350" s="443"/>
      <c r="BF350" s="443"/>
      <c r="BG350" s="443"/>
      <c r="BH350" s="443"/>
      <c r="BI350" s="533"/>
      <c r="BJ350" s="533"/>
      <c r="BK350" s="533"/>
      <c r="BL350" s="682"/>
      <c r="BM350" s="402"/>
      <c r="BN350" s="402"/>
      <c r="BO350" s="402"/>
      <c r="BP350" s="402"/>
      <c r="BQ350" s="402"/>
      <c r="BR350" s="402"/>
      <c r="BS350" s="402"/>
      <c r="BT350" s="402"/>
      <c r="BU350" s="402"/>
      <c r="BV350" s="402"/>
      <c r="BW350" s="402"/>
      <c r="BX350" s="402"/>
      <c r="BY350" s="402"/>
      <c r="BZ350" s="402"/>
      <c r="CA350" s="402"/>
      <c r="CB350" s="402"/>
      <c r="CC350" s="402"/>
      <c r="CD350" s="402"/>
      <c r="CE350" s="402"/>
      <c r="CF350" s="402"/>
      <c r="CG350" s="402"/>
      <c r="CH350" s="402"/>
      <c r="CI350" s="402"/>
      <c r="CJ350" s="402"/>
    </row>
    <row r="351" spans="1:88" s="182" customFormat="1">
      <c r="A351" s="183"/>
      <c r="B351" s="183"/>
      <c r="C351" s="183"/>
      <c r="D351" s="183"/>
      <c r="E351" s="661"/>
      <c r="F351" s="661"/>
      <c r="G351" s="661"/>
      <c r="H351" s="661"/>
      <c r="I351" s="661"/>
      <c r="J351" s="661"/>
      <c r="K351" s="661"/>
      <c r="L351" s="661"/>
      <c r="M351" s="661"/>
      <c r="N351" s="661"/>
      <c r="O351" s="661"/>
      <c r="P351" s="661"/>
      <c r="Q351" s="661"/>
      <c r="R351" s="661"/>
      <c r="S351" s="661"/>
      <c r="T351" s="661"/>
      <c r="U351" s="661"/>
      <c r="V351" s="661"/>
      <c r="W351" s="661"/>
      <c r="X351" s="661"/>
      <c r="Y351" s="661"/>
      <c r="Z351" s="661"/>
      <c r="AA351" s="661"/>
      <c r="AB351" s="661"/>
      <c r="AC351" s="661"/>
      <c r="AD351" s="661"/>
      <c r="AE351" s="661"/>
      <c r="AF351" s="661"/>
      <c r="AG351" s="661"/>
      <c r="AH351" s="661"/>
      <c r="AI351" s="661"/>
      <c r="AJ351" s="661"/>
      <c r="AK351" s="661"/>
      <c r="AL351" s="661"/>
      <c r="AM351" s="221"/>
      <c r="AN351" s="221"/>
      <c r="AO351" s="221"/>
      <c r="AP351" s="661"/>
      <c r="AQ351" s="661"/>
      <c r="AR351" s="661"/>
      <c r="AS351" s="661"/>
      <c r="AT351" s="661"/>
      <c r="AU351" s="661"/>
      <c r="AV351" s="661"/>
      <c r="AW351" s="661"/>
      <c r="AX351" s="661"/>
      <c r="AY351" s="443"/>
      <c r="AZ351" s="443"/>
      <c r="BA351" s="443"/>
      <c r="BB351" s="443"/>
      <c r="BC351" s="443"/>
      <c r="BD351" s="443"/>
      <c r="BE351" s="443"/>
      <c r="BF351" s="443"/>
      <c r="BG351" s="443"/>
      <c r="BH351" s="443"/>
      <c r="BI351" s="533"/>
      <c r="BJ351" s="533"/>
      <c r="BK351" s="533"/>
      <c r="BL351" s="682"/>
      <c r="BM351" s="402"/>
      <c r="BN351" s="402"/>
      <c r="BO351" s="402"/>
      <c r="BP351" s="402"/>
      <c r="BQ351" s="402"/>
      <c r="BR351" s="402"/>
      <c r="BS351" s="402"/>
      <c r="BT351" s="402"/>
      <c r="BU351" s="402"/>
      <c r="BV351" s="402"/>
      <c r="BW351" s="402"/>
      <c r="BX351" s="402"/>
      <c r="BY351" s="402"/>
      <c r="BZ351" s="402"/>
      <c r="CA351" s="402"/>
      <c r="CB351" s="402"/>
      <c r="CC351" s="402"/>
      <c r="CD351" s="402"/>
      <c r="CE351" s="402"/>
      <c r="CF351" s="402"/>
      <c r="CG351" s="402"/>
      <c r="CH351" s="402"/>
      <c r="CI351" s="402"/>
      <c r="CJ351" s="402"/>
    </row>
    <row r="352" spans="1:88" s="182" customFormat="1">
      <c r="A352" s="183"/>
      <c r="B352" s="183"/>
      <c r="C352" s="183"/>
      <c r="D352" s="183"/>
      <c r="E352" s="661"/>
      <c r="F352" s="661"/>
      <c r="G352" s="661"/>
      <c r="H352" s="661"/>
      <c r="I352" s="661"/>
      <c r="J352" s="661"/>
      <c r="K352" s="661"/>
      <c r="L352" s="661"/>
      <c r="M352" s="661"/>
      <c r="N352" s="661"/>
      <c r="O352" s="661"/>
      <c r="P352" s="661"/>
      <c r="Q352" s="661"/>
      <c r="R352" s="661"/>
      <c r="S352" s="661"/>
      <c r="T352" s="661"/>
      <c r="U352" s="661"/>
      <c r="V352" s="661"/>
      <c r="W352" s="661"/>
      <c r="X352" s="661"/>
      <c r="Y352" s="661"/>
      <c r="Z352" s="661"/>
      <c r="AA352" s="661"/>
      <c r="AB352" s="661"/>
      <c r="AC352" s="661"/>
      <c r="AD352" s="661"/>
      <c r="AE352" s="661"/>
      <c r="AF352" s="661"/>
      <c r="AG352" s="661"/>
      <c r="AH352" s="661"/>
      <c r="AI352" s="661"/>
      <c r="AJ352" s="661"/>
      <c r="AK352" s="661"/>
      <c r="AL352" s="661"/>
      <c r="AM352" s="221"/>
      <c r="AN352" s="221"/>
      <c r="AO352" s="221"/>
      <c r="AP352" s="661"/>
      <c r="AQ352" s="661"/>
      <c r="AR352" s="661"/>
      <c r="AS352" s="661"/>
      <c r="AT352" s="661"/>
      <c r="AU352" s="661"/>
      <c r="AV352" s="661"/>
      <c r="AW352" s="661"/>
      <c r="AX352" s="661"/>
      <c r="AY352" s="443"/>
      <c r="AZ352" s="443"/>
      <c r="BA352" s="443"/>
      <c r="BB352" s="443"/>
      <c r="BC352" s="443"/>
      <c r="BD352" s="443"/>
      <c r="BE352" s="443"/>
      <c r="BF352" s="443"/>
      <c r="BG352" s="443"/>
      <c r="BH352" s="443"/>
      <c r="BI352" s="533"/>
      <c r="BJ352" s="533"/>
      <c r="BK352" s="533"/>
      <c r="BL352" s="682"/>
      <c r="BM352" s="402"/>
      <c r="BN352" s="402"/>
      <c r="BO352" s="402"/>
      <c r="BP352" s="402"/>
      <c r="BQ352" s="402"/>
      <c r="BR352" s="402"/>
      <c r="BS352" s="402"/>
      <c r="BT352" s="402"/>
      <c r="BU352" s="402"/>
      <c r="BV352" s="402"/>
      <c r="BW352" s="402"/>
      <c r="BX352" s="402"/>
      <c r="BY352" s="402"/>
      <c r="BZ352" s="402"/>
      <c r="CA352" s="402"/>
      <c r="CB352" s="402"/>
      <c r="CC352" s="402"/>
      <c r="CD352" s="402"/>
      <c r="CE352" s="402"/>
      <c r="CF352" s="402"/>
      <c r="CG352" s="402"/>
      <c r="CH352" s="402"/>
      <c r="CI352" s="402"/>
      <c r="CJ352" s="402"/>
    </row>
    <row r="353" spans="1:88" s="182" customFormat="1">
      <c r="A353" s="183"/>
      <c r="B353" s="183"/>
      <c r="C353" s="183"/>
      <c r="D353" s="183"/>
      <c r="E353" s="661"/>
      <c r="F353" s="661"/>
      <c r="G353" s="661"/>
      <c r="H353" s="661"/>
      <c r="I353" s="661"/>
      <c r="J353" s="661"/>
      <c r="K353" s="661"/>
      <c r="L353" s="661"/>
      <c r="M353" s="661"/>
      <c r="N353" s="661"/>
      <c r="O353" s="661"/>
      <c r="P353" s="661"/>
      <c r="Q353" s="661"/>
      <c r="R353" s="661"/>
      <c r="S353" s="661"/>
      <c r="T353" s="661"/>
      <c r="U353" s="661"/>
      <c r="V353" s="661"/>
      <c r="W353" s="661"/>
      <c r="X353" s="661"/>
      <c r="Y353" s="661"/>
      <c r="Z353" s="661"/>
      <c r="AA353" s="661"/>
      <c r="AB353" s="661"/>
      <c r="AC353" s="661"/>
      <c r="AD353" s="661"/>
      <c r="AE353" s="661"/>
      <c r="AF353" s="661"/>
      <c r="AG353" s="661"/>
      <c r="AH353" s="661"/>
      <c r="AI353" s="661"/>
      <c r="AJ353" s="661"/>
      <c r="AK353" s="661"/>
      <c r="AL353" s="661"/>
      <c r="AM353" s="221"/>
      <c r="AN353" s="221"/>
      <c r="AO353" s="221"/>
      <c r="AP353" s="661"/>
      <c r="AQ353" s="661"/>
      <c r="AR353" s="661"/>
      <c r="AS353" s="661"/>
      <c r="AT353" s="661"/>
      <c r="AU353" s="661"/>
      <c r="AV353" s="661"/>
      <c r="AW353" s="661"/>
      <c r="AX353" s="661"/>
      <c r="AY353" s="443"/>
      <c r="AZ353" s="443"/>
      <c r="BA353" s="443"/>
      <c r="BB353" s="443"/>
      <c r="BC353" s="443"/>
      <c r="BD353" s="443"/>
      <c r="BE353" s="443"/>
      <c r="BF353" s="443"/>
      <c r="BG353" s="443"/>
      <c r="BH353" s="443"/>
      <c r="BI353" s="533"/>
      <c r="BJ353" s="533"/>
      <c r="BK353" s="533"/>
      <c r="BL353" s="682"/>
      <c r="BM353" s="402"/>
      <c r="BN353" s="402"/>
      <c r="BO353" s="402"/>
      <c r="BP353" s="402"/>
      <c r="BQ353" s="402"/>
      <c r="BR353" s="402"/>
      <c r="BS353" s="402"/>
      <c r="BT353" s="402"/>
      <c r="BU353" s="402"/>
      <c r="BV353" s="402"/>
      <c r="BW353" s="402"/>
      <c r="BX353" s="402"/>
      <c r="BY353" s="402"/>
      <c r="BZ353" s="402"/>
      <c r="CA353" s="402"/>
      <c r="CB353" s="402"/>
      <c r="CC353" s="402"/>
      <c r="CD353" s="402"/>
      <c r="CE353" s="402"/>
      <c r="CF353" s="402"/>
      <c r="CG353" s="402"/>
      <c r="CH353" s="402"/>
      <c r="CI353" s="402"/>
      <c r="CJ353" s="402"/>
    </row>
    <row r="354" spans="1:88" s="182" customFormat="1">
      <c r="A354" s="183"/>
      <c r="B354" s="183"/>
      <c r="C354" s="183"/>
      <c r="D354" s="183"/>
      <c r="E354" s="661"/>
      <c r="F354" s="661"/>
      <c r="G354" s="661"/>
      <c r="H354" s="661"/>
      <c r="I354" s="661"/>
      <c r="J354" s="661"/>
      <c r="K354" s="661"/>
      <c r="L354" s="661"/>
      <c r="M354" s="661"/>
      <c r="N354" s="661"/>
      <c r="O354" s="661"/>
      <c r="P354" s="661"/>
      <c r="Q354" s="661"/>
      <c r="R354" s="661"/>
      <c r="S354" s="661"/>
      <c r="T354" s="661"/>
      <c r="U354" s="661"/>
      <c r="V354" s="661"/>
      <c r="W354" s="661"/>
      <c r="X354" s="661"/>
      <c r="Y354" s="661"/>
      <c r="Z354" s="661"/>
      <c r="AA354" s="661"/>
      <c r="AB354" s="661"/>
      <c r="AC354" s="661"/>
      <c r="AD354" s="661"/>
      <c r="AE354" s="661"/>
      <c r="AF354" s="661"/>
      <c r="AG354" s="661"/>
      <c r="AH354" s="661"/>
      <c r="AI354" s="661"/>
      <c r="AJ354" s="661"/>
      <c r="AK354" s="661"/>
      <c r="AL354" s="661"/>
      <c r="AM354" s="221"/>
      <c r="AN354" s="221"/>
      <c r="AO354" s="221"/>
      <c r="AP354" s="661"/>
      <c r="AQ354" s="661"/>
      <c r="AR354" s="661"/>
      <c r="AS354" s="661"/>
      <c r="AT354" s="661"/>
      <c r="AU354" s="661"/>
      <c r="AV354" s="661"/>
      <c r="AW354" s="661"/>
      <c r="AX354" s="661"/>
      <c r="AY354" s="443"/>
      <c r="AZ354" s="443"/>
      <c r="BA354" s="443"/>
      <c r="BB354" s="443"/>
      <c r="BC354" s="443"/>
      <c r="BD354" s="443"/>
      <c r="BE354" s="443"/>
      <c r="BF354" s="443"/>
      <c r="BG354" s="443"/>
      <c r="BH354" s="443"/>
      <c r="BI354" s="533"/>
      <c r="BJ354" s="533"/>
      <c r="BK354" s="533"/>
      <c r="BL354" s="682"/>
      <c r="BM354" s="402"/>
      <c r="BN354" s="402"/>
      <c r="BO354" s="402"/>
      <c r="BP354" s="402"/>
      <c r="BQ354" s="402"/>
      <c r="BR354" s="402"/>
      <c r="BS354" s="402"/>
      <c r="BT354" s="402"/>
      <c r="BU354" s="402"/>
      <c r="BV354" s="402"/>
      <c r="BW354" s="402"/>
      <c r="BX354" s="402"/>
      <c r="BY354" s="402"/>
      <c r="BZ354" s="402"/>
      <c r="CA354" s="402"/>
      <c r="CB354" s="402"/>
      <c r="CC354" s="402"/>
      <c r="CD354" s="402"/>
      <c r="CE354" s="402"/>
      <c r="CF354" s="402"/>
      <c r="CG354" s="402"/>
      <c r="CH354" s="402"/>
      <c r="CI354" s="402"/>
      <c r="CJ354" s="402"/>
    </row>
    <row r="355" spans="1:88" s="182" customFormat="1">
      <c r="A355" s="183"/>
      <c r="B355" s="183"/>
      <c r="C355" s="183"/>
      <c r="D355" s="183"/>
      <c r="E355" s="661"/>
      <c r="F355" s="661"/>
      <c r="G355" s="661"/>
      <c r="H355" s="661"/>
      <c r="I355" s="661"/>
      <c r="J355" s="661"/>
      <c r="K355" s="661"/>
      <c r="L355" s="661"/>
      <c r="M355" s="661"/>
      <c r="N355" s="661"/>
      <c r="O355" s="661"/>
      <c r="P355" s="661"/>
      <c r="Q355" s="661"/>
      <c r="R355" s="661"/>
      <c r="S355" s="661"/>
      <c r="T355" s="661"/>
      <c r="U355" s="661"/>
      <c r="V355" s="661"/>
      <c r="W355" s="661"/>
      <c r="X355" s="661"/>
      <c r="Y355" s="661"/>
      <c r="Z355" s="661"/>
      <c r="AA355" s="661"/>
      <c r="AB355" s="661"/>
      <c r="AC355" s="661"/>
      <c r="AD355" s="661"/>
      <c r="AE355" s="661"/>
      <c r="AF355" s="661"/>
      <c r="AG355" s="661"/>
      <c r="AH355" s="661"/>
      <c r="AI355" s="661"/>
      <c r="AJ355" s="661"/>
      <c r="AK355" s="661"/>
      <c r="AL355" s="661"/>
      <c r="AM355" s="221"/>
      <c r="AN355" s="221"/>
      <c r="AO355" s="221"/>
      <c r="AP355" s="661"/>
      <c r="AQ355" s="661"/>
      <c r="AR355" s="661"/>
      <c r="AS355" s="661"/>
      <c r="AT355" s="661"/>
      <c r="AU355" s="661"/>
      <c r="AV355" s="661"/>
      <c r="AW355" s="661"/>
      <c r="AX355" s="661"/>
      <c r="AY355" s="443"/>
      <c r="AZ355" s="443"/>
      <c r="BA355" s="443"/>
      <c r="BB355" s="443"/>
      <c r="BC355" s="443"/>
      <c r="BD355" s="443"/>
      <c r="BE355" s="443"/>
      <c r="BF355" s="443"/>
      <c r="BG355" s="443"/>
      <c r="BH355" s="443"/>
      <c r="BI355" s="533"/>
      <c r="BJ355" s="533"/>
      <c r="BK355" s="533"/>
      <c r="BL355" s="682"/>
      <c r="BM355" s="402"/>
      <c r="BN355" s="402"/>
      <c r="BO355" s="402"/>
      <c r="BP355" s="402"/>
      <c r="BQ355" s="402"/>
      <c r="BR355" s="402"/>
      <c r="BS355" s="402"/>
      <c r="BT355" s="402"/>
      <c r="BU355" s="402"/>
      <c r="BV355" s="402"/>
      <c r="BW355" s="402"/>
      <c r="BX355" s="402"/>
      <c r="BY355" s="402"/>
      <c r="BZ355" s="402"/>
      <c r="CA355" s="402"/>
      <c r="CB355" s="402"/>
      <c r="CC355" s="402"/>
      <c r="CD355" s="402"/>
      <c r="CE355" s="402"/>
      <c r="CF355" s="402"/>
      <c r="CG355" s="402"/>
      <c r="CH355" s="402"/>
      <c r="CI355" s="402"/>
      <c r="CJ355" s="402"/>
    </row>
    <row r="356" spans="1:88" s="182" customFormat="1">
      <c r="A356" s="183"/>
      <c r="B356" s="183"/>
      <c r="C356" s="183"/>
      <c r="D356" s="183"/>
      <c r="E356" s="661"/>
      <c r="F356" s="661"/>
      <c r="G356" s="661"/>
      <c r="H356" s="661"/>
      <c r="I356" s="661"/>
      <c r="J356" s="661"/>
      <c r="K356" s="661"/>
      <c r="L356" s="661"/>
      <c r="M356" s="661"/>
      <c r="N356" s="661"/>
      <c r="O356" s="661"/>
      <c r="P356" s="661"/>
      <c r="Q356" s="661"/>
      <c r="R356" s="661"/>
      <c r="S356" s="661"/>
      <c r="T356" s="661"/>
      <c r="U356" s="661"/>
      <c r="V356" s="661"/>
      <c r="W356" s="661"/>
      <c r="X356" s="661"/>
      <c r="Y356" s="661"/>
      <c r="Z356" s="661"/>
      <c r="AA356" s="661"/>
      <c r="AB356" s="661"/>
      <c r="AC356" s="661"/>
      <c r="AD356" s="661"/>
      <c r="AE356" s="661"/>
      <c r="AF356" s="661"/>
      <c r="AG356" s="661"/>
      <c r="AH356" s="661"/>
      <c r="AI356" s="661"/>
      <c r="AJ356" s="661"/>
      <c r="AK356" s="661"/>
      <c r="AL356" s="661"/>
      <c r="AM356" s="221"/>
      <c r="AN356" s="221"/>
      <c r="AO356" s="221"/>
      <c r="AP356" s="661"/>
      <c r="AQ356" s="661"/>
      <c r="AR356" s="661"/>
      <c r="AS356" s="661"/>
      <c r="AT356" s="661"/>
      <c r="AU356" s="661"/>
      <c r="AV356" s="661"/>
      <c r="AW356" s="661"/>
      <c r="AX356" s="661"/>
      <c r="AY356" s="443"/>
      <c r="AZ356" s="443"/>
      <c r="BA356" s="443"/>
      <c r="BB356" s="443"/>
      <c r="BC356" s="443"/>
      <c r="BD356" s="443"/>
      <c r="BE356" s="443"/>
      <c r="BF356" s="443"/>
      <c r="BG356" s="443"/>
      <c r="BH356" s="443"/>
      <c r="BI356" s="533"/>
      <c r="BJ356" s="533"/>
      <c r="BK356" s="533"/>
      <c r="BL356" s="682"/>
      <c r="BM356" s="402"/>
      <c r="BN356" s="402"/>
      <c r="BO356" s="402"/>
      <c r="BP356" s="402"/>
      <c r="BQ356" s="402"/>
      <c r="BR356" s="402"/>
      <c r="BS356" s="402"/>
      <c r="BT356" s="402"/>
      <c r="BU356" s="402"/>
      <c r="BV356" s="402"/>
      <c r="BW356" s="402"/>
      <c r="BX356" s="402"/>
      <c r="BY356" s="402"/>
      <c r="BZ356" s="402"/>
      <c r="CA356" s="402"/>
      <c r="CB356" s="402"/>
      <c r="CC356" s="402"/>
      <c r="CD356" s="402"/>
      <c r="CE356" s="402"/>
      <c r="CF356" s="402"/>
      <c r="CG356" s="402"/>
      <c r="CH356" s="402"/>
      <c r="CI356" s="402"/>
      <c r="CJ356" s="402"/>
    </row>
    <row r="357" spans="1:88" s="182" customFormat="1">
      <c r="A357" s="183"/>
      <c r="B357" s="183"/>
      <c r="C357" s="183"/>
      <c r="D357" s="183"/>
      <c r="E357" s="661"/>
      <c r="F357" s="661"/>
      <c r="G357" s="661"/>
      <c r="H357" s="661"/>
      <c r="I357" s="661"/>
      <c r="J357" s="661"/>
      <c r="K357" s="661"/>
      <c r="L357" s="661"/>
      <c r="M357" s="661"/>
      <c r="N357" s="661"/>
      <c r="O357" s="661"/>
      <c r="P357" s="661"/>
      <c r="Q357" s="661"/>
      <c r="R357" s="661"/>
      <c r="S357" s="661"/>
      <c r="T357" s="661"/>
      <c r="U357" s="661"/>
      <c r="V357" s="661"/>
      <c r="W357" s="661"/>
      <c r="X357" s="661"/>
      <c r="Y357" s="661"/>
      <c r="Z357" s="661"/>
      <c r="AA357" s="661"/>
      <c r="AB357" s="661"/>
      <c r="AC357" s="661"/>
      <c r="AD357" s="661"/>
      <c r="AE357" s="661"/>
      <c r="AF357" s="661"/>
      <c r="AG357" s="661"/>
      <c r="AH357" s="661"/>
      <c r="AI357" s="661"/>
      <c r="AJ357" s="661"/>
      <c r="AK357" s="661"/>
      <c r="AL357" s="661"/>
      <c r="AM357" s="221"/>
      <c r="AN357" s="221"/>
      <c r="AO357" s="221"/>
      <c r="AP357" s="661"/>
      <c r="AQ357" s="661"/>
      <c r="AR357" s="661"/>
      <c r="AS357" s="661"/>
      <c r="AT357" s="661"/>
      <c r="AU357" s="661"/>
      <c r="AV357" s="661"/>
      <c r="AW357" s="661"/>
      <c r="AX357" s="661"/>
      <c r="AY357" s="443"/>
      <c r="AZ357" s="443"/>
      <c r="BA357" s="443"/>
      <c r="BB357" s="443"/>
      <c r="BC357" s="443"/>
      <c r="BD357" s="443"/>
      <c r="BE357" s="443"/>
      <c r="BF357" s="443"/>
      <c r="BG357" s="443"/>
      <c r="BH357" s="443"/>
      <c r="BI357" s="533"/>
      <c r="BJ357" s="533"/>
      <c r="BK357" s="533"/>
      <c r="BL357" s="682"/>
      <c r="BM357" s="402"/>
      <c r="BN357" s="402"/>
      <c r="BO357" s="402"/>
      <c r="BP357" s="402"/>
      <c r="BQ357" s="402"/>
      <c r="BR357" s="402"/>
      <c r="BS357" s="402"/>
      <c r="BT357" s="402"/>
      <c r="BU357" s="402"/>
      <c r="BV357" s="402"/>
      <c r="BW357" s="402"/>
      <c r="BX357" s="402"/>
      <c r="BY357" s="402"/>
      <c r="BZ357" s="402"/>
      <c r="CA357" s="402"/>
      <c r="CB357" s="402"/>
      <c r="CC357" s="402"/>
      <c r="CD357" s="402"/>
      <c r="CE357" s="402"/>
      <c r="CF357" s="402"/>
      <c r="CG357" s="402"/>
      <c r="CH357" s="402"/>
      <c r="CI357" s="402"/>
      <c r="CJ357" s="402"/>
    </row>
    <row r="358" spans="1:88" s="182" customFormat="1">
      <c r="A358" s="183"/>
      <c r="B358" s="183"/>
      <c r="C358" s="183"/>
      <c r="D358" s="183"/>
      <c r="E358" s="661"/>
      <c r="F358" s="661"/>
      <c r="G358" s="661"/>
      <c r="H358" s="661"/>
      <c r="I358" s="661"/>
      <c r="J358" s="661"/>
      <c r="K358" s="661"/>
      <c r="L358" s="661"/>
      <c r="M358" s="661"/>
      <c r="N358" s="661"/>
      <c r="O358" s="661"/>
      <c r="P358" s="661"/>
      <c r="Q358" s="661"/>
      <c r="R358" s="661"/>
      <c r="S358" s="661"/>
      <c r="T358" s="661"/>
      <c r="U358" s="661"/>
      <c r="V358" s="661"/>
      <c r="W358" s="661"/>
      <c r="X358" s="661"/>
      <c r="Y358" s="661"/>
      <c r="Z358" s="661"/>
      <c r="AA358" s="661"/>
      <c r="AB358" s="661"/>
      <c r="AC358" s="661"/>
      <c r="AD358" s="661"/>
      <c r="AE358" s="661"/>
      <c r="AF358" s="661"/>
      <c r="AG358" s="661"/>
      <c r="AH358" s="661"/>
      <c r="AI358" s="661"/>
      <c r="AJ358" s="661"/>
      <c r="AK358" s="661"/>
      <c r="AL358" s="661"/>
      <c r="AM358" s="221"/>
      <c r="AN358" s="221"/>
      <c r="AO358" s="221"/>
      <c r="AP358" s="661"/>
      <c r="AQ358" s="661"/>
      <c r="AR358" s="661"/>
      <c r="AS358" s="661"/>
      <c r="AT358" s="661"/>
      <c r="AU358" s="661"/>
      <c r="AV358" s="661"/>
      <c r="AW358" s="661"/>
      <c r="AX358" s="661"/>
      <c r="AY358" s="443"/>
      <c r="AZ358" s="443"/>
      <c r="BA358" s="443"/>
      <c r="BB358" s="443"/>
      <c r="BC358" s="443"/>
      <c r="BD358" s="443"/>
      <c r="BE358" s="443"/>
      <c r="BF358" s="443"/>
      <c r="BG358" s="443"/>
      <c r="BH358" s="443"/>
      <c r="BI358" s="533"/>
      <c r="BJ358" s="533"/>
      <c r="BK358" s="533"/>
      <c r="BL358" s="682"/>
      <c r="BM358" s="402"/>
      <c r="BN358" s="402"/>
      <c r="BO358" s="402"/>
      <c r="BP358" s="402"/>
      <c r="BQ358" s="402"/>
      <c r="BR358" s="402"/>
      <c r="BS358" s="402"/>
      <c r="BT358" s="402"/>
      <c r="BU358" s="402"/>
      <c r="BV358" s="402"/>
      <c r="BW358" s="402"/>
      <c r="BX358" s="402"/>
      <c r="BY358" s="402"/>
      <c r="BZ358" s="402"/>
      <c r="CA358" s="402"/>
      <c r="CB358" s="402"/>
      <c r="CC358" s="402"/>
      <c r="CD358" s="402"/>
      <c r="CE358" s="402"/>
      <c r="CF358" s="402"/>
      <c r="CG358" s="402"/>
      <c r="CH358" s="402"/>
      <c r="CI358" s="402"/>
      <c r="CJ358" s="402"/>
    </row>
    <row r="359" spans="1:88" s="182" customFormat="1">
      <c r="A359" s="183"/>
      <c r="B359" s="183"/>
      <c r="C359" s="183"/>
      <c r="D359" s="183"/>
      <c r="E359" s="661"/>
      <c r="F359" s="661"/>
      <c r="G359" s="661"/>
      <c r="H359" s="661"/>
      <c r="I359" s="661"/>
      <c r="J359" s="661"/>
      <c r="K359" s="661"/>
      <c r="L359" s="661"/>
      <c r="M359" s="661"/>
      <c r="N359" s="661"/>
      <c r="O359" s="661"/>
      <c r="P359" s="661"/>
      <c r="Q359" s="661"/>
      <c r="R359" s="661"/>
      <c r="S359" s="661"/>
      <c r="T359" s="661"/>
      <c r="U359" s="661"/>
      <c r="V359" s="661"/>
      <c r="W359" s="661"/>
      <c r="X359" s="661"/>
      <c r="Y359" s="661"/>
      <c r="Z359" s="661"/>
      <c r="AA359" s="661"/>
      <c r="AB359" s="661"/>
      <c r="AC359" s="661"/>
      <c r="AD359" s="661"/>
      <c r="AE359" s="661"/>
      <c r="AF359" s="661"/>
      <c r="AG359" s="661"/>
      <c r="AH359" s="661"/>
      <c r="AI359" s="661"/>
      <c r="AJ359" s="661"/>
      <c r="AK359" s="661"/>
      <c r="AL359" s="661"/>
      <c r="AM359" s="221"/>
      <c r="AN359" s="221"/>
      <c r="AO359" s="221"/>
      <c r="AP359" s="661"/>
      <c r="AQ359" s="661"/>
      <c r="AR359" s="661"/>
      <c r="AS359" s="661"/>
      <c r="AT359" s="661"/>
      <c r="AU359" s="661"/>
      <c r="AV359" s="661"/>
      <c r="AW359" s="661"/>
      <c r="AX359" s="661"/>
      <c r="AY359" s="443"/>
      <c r="AZ359" s="443"/>
      <c r="BA359" s="443"/>
      <c r="BB359" s="443"/>
      <c r="BC359" s="443"/>
      <c r="BD359" s="443"/>
      <c r="BE359" s="443"/>
      <c r="BF359" s="443"/>
      <c r="BG359" s="443"/>
      <c r="BH359" s="443"/>
      <c r="BI359" s="533"/>
      <c r="BJ359" s="533"/>
      <c r="BK359" s="533"/>
      <c r="BL359" s="682"/>
      <c r="BM359" s="402"/>
      <c r="BN359" s="402"/>
      <c r="BO359" s="402"/>
      <c r="BP359" s="402"/>
      <c r="BQ359" s="402"/>
      <c r="BR359" s="402"/>
      <c r="BS359" s="402"/>
      <c r="BT359" s="402"/>
      <c r="BU359" s="402"/>
      <c r="BV359" s="402"/>
      <c r="BW359" s="402"/>
      <c r="BX359" s="402"/>
      <c r="BY359" s="402"/>
      <c r="BZ359" s="402"/>
      <c r="CA359" s="402"/>
      <c r="CB359" s="402"/>
      <c r="CC359" s="402"/>
      <c r="CD359" s="402"/>
      <c r="CE359" s="402"/>
      <c r="CF359" s="402"/>
      <c r="CG359" s="402"/>
      <c r="CH359" s="402"/>
      <c r="CI359" s="402"/>
      <c r="CJ359" s="402"/>
    </row>
    <row r="360" spans="1:88" s="182" customFormat="1">
      <c r="A360" s="183"/>
      <c r="B360" s="183"/>
      <c r="C360" s="183"/>
      <c r="D360" s="183"/>
      <c r="E360" s="661"/>
      <c r="F360" s="661"/>
      <c r="G360" s="661"/>
      <c r="H360" s="661"/>
      <c r="I360" s="661"/>
      <c r="J360" s="661"/>
      <c r="K360" s="661"/>
      <c r="L360" s="661"/>
      <c r="M360" s="661"/>
      <c r="N360" s="661"/>
      <c r="O360" s="661"/>
      <c r="P360" s="661"/>
      <c r="Q360" s="661"/>
      <c r="R360" s="661"/>
      <c r="S360" s="661"/>
      <c r="T360" s="661"/>
      <c r="U360" s="661"/>
      <c r="V360" s="661"/>
      <c r="W360" s="661"/>
      <c r="X360" s="661"/>
      <c r="Y360" s="661"/>
      <c r="Z360" s="661"/>
      <c r="AA360" s="661"/>
      <c r="AB360" s="661"/>
      <c r="AC360" s="661"/>
      <c r="AD360" s="661"/>
      <c r="AE360" s="661"/>
      <c r="AF360" s="661"/>
      <c r="AG360" s="661"/>
      <c r="AH360" s="661"/>
      <c r="AI360" s="661"/>
      <c r="AJ360" s="661"/>
      <c r="AK360" s="661"/>
      <c r="AL360" s="661"/>
      <c r="AM360" s="221"/>
      <c r="AN360" s="221"/>
      <c r="AO360" s="221"/>
      <c r="AP360" s="661"/>
      <c r="AQ360" s="661"/>
      <c r="AR360" s="661"/>
      <c r="AS360" s="661"/>
      <c r="AT360" s="661"/>
      <c r="AU360" s="661"/>
      <c r="AV360" s="661"/>
      <c r="AW360" s="661"/>
      <c r="AX360" s="661"/>
      <c r="AY360" s="443"/>
      <c r="AZ360" s="443"/>
      <c r="BA360" s="443"/>
      <c r="BB360" s="443"/>
      <c r="BC360" s="443"/>
      <c r="BD360" s="443"/>
      <c r="BE360" s="443"/>
      <c r="BF360" s="443"/>
      <c r="BG360" s="443"/>
      <c r="BH360" s="443"/>
      <c r="BI360" s="533"/>
      <c r="BJ360" s="533"/>
      <c r="BK360" s="533"/>
      <c r="BL360" s="682"/>
      <c r="BM360" s="402"/>
      <c r="BN360" s="402"/>
      <c r="BO360" s="402"/>
      <c r="BP360" s="402"/>
      <c r="BQ360" s="402"/>
      <c r="BR360" s="402"/>
      <c r="BS360" s="402"/>
      <c r="BT360" s="402"/>
      <c r="BU360" s="402"/>
      <c r="BV360" s="402"/>
      <c r="BW360" s="402"/>
      <c r="BX360" s="402"/>
      <c r="BY360" s="402"/>
      <c r="BZ360" s="402"/>
      <c r="CA360" s="402"/>
      <c r="CB360" s="402"/>
      <c r="CC360" s="402"/>
      <c r="CD360" s="402"/>
      <c r="CE360" s="402"/>
      <c r="CF360" s="402"/>
      <c r="CG360" s="402"/>
      <c r="CH360" s="402"/>
      <c r="CI360" s="402"/>
      <c r="CJ360" s="402"/>
    </row>
    <row r="361" spans="1:88" s="182" customFormat="1">
      <c r="A361" s="183"/>
      <c r="B361" s="183"/>
      <c r="C361" s="183"/>
      <c r="D361" s="183"/>
      <c r="E361" s="661"/>
      <c r="F361" s="661"/>
      <c r="G361" s="661"/>
      <c r="H361" s="661"/>
      <c r="I361" s="661"/>
      <c r="J361" s="661"/>
      <c r="K361" s="661"/>
      <c r="L361" s="661"/>
      <c r="M361" s="661"/>
      <c r="N361" s="661"/>
      <c r="O361" s="661"/>
      <c r="P361" s="661"/>
      <c r="Q361" s="661"/>
      <c r="R361" s="661"/>
      <c r="S361" s="661"/>
      <c r="T361" s="661"/>
      <c r="U361" s="661"/>
      <c r="V361" s="661"/>
      <c r="W361" s="661"/>
      <c r="X361" s="661"/>
      <c r="Y361" s="661"/>
      <c r="Z361" s="661"/>
      <c r="AA361" s="661"/>
      <c r="AB361" s="661"/>
      <c r="AC361" s="661"/>
      <c r="AD361" s="661"/>
      <c r="AE361" s="661"/>
      <c r="AF361" s="661"/>
      <c r="AG361" s="661"/>
      <c r="AH361" s="661"/>
      <c r="AI361" s="661"/>
      <c r="AJ361" s="661"/>
      <c r="AK361" s="661"/>
      <c r="AL361" s="661"/>
      <c r="AM361" s="221"/>
      <c r="AN361" s="221"/>
      <c r="AO361" s="221"/>
      <c r="AP361" s="661"/>
      <c r="AQ361" s="661"/>
      <c r="AR361" s="661"/>
      <c r="AS361" s="661"/>
      <c r="AT361" s="661"/>
      <c r="AU361" s="661"/>
      <c r="AV361" s="661"/>
      <c r="AW361" s="661"/>
      <c r="AX361" s="661"/>
      <c r="AY361" s="443"/>
      <c r="AZ361" s="443"/>
      <c r="BA361" s="443"/>
      <c r="BB361" s="443"/>
      <c r="BC361" s="443"/>
      <c r="BD361" s="443"/>
      <c r="BE361" s="443"/>
      <c r="BF361" s="443"/>
      <c r="BG361" s="443"/>
      <c r="BH361" s="443"/>
      <c r="BI361" s="533"/>
      <c r="BJ361" s="533"/>
      <c r="BK361" s="533"/>
      <c r="BL361" s="682"/>
      <c r="BM361" s="402"/>
      <c r="BN361" s="402"/>
      <c r="BO361" s="402"/>
      <c r="BP361" s="402"/>
      <c r="BQ361" s="402"/>
      <c r="BR361" s="402"/>
      <c r="BS361" s="402"/>
      <c r="BT361" s="402"/>
      <c r="BU361" s="402"/>
      <c r="BV361" s="402"/>
      <c r="BW361" s="402"/>
      <c r="BX361" s="402"/>
      <c r="BY361" s="402"/>
      <c r="BZ361" s="402"/>
      <c r="CA361" s="402"/>
      <c r="CB361" s="402"/>
      <c r="CC361" s="402"/>
      <c r="CD361" s="402"/>
      <c r="CE361" s="402"/>
      <c r="CF361" s="402"/>
      <c r="CG361" s="402"/>
      <c r="CH361" s="402"/>
      <c r="CI361" s="402"/>
      <c r="CJ361" s="402"/>
    </row>
    <row r="362" spans="1:88" s="182" customFormat="1">
      <c r="A362" s="183"/>
      <c r="B362" s="183"/>
      <c r="C362" s="183"/>
      <c r="D362" s="183"/>
      <c r="E362" s="661"/>
      <c r="F362" s="661"/>
      <c r="G362" s="661"/>
      <c r="H362" s="661"/>
      <c r="I362" s="661"/>
      <c r="J362" s="661"/>
      <c r="K362" s="661"/>
      <c r="L362" s="661"/>
      <c r="M362" s="661"/>
      <c r="N362" s="661"/>
      <c r="O362" s="661"/>
      <c r="P362" s="661"/>
      <c r="Q362" s="661"/>
      <c r="R362" s="661"/>
      <c r="S362" s="661"/>
      <c r="T362" s="661"/>
      <c r="U362" s="661"/>
      <c r="V362" s="661"/>
      <c r="W362" s="661"/>
      <c r="X362" s="661"/>
      <c r="Y362" s="661"/>
      <c r="Z362" s="661"/>
      <c r="AA362" s="661"/>
      <c r="AB362" s="661"/>
      <c r="AC362" s="661"/>
      <c r="AD362" s="661"/>
      <c r="AE362" s="661"/>
      <c r="AF362" s="661"/>
      <c r="AG362" s="661"/>
      <c r="AH362" s="661"/>
      <c r="AI362" s="661"/>
      <c r="AJ362" s="661"/>
      <c r="AK362" s="661"/>
      <c r="AL362" s="661"/>
      <c r="AM362" s="221"/>
      <c r="AN362" s="221"/>
      <c r="AO362" s="221"/>
      <c r="AP362" s="661"/>
      <c r="AQ362" s="661"/>
      <c r="AR362" s="661"/>
      <c r="AS362" s="661"/>
      <c r="AT362" s="661"/>
      <c r="AU362" s="661"/>
      <c r="AV362" s="661"/>
      <c r="AW362" s="661"/>
      <c r="AX362" s="661"/>
      <c r="AY362" s="443"/>
      <c r="AZ362" s="443"/>
      <c r="BA362" s="443"/>
      <c r="BB362" s="443"/>
      <c r="BC362" s="443"/>
      <c r="BD362" s="443"/>
      <c r="BE362" s="443"/>
      <c r="BF362" s="443"/>
      <c r="BG362" s="443"/>
      <c r="BH362" s="443"/>
      <c r="BI362" s="533"/>
      <c r="BJ362" s="533"/>
      <c r="BK362" s="533"/>
      <c r="BL362" s="682"/>
      <c r="BM362" s="402"/>
      <c r="BN362" s="402"/>
      <c r="BO362" s="402"/>
      <c r="BP362" s="402"/>
      <c r="BQ362" s="402"/>
      <c r="BR362" s="402"/>
      <c r="BS362" s="402"/>
      <c r="BT362" s="402"/>
      <c r="BU362" s="402"/>
      <c r="BV362" s="402"/>
      <c r="BW362" s="402"/>
      <c r="BX362" s="402"/>
      <c r="BY362" s="402"/>
      <c r="BZ362" s="402"/>
      <c r="CA362" s="402"/>
      <c r="CB362" s="402"/>
      <c r="CC362" s="402"/>
      <c r="CD362" s="402"/>
      <c r="CE362" s="402"/>
      <c r="CF362" s="402"/>
      <c r="CG362" s="402"/>
      <c r="CH362" s="402"/>
      <c r="CI362" s="402"/>
      <c r="CJ362" s="402"/>
    </row>
    <row r="363" spans="1:88" s="182" customFormat="1">
      <c r="A363" s="183"/>
      <c r="B363" s="183"/>
      <c r="C363" s="183"/>
      <c r="D363" s="183"/>
      <c r="E363" s="661"/>
      <c r="F363" s="661"/>
      <c r="G363" s="661"/>
      <c r="H363" s="661"/>
      <c r="I363" s="661"/>
      <c r="J363" s="661"/>
      <c r="K363" s="661"/>
      <c r="L363" s="661"/>
      <c r="M363" s="661"/>
      <c r="N363" s="661"/>
      <c r="O363" s="661"/>
      <c r="P363" s="661"/>
      <c r="Q363" s="661"/>
      <c r="R363" s="661"/>
      <c r="S363" s="661"/>
      <c r="T363" s="661"/>
      <c r="U363" s="661"/>
      <c r="V363" s="661"/>
      <c r="W363" s="661"/>
      <c r="X363" s="661"/>
      <c r="Y363" s="661"/>
      <c r="Z363" s="661"/>
      <c r="AA363" s="661"/>
      <c r="AB363" s="661"/>
      <c r="AC363" s="661"/>
      <c r="AD363" s="661"/>
      <c r="AE363" s="661"/>
      <c r="AF363" s="661"/>
      <c r="AG363" s="661"/>
      <c r="AH363" s="661"/>
      <c r="AI363" s="661"/>
      <c r="AJ363" s="661"/>
      <c r="AK363" s="661"/>
      <c r="AL363" s="661"/>
      <c r="AM363" s="221"/>
      <c r="AN363" s="221"/>
      <c r="AO363" s="221"/>
      <c r="AP363" s="661"/>
      <c r="AQ363" s="661"/>
      <c r="AR363" s="661"/>
      <c r="AS363" s="661"/>
      <c r="AT363" s="661"/>
      <c r="AU363" s="661"/>
      <c r="AV363" s="661"/>
      <c r="AW363" s="661"/>
      <c r="AX363" s="661"/>
      <c r="AY363" s="443"/>
      <c r="AZ363" s="443"/>
      <c r="BA363" s="443"/>
      <c r="BB363" s="443"/>
      <c r="BC363" s="443"/>
      <c r="BD363" s="443"/>
      <c r="BE363" s="443"/>
      <c r="BF363" s="443"/>
      <c r="BG363" s="443"/>
      <c r="BH363" s="443"/>
      <c r="BI363" s="533"/>
      <c r="BJ363" s="533"/>
      <c r="BK363" s="533"/>
      <c r="BL363" s="682"/>
      <c r="BM363" s="402"/>
      <c r="BN363" s="402"/>
      <c r="BO363" s="402"/>
      <c r="BP363" s="402"/>
      <c r="BQ363" s="402"/>
      <c r="BR363" s="402"/>
      <c r="BS363" s="402"/>
      <c r="BT363" s="402"/>
      <c r="BU363" s="402"/>
      <c r="BV363" s="402"/>
      <c r="BW363" s="402"/>
      <c r="BX363" s="402"/>
      <c r="BY363" s="402"/>
      <c r="BZ363" s="402"/>
      <c r="CA363" s="402"/>
      <c r="CB363" s="402"/>
      <c r="CC363" s="402"/>
      <c r="CD363" s="402"/>
      <c r="CE363" s="402"/>
      <c r="CF363" s="402"/>
      <c r="CG363" s="402"/>
      <c r="CH363" s="402"/>
      <c r="CI363" s="402"/>
      <c r="CJ363" s="402"/>
    </row>
    <row r="364" spans="1:88" s="182" customFormat="1">
      <c r="A364" s="183"/>
      <c r="B364" s="183"/>
      <c r="C364" s="183"/>
      <c r="D364" s="183"/>
      <c r="E364" s="661"/>
      <c r="F364" s="661"/>
      <c r="G364" s="661"/>
      <c r="H364" s="661"/>
      <c r="I364" s="661"/>
      <c r="J364" s="661"/>
      <c r="K364" s="661"/>
      <c r="L364" s="661"/>
      <c r="M364" s="661"/>
      <c r="N364" s="661"/>
      <c r="O364" s="661"/>
      <c r="P364" s="661"/>
      <c r="Q364" s="661"/>
      <c r="R364" s="661"/>
      <c r="S364" s="661"/>
      <c r="T364" s="661"/>
      <c r="U364" s="661"/>
      <c r="V364" s="661"/>
      <c r="W364" s="661"/>
      <c r="X364" s="661"/>
      <c r="Y364" s="661"/>
      <c r="Z364" s="661"/>
      <c r="AA364" s="661"/>
      <c r="AB364" s="661"/>
      <c r="AC364" s="661"/>
      <c r="AD364" s="661"/>
      <c r="AE364" s="661"/>
      <c r="AF364" s="661"/>
      <c r="AG364" s="661"/>
      <c r="AH364" s="661"/>
      <c r="AI364" s="661"/>
      <c r="AJ364" s="661"/>
      <c r="AK364" s="661"/>
      <c r="AL364" s="661"/>
      <c r="AM364" s="221"/>
      <c r="AN364" s="221"/>
      <c r="AO364" s="221"/>
      <c r="AP364" s="661"/>
      <c r="AQ364" s="661"/>
      <c r="AR364" s="661"/>
      <c r="AS364" s="661"/>
      <c r="AT364" s="661"/>
      <c r="AU364" s="661"/>
      <c r="AV364" s="661"/>
      <c r="AW364" s="661"/>
      <c r="AX364" s="661"/>
      <c r="AY364" s="443"/>
      <c r="AZ364" s="443"/>
      <c r="BA364" s="443"/>
      <c r="BB364" s="443"/>
      <c r="BC364" s="443"/>
      <c r="BD364" s="443"/>
      <c r="BE364" s="443"/>
      <c r="BF364" s="443"/>
      <c r="BG364" s="443"/>
      <c r="BH364" s="443"/>
      <c r="BI364" s="533"/>
      <c r="BJ364" s="533"/>
      <c r="BK364" s="533"/>
      <c r="BL364" s="682"/>
      <c r="BM364" s="402"/>
      <c r="BN364" s="402"/>
      <c r="BO364" s="402"/>
      <c r="BP364" s="402"/>
      <c r="BQ364" s="402"/>
      <c r="BR364" s="402"/>
      <c r="BS364" s="402"/>
      <c r="BT364" s="402"/>
      <c r="BU364" s="402"/>
      <c r="BV364" s="402"/>
      <c r="BW364" s="402"/>
      <c r="BX364" s="402"/>
      <c r="BY364" s="402"/>
      <c r="BZ364" s="402"/>
      <c r="CA364" s="402"/>
      <c r="CB364" s="402"/>
      <c r="CC364" s="402"/>
      <c r="CD364" s="402"/>
      <c r="CE364" s="402"/>
      <c r="CF364" s="402"/>
      <c r="CG364" s="402"/>
      <c r="CH364" s="402"/>
      <c r="CI364" s="402"/>
      <c r="CJ364" s="402"/>
    </row>
    <row r="365" spans="1:88" s="182" customFormat="1">
      <c r="A365" s="183"/>
      <c r="B365" s="183"/>
      <c r="C365" s="183"/>
      <c r="D365" s="183"/>
      <c r="E365" s="661"/>
      <c r="F365" s="661"/>
      <c r="G365" s="661"/>
      <c r="H365" s="661"/>
      <c r="I365" s="661"/>
      <c r="J365" s="661"/>
      <c r="K365" s="661"/>
      <c r="L365" s="661"/>
      <c r="M365" s="661"/>
      <c r="N365" s="661"/>
      <c r="O365" s="661"/>
      <c r="P365" s="661"/>
      <c r="Q365" s="661"/>
      <c r="R365" s="661"/>
      <c r="S365" s="661"/>
      <c r="T365" s="661"/>
      <c r="U365" s="661"/>
      <c r="V365" s="661"/>
      <c r="W365" s="661"/>
      <c r="X365" s="661"/>
      <c r="Y365" s="661"/>
      <c r="Z365" s="661"/>
      <c r="AA365" s="661"/>
      <c r="AB365" s="661"/>
      <c r="AC365" s="661"/>
      <c r="AD365" s="661"/>
      <c r="AE365" s="661"/>
      <c r="AF365" s="661"/>
      <c r="AG365" s="661"/>
      <c r="AH365" s="661"/>
      <c r="AI365" s="661"/>
      <c r="AJ365" s="661"/>
      <c r="AK365" s="661"/>
      <c r="AL365" s="661"/>
      <c r="AM365" s="221"/>
      <c r="AN365" s="221"/>
      <c r="AO365" s="221"/>
      <c r="AP365" s="661"/>
      <c r="AQ365" s="661"/>
      <c r="AR365" s="661"/>
      <c r="AS365" s="661"/>
      <c r="AT365" s="661"/>
      <c r="AU365" s="661"/>
      <c r="AV365" s="661"/>
      <c r="AW365" s="661"/>
      <c r="AX365" s="661"/>
      <c r="AY365" s="443"/>
      <c r="AZ365" s="443"/>
      <c r="BA365" s="443"/>
      <c r="BB365" s="443"/>
      <c r="BC365" s="443"/>
      <c r="BD365" s="443"/>
      <c r="BE365" s="443"/>
      <c r="BF365" s="443"/>
      <c r="BG365" s="443"/>
      <c r="BH365" s="443"/>
      <c r="BI365" s="533"/>
      <c r="BJ365" s="533"/>
      <c r="BK365" s="533"/>
      <c r="BL365" s="682"/>
      <c r="BM365" s="402"/>
      <c r="BN365" s="402"/>
      <c r="BO365" s="402"/>
      <c r="BP365" s="402"/>
      <c r="BQ365" s="402"/>
      <c r="BR365" s="402"/>
      <c r="BS365" s="402"/>
      <c r="BT365" s="402"/>
      <c r="BU365" s="402"/>
      <c r="BV365" s="402"/>
      <c r="BW365" s="402"/>
      <c r="BX365" s="402"/>
      <c r="BY365" s="402"/>
      <c r="BZ365" s="402"/>
      <c r="CA365" s="402"/>
      <c r="CB365" s="402"/>
      <c r="CC365" s="402"/>
      <c r="CD365" s="402"/>
      <c r="CE365" s="402"/>
      <c r="CF365" s="402"/>
      <c r="CG365" s="402"/>
      <c r="CH365" s="402"/>
      <c r="CI365" s="402"/>
      <c r="CJ365" s="402"/>
    </row>
    <row r="366" spans="1:88" s="182" customFormat="1">
      <c r="A366" s="183"/>
      <c r="B366" s="183"/>
      <c r="C366" s="183"/>
      <c r="D366" s="183"/>
      <c r="E366" s="661"/>
      <c r="F366" s="661"/>
      <c r="G366" s="661"/>
      <c r="H366" s="661"/>
      <c r="I366" s="661"/>
      <c r="J366" s="661"/>
      <c r="K366" s="661"/>
      <c r="L366" s="661"/>
      <c r="M366" s="661"/>
      <c r="N366" s="661"/>
      <c r="O366" s="661"/>
      <c r="P366" s="661"/>
      <c r="Q366" s="661"/>
      <c r="R366" s="661"/>
      <c r="S366" s="661"/>
      <c r="T366" s="661"/>
      <c r="U366" s="661"/>
      <c r="V366" s="661"/>
      <c r="W366" s="661"/>
      <c r="X366" s="661"/>
      <c r="Y366" s="661"/>
      <c r="Z366" s="661"/>
      <c r="AA366" s="661"/>
      <c r="AB366" s="661"/>
      <c r="AC366" s="661"/>
      <c r="AD366" s="661"/>
      <c r="AE366" s="661"/>
      <c r="AF366" s="661"/>
      <c r="AG366" s="661"/>
      <c r="AH366" s="661"/>
      <c r="AI366" s="661"/>
      <c r="AJ366" s="661"/>
      <c r="AK366" s="661"/>
      <c r="AL366" s="661"/>
      <c r="AM366" s="221"/>
      <c r="AN366" s="221"/>
      <c r="AO366" s="221"/>
      <c r="AP366" s="661"/>
      <c r="AQ366" s="661"/>
      <c r="AR366" s="661"/>
      <c r="AS366" s="661"/>
      <c r="AT366" s="661"/>
      <c r="AU366" s="661"/>
      <c r="AV366" s="661"/>
      <c r="AW366" s="661"/>
      <c r="AX366" s="661"/>
      <c r="AY366" s="443"/>
      <c r="AZ366" s="443"/>
      <c r="BA366" s="443"/>
      <c r="BB366" s="443"/>
      <c r="BC366" s="443"/>
      <c r="BD366" s="443"/>
      <c r="BE366" s="443"/>
      <c r="BF366" s="443"/>
      <c r="BG366" s="443"/>
      <c r="BH366" s="443"/>
      <c r="BI366" s="533"/>
      <c r="BJ366" s="533"/>
      <c r="BK366" s="533"/>
      <c r="BL366" s="682"/>
      <c r="BM366" s="402"/>
      <c r="BN366" s="402"/>
      <c r="BO366" s="402"/>
      <c r="BP366" s="402"/>
      <c r="BQ366" s="402"/>
      <c r="BR366" s="402"/>
      <c r="BS366" s="402"/>
      <c r="BT366" s="402"/>
      <c r="BU366" s="402"/>
      <c r="BV366" s="402"/>
      <c r="BW366" s="402"/>
      <c r="BX366" s="402"/>
      <c r="BY366" s="402"/>
      <c r="BZ366" s="402"/>
      <c r="CA366" s="402"/>
      <c r="CB366" s="402"/>
      <c r="CC366" s="402"/>
      <c r="CD366" s="402"/>
      <c r="CE366" s="402"/>
      <c r="CF366" s="402"/>
      <c r="CG366" s="402"/>
      <c r="CH366" s="402"/>
      <c r="CI366" s="402"/>
      <c r="CJ366" s="402"/>
    </row>
    <row r="367" spans="1:88" s="182" customFormat="1">
      <c r="A367" s="183"/>
      <c r="B367" s="183"/>
      <c r="C367" s="183"/>
      <c r="D367" s="183"/>
      <c r="E367" s="661"/>
      <c r="F367" s="661"/>
      <c r="G367" s="661"/>
      <c r="H367" s="661"/>
      <c r="I367" s="661"/>
      <c r="J367" s="661"/>
      <c r="K367" s="661"/>
      <c r="L367" s="661"/>
      <c r="M367" s="661"/>
      <c r="N367" s="661"/>
      <c r="O367" s="661"/>
      <c r="P367" s="661"/>
      <c r="Q367" s="661"/>
      <c r="R367" s="661"/>
      <c r="S367" s="661"/>
      <c r="T367" s="661"/>
      <c r="U367" s="661"/>
      <c r="V367" s="661"/>
      <c r="W367" s="661"/>
      <c r="X367" s="661"/>
      <c r="Y367" s="661"/>
      <c r="Z367" s="661"/>
      <c r="AA367" s="661"/>
      <c r="AB367" s="661"/>
      <c r="AC367" s="661"/>
      <c r="AD367" s="661"/>
      <c r="AE367" s="661"/>
      <c r="AF367" s="661"/>
      <c r="AG367" s="661"/>
      <c r="AH367" s="661"/>
      <c r="AI367" s="661"/>
      <c r="AJ367" s="661"/>
      <c r="AK367" s="661"/>
      <c r="AL367" s="661"/>
      <c r="AM367" s="221"/>
      <c r="AN367" s="221"/>
      <c r="AO367" s="221"/>
      <c r="AP367" s="661"/>
      <c r="AQ367" s="661"/>
      <c r="AR367" s="661"/>
      <c r="AS367" s="661"/>
      <c r="AT367" s="661"/>
      <c r="AU367" s="661"/>
      <c r="AV367" s="661"/>
      <c r="AW367" s="661"/>
      <c r="AX367" s="661"/>
      <c r="AY367" s="443"/>
      <c r="AZ367" s="443"/>
      <c r="BA367" s="443"/>
      <c r="BB367" s="443"/>
      <c r="BC367" s="443"/>
      <c r="BD367" s="443"/>
      <c r="BE367" s="443"/>
      <c r="BF367" s="443"/>
      <c r="BG367" s="443"/>
      <c r="BH367" s="443"/>
      <c r="BI367" s="533"/>
      <c r="BJ367" s="533"/>
      <c r="BK367" s="533"/>
      <c r="BL367" s="682"/>
      <c r="BM367" s="402"/>
      <c r="BN367" s="402"/>
      <c r="BO367" s="402"/>
      <c r="BP367" s="402"/>
      <c r="BQ367" s="402"/>
      <c r="BR367" s="402"/>
      <c r="BS367" s="402"/>
      <c r="BT367" s="402"/>
      <c r="BU367" s="402"/>
      <c r="BV367" s="402"/>
      <c r="BW367" s="402"/>
      <c r="BX367" s="402"/>
      <c r="BY367" s="402"/>
      <c r="BZ367" s="402"/>
      <c r="CA367" s="402"/>
      <c r="CB367" s="402"/>
      <c r="CC367" s="402"/>
      <c r="CD367" s="402"/>
      <c r="CE367" s="402"/>
      <c r="CF367" s="402"/>
      <c r="CG367" s="402"/>
      <c r="CH367" s="402"/>
      <c r="CI367" s="402"/>
      <c r="CJ367" s="402"/>
    </row>
    <row r="368" spans="1:88" s="182" customFormat="1">
      <c r="A368" s="183"/>
      <c r="B368" s="183"/>
      <c r="C368" s="183"/>
      <c r="D368" s="183"/>
      <c r="E368" s="661"/>
      <c r="F368" s="661"/>
      <c r="G368" s="661"/>
      <c r="H368" s="661"/>
      <c r="I368" s="661"/>
      <c r="J368" s="661"/>
      <c r="K368" s="661"/>
      <c r="L368" s="661"/>
      <c r="M368" s="661"/>
      <c r="N368" s="661"/>
      <c r="O368" s="661"/>
      <c r="P368" s="661"/>
      <c r="Q368" s="661"/>
      <c r="R368" s="661"/>
      <c r="S368" s="661"/>
      <c r="T368" s="661"/>
      <c r="U368" s="661"/>
      <c r="V368" s="661"/>
      <c r="W368" s="661"/>
      <c r="X368" s="661"/>
      <c r="Y368" s="661"/>
      <c r="Z368" s="661"/>
      <c r="AA368" s="661"/>
      <c r="AB368" s="661"/>
      <c r="AC368" s="661"/>
      <c r="AD368" s="661"/>
      <c r="AE368" s="661"/>
      <c r="AF368" s="661"/>
      <c r="AG368" s="661"/>
      <c r="AH368" s="661"/>
      <c r="AI368" s="661"/>
      <c r="AJ368" s="661"/>
      <c r="AK368" s="661"/>
      <c r="AL368" s="661"/>
      <c r="AM368" s="221"/>
      <c r="AN368" s="221"/>
      <c r="AO368" s="221"/>
      <c r="AP368" s="661"/>
      <c r="AQ368" s="661"/>
      <c r="AR368" s="661"/>
      <c r="AS368" s="661"/>
      <c r="AT368" s="661"/>
      <c r="AU368" s="661"/>
      <c r="AV368" s="661"/>
      <c r="AW368" s="661"/>
      <c r="AX368" s="661"/>
      <c r="AY368" s="443"/>
      <c r="AZ368" s="443"/>
      <c r="BA368" s="443"/>
      <c r="BB368" s="443"/>
      <c r="BC368" s="443"/>
      <c r="BD368" s="443"/>
      <c r="BE368" s="443"/>
      <c r="BF368" s="443"/>
      <c r="BG368" s="443"/>
      <c r="BH368" s="443"/>
      <c r="BI368" s="533"/>
      <c r="BJ368" s="533"/>
      <c r="BK368" s="533"/>
      <c r="BL368" s="682"/>
      <c r="BM368" s="402"/>
      <c r="BN368" s="402"/>
      <c r="BO368" s="402"/>
      <c r="BP368" s="402"/>
      <c r="BQ368" s="402"/>
      <c r="BR368" s="402"/>
      <c r="BS368" s="402"/>
      <c r="BT368" s="402"/>
      <c r="BU368" s="402"/>
      <c r="BV368" s="402"/>
      <c r="BW368" s="402"/>
      <c r="BX368" s="402"/>
      <c r="BY368" s="402"/>
      <c r="BZ368" s="402"/>
      <c r="CA368" s="402"/>
      <c r="CB368" s="402"/>
      <c r="CC368" s="402"/>
      <c r="CD368" s="402"/>
      <c r="CE368" s="402"/>
      <c r="CF368" s="402"/>
      <c r="CG368" s="402"/>
      <c r="CH368" s="402"/>
      <c r="CI368" s="402"/>
      <c r="CJ368" s="402"/>
    </row>
    <row r="369" spans="1:88" s="182" customFormat="1">
      <c r="A369" s="183"/>
      <c r="B369" s="183"/>
      <c r="C369" s="183"/>
      <c r="D369" s="183"/>
      <c r="E369" s="661"/>
      <c r="F369" s="661"/>
      <c r="G369" s="661"/>
      <c r="H369" s="661"/>
      <c r="I369" s="661"/>
      <c r="J369" s="661"/>
      <c r="K369" s="661"/>
      <c r="L369" s="661"/>
      <c r="M369" s="661"/>
      <c r="N369" s="661"/>
      <c r="O369" s="661"/>
      <c r="P369" s="661"/>
      <c r="Q369" s="661"/>
      <c r="R369" s="661"/>
      <c r="S369" s="661"/>
      <c r="T369" s="661"/>
      <c r="U369" s="661"/>
      <c r="V369" s="661"/>
      <c r="W369" s="661"/>
      <c r="X369" s="661"/>
      <c r="Y369" s="661"/>
      <c r="Z369" s="661"/>
      <c r="AA369" s="661"/>
      <c r="AB369" s="661"/>
      <c r="AC369" s="661"/>
      <c r="AD369" s="661"/>
      <c r="AE369" s="661"/>
      <c r="AF369" s="661"/>
      <c r="AG369" s="661"/>
      <c r="AH369" s="661"/>
      <c r="AI369" s="661"/>
      <c r="AJ369" s="661"/>
      <c r="AK369" s="661"/>
      <c r="AL369" s="661"/>
      <c r="AM369" s="221"/>
      <c r="AN369" s="221"/>
      <c r="AO369" s="221"/>
      <c r="AP369" s="661"/>
      <c r="AQ369" s="661"/>
      <c r="AR369" s="661"/>
      <c r="AS369" s="661"/>
      <c r="AT369" s="661"/>
      <c r="AU369" s="661"/>
      <c r="AV369" s="661"/>
      <c r="AW369" s="661"/>
      <c r="AX369" s="661"/>
      <c r="AY369" s="443"/>
      <c r="AZ369" s="443"/>
      <c r="BA369" s="443"/>
      <c r="BB369" s="443"/>
      <c r="BC369" s="443"/>
      <c r="BD369" s="443"/>
      <c r="BE369" s="443"/>
      <c r="BF369" s="443"/>
      <c r="BG369" s="443"/>
      <c r="BH369" s="443"/>
      <c r="BI369" s="533"/>
      <c r="BJ369" s="533"/>
      <c r="BK369" s="533"/>
      <c r="BL369" s="682"/>
      <c r="BM369" s="402"/>
      <c r="BN369" s="402"/>
      <c r="BO369" s="402"/>
      <c r="BP369" s="402"/>
      <c r="BQ369" s="402"/>
      <c r="BR369" s="402"/>
      <c r="BS369" s="402"/>
      <c r="BT369" s="402"/>
      <c r="BU369" s="402"/>
      <c r="BV369" s="402"/>
      <c r="BW369" s="402"/>
      <c r="BX369" s="402"/>
      <c r="BY369" s="402"/>
      <c r="BZ369" s="402"/>
      <c r="CA369" s="402"/>
      <c r="CB369" s="402"/>
      <c r="CC369" s="402"/>
      <c r="CD369" s="402"/>
      <c r="CE369" s="402"/>
      <c r="CF369" s="402"/>
      <c r="CG369" s="402"/>
      <c r="CH369" s="402"/>
      <c r="CI369" s="402"/>
      <c r="CJ369" s="402"/>
    </row>
    <row r="370" spans="1:88" s="182" customFormat="1">
      <c r="A370" s="183"/>
      <c r="B370" s="183"/>
      <c r="C370" s="183"/>
      <c r="D370" s="183"/>
      <c r="E370" s="661"/>
      <c r="F370" s="661"/>
      <c r="G370" s="661"/>
      <c r="H370" s="661"/>
      <c r="I370" s="661"/>
      <c r="J370" s="661"/>
      <c r="K370" s="661"/>
      <c r="L370" s="661"/>
      <c r="M370" s="661"/>
      <c r="N370" s="661"/>
      <c r="O370" s="661"/>
      <c r="P370" s="661"/>
      <c r="Q370" s="661"/>
      <c r="R370" s="661"/>
      <c r="S370" s="661"/>
      <c r="T370" s="661"/>
      <c r="U370" s="661"/>
      <c r="V370" s="661"/>
      <c r="W370" s="661"/>
      <c r="X370" s="661"/>
      <c r="Y370" s="661"/>
      <c r="Z370" s="661"/>
      <c r="AA370" s="661"/>
      <c r="AB370" s="661"/>
      <c r="AC370" s="661"/>
      <c r="AD370" s="661"/>
      <c r="AE370" s="661"/>
      <c r="AF370" s="661"/>
      <c r="AG370" s="661"/>
      <c r="AH370" s="661"/>
      <c r="AI370" s="661"/>
      <c r="AJ370" s="661"/>
      <c r="AK370" s="661"/>
      <c r="AL370" s="661"/>
      <c r="AM370" s="221"/>
      <c r="AN370" s="221"/>
      <c r="AO370" s="221"/>
      <c r="AP370" s="661"/>
      <c r="AQ370" s="661"/>
      <c r="AR370" s="661"/>
      <c r="AS370" s="661"/>
      <c r="AT370" s="661"/>
      <c r="AU370" s="661"/>
      <c r="AV370" s="661"/>
      <c r="AW370" s="661"/>
      <c r="AX370" s="661"/>
      <c r="AY370" s="443"/>
      <c r="AZ370" s="443"/>
      <c r="BA370" s="443"/>
      <c r="BB370" s="443"/>
      <c r="BC370" s="443"/>
      <c r="BD370" s="443"/>
      <c r="BE370" s="443"/>
      <c r="BF370" s="443"/>
      <c r="BG370" s="443"/>
      <c r="BH370" s="443"/>
      <c r="BI370" s="533"/>
      <c r="BJ370" s="533"/>
      <c r="BK370" s="533"/>
      <c r="BL370" s="682"/>
      <c r="BM370" s="402"/>
      <c r="BN370" s="402"/>
      <c r="BO370" s="402"/>
      <c r="BP370" s="402"/>
      <c r="BQ370" s="402"/>
      <c r="BR370" s="402"/>
      <c r="BS370" s="402"/>
      <c r="BT370" s="402"/>
      <c r="BU370" s="402"/>
      <c r="BV370" s="402"/>
      <c r="BW370" s="402"/>
      <c r="BX370" s="402"/>
      <c r="BY370" s="402"/>
      <c r="BZ370" s="402"/>
      <c r="CA370" s="402"/>
      <c r="CB370" s="402"/>
      <c r="CC370" s="402"/>
      <c r="CD370" s="402"/>
      <c r="CE370" s="402"/>
      <c r="CF370" s="402"/>
      <c r="CG370" s="402"/>
      <c r="CH370" s="402"/>
      <c r="CI370" s="402"/>
      <c r="CJ370" s="402"/>
    </row>
    <row r="371" spans="1:88" s="182" customFormat="1">
      <c r="A371" s="183"/>
      <c r="B371" s="183"/>
      <c r="C371" s="183"/>
      <c r="D371" s="183"/>
      <c r="E371" s="661"/>
      <c r="F371" s="661"/>
      <c r="G371" s="661"/>
      <c r="H371" s="661"/>
      <c r="I371" s="661"/>
      <c r="J371" s="661"/>
      <c r="K371" s="661"/>
      <c r="L371" s="661"/>
      <c r="M371" s="661"/>
      <c r="N371" s="661"/>
      <c r="O371" s="661"/>
      <c r="P371" s="661"/>
      <c r="Q371" s="661"/>
      <c r="R371" s="661"/>
      <c r="S371" s="661"/>
      <c r="T371" s="661"/>
      <c r="U371" s="661"/>
      <c r="V371" s="661"/>
      <c r="W371" s="661"/>
      <c r="X371" s="661"/>
      <c r="Y371" s="661"/>
      <c r="Z371" s="661"/>
      <c r="AA371" s="661"/>
      <c r="AB371" s="661"/>
      <c r="AC371" s="661"/>
      <c r="AD371" s="661"/>
      <c r="AE371" s="661"/>
      <c r="AF371" s="661"/>
      <c r="AG371" s="661"/>
      <c r="AH371" s="661"/>
      <c r="AI371" s="661"/>
      <c r="AJ371" s="661"/>
      <c r="AK371" s="661"/>
      <c r="AL371" s="661"/>
      <c r="AM371" s="221"/>
      <c r="AN371" s="221"/>
      <c r="AO371" s="221"/>
      <c r="AP371" s="661"/>
      <c r="AQ371" s="661"/>
      <c r="AR371" s="661"/>
      <c r="AS371" s="661"/>
      <c r="AT371" s="661"/>
      <c r="AU371" s="661"/>
      <c r="AV371" s="661"/>
      <c r="AW371" s="661"/>
      <c r="AX371" s="661"/>
      <c r="AY371" s="443"/>
      <c r="AZ371" s="443"/>
      <c r="BA371" s="443"/>
      <c r="BB371" s="443"/>
      <c r="BC371" s="443"/>
      <c r="BD371" s="443"/>
      <c r="BE371" s="443"/>
      <c r="BF371" s="443"/>
      <c r="BG371" s="443"/>
      <c r="BH371" s="443"/>
      <c r="BI371" s="533"/>
      <c r="BJ371" s="533"/>
      <c r="BK371" s="533"/>
      <c r="BL371" s="682"/>
      <c r="BM371" s="402"/>
      <c r="BN371" s="402"/>
      <c r="BO371" s="402"/>
      <c r="BP371" s="402"/>
      <c r="BQ371" s="402"/>
      <c r="BR371" s="402"/>
      <c r="BS371" s="402"/>
      <c r="BT371" s="402"/>
      <c r="BU371" s="402"/>
      <c r="BV371" s="402"/>
      <c r="BW371" s="402"/>
      <c r="BX371" s="402"/>
      <c r="BY371" s="402"/>
      <c r="BZ371" s="402"/>
      <c r="CA371" s="402"/>
      <c r="CB371" s="402"/>
      <c r="CC371" s="402"/>
      <c r="CD371" s="402"/>
      <c r="CE371" s="402"/>
      <c r="CF371" s="402"/>
      <c r="CG371" s="402"/>
      <c r="CH371" s="402"/>
      <c r="CI371" s="402"/>
      <c r="CJ371" s="402"/>
    </row>
    <row r="372" spans="1:88" s="182" customFormat="1">
      <c r="A372" s="183"/>
      <c r="B372" s="183"/>
      <c r="C372" s="183"/>
      <c r="D372" s="183"/>
      <c r="E372" s="661"/>
      <c r="F372" s="661"/>
      <c r="G372" s="661"/>
      <c r="H372" s="661"/>
      <c r="I372" s="661"/>
      <c r="J372" s="661"/>
      <c r="K372" s="661"/>
      <c r="L372" s="661"/>
      <c r="M372" s="661"/>
      <c r="N372" s="661"/>
      <c r="O372" s="661"/>
      <c r="P372" s="661"/>
      <c r="Q372" s="661"/>
      <c r="R372" s="661"/>
      <c r="S372" s="661"/>
      <c r="T372" s="661"/>
      <c r="U372" s="661"/>
      <c r="V372" s="661"/>
      <c r="W372" s="661"/>
      <c r="X372" s="661"/>
      <c r="Y372" s="661"/>
      <c r="Z372" s="661"/>
      <c r="AA372" s="661"/>
      <c r="AB372" s="661"/>
      <c r="AC372" s="661"/>
      <c r="AD372" s="661"/>
      <c r="AE372" s="661"/>
      <c r="AF372" s="661"/>
      <c r="AG372" s="661"/>
      <c r="AH372" s="661"/>
      <c r="AI372" s="661"/>
      <c r="AJ372" s="661"/>
      <c r="AK372" s="661"/>
      <c r="AL372" s="661"/>
      <c r="AM372" s="221"/>
      <c r="AN372" s="221"/>
      <c r="AO372" s="221"/>
      <c r="AP372" s="661"/>
      <c r="AQ372" s="661"/>
      <c r="AR372" s="661"/>
      <c r="AS372" s="661"/>
      <c r="AT372" s="661"/>
      <c r="AU372" s="661"/>
      <c r="AV372" s="661"/>
      <c r="AW372" s="661"/>
      <c r="AX372" s="661"/>
      <c r="AY372" s="443"/>
      <c r="AZ372" s="443"/>
      <c r="BA372" s="443"/>
      <c r="BB372" s="443"/>
      <c r="BC372" s="443"/>
      <c r="BD372" s="443"/>
      <c r="BE372" s="443"/>
      <c r="BF372" s="443"/>
      <c r="BG372" s="443"/>
      <c r="BH372" s="443"/>
      <c r="BI372" s="533"/>
      <c r="BJ372" s="533"/>
      <c r="BK372" s="533"/>
      <c r="BL372" s="682"/>
      <c r="BM372" s="402"/>
      <c r="BN372" s="402"/>
      <c r="BO372" s="402"/>
      <c r="BP372" s="402"/>
      <c r="BQ372" s="402"/>
      <c r="BR372" s="402"/>
      <c r="BS372" s="402"/>
      <c r="BT372" s="402"/>
      <c r="BU372" s="402"/>
      <c r="BV372" s="402"/>
      <c r="BW372" s="402"/>
      <c r="BX372" s="402"/>
      <c r="BY372" s="402"/>
      <c r="BZ372" s="402"/>
      <c r="CA372" s="402"/>
      <c r="CB372" s="402"/>
      <c r="CC372" s="402"/>
      <c r="CD372" s="402"/>
      <c r="CE372" s="402"/>
      <c r="CF372" s="402"/>
      <c r="CG372" s="402"/>
      <c r="CH372" s="402"/>
      <c r="CI372" s="402"/>
      <c r="CJ372" s="402"/>
    </row>
    <row r="373" spans="1:88" s="182" customFormat="1">
      <c r="A373" s="183"/>
      <c r="B373" s="183"/>
      <c r="C373" s="183"/>
      <c r="D373" s="183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61"/>
      <c r="AB373" s="661"/>
      <c r="AC373" s="661"/>
      <c r="AD373" s="661"/>
      <c r="AE373" s="661"/>
      <c r="AF373" s="661"/>
      <c r="AG373" s="661"/>
      <c r="AH373" s="661"/>
      <c r="AI373" s="661"/>
      <c r="AJ373" s="661"/>
      <c r="AK373" s="661"/>
      <c r="AL373" s="661"/>
      <c r="AM373" s="221"/>
      <c r="AN373" s="221"/>
      <c r="AO373" s="221"/>
      <c r="AP373" s="661"/>
      <c r="AQ373" s="661"/>
      <c r="AR373" s="661"/>
      <c r="AS373" s="661"/>
      <c r="AT373" s="661"/>
      <c r="AU373" s="661"/>
      <c r="AV373" s="661"/>
      <c r="AW373" s="661"/>
      <c r="AX373" s="661"/>
      <c r="AY373" s="443"/>
      <c r="AZ373" s="443"/>
      <c r="BA373" s="443"/>
      <c r="BB373" s="443"/>
      <c r="BC373" s="443"/>
      <c r="BD373" s="443"/>
      <c r="BE373" s="443"/>
      <c r="BF373" s="443"/>
      <c r="BG373" s="443"/>
      <c r="BH373" s="443"/>
      <c r="BI373" s="533"/>
      <c r="BJ373" s="533"/>
      <c r="BK373" s="533"/>
      <c r="BL373" s="682"/>
      <c r="BM373" s="402"/>
      <c r="BN373" s="402"/>
      <c r="BO373" s="402"/>
      <c r="BP373" s="402"/>
      <c r="BQ373" s="402"/>
      <c r="BR373" s="402"/>
      <c r="BS373" s="402"/>
      <c r="BT373" s="402"/>
      <c r="BU373" s="402"/>
      <c r="BV373" s="402"/>
      <c r="BW373" s="402"/>
      <c r="BX373" s="402"/>
      <c r="BY373" s="402"/>
      <c r="BZ373" s="402"/>
      <c r="CA373" s="402"/>
      <c r="CB373" s="402"/>
      <c r="CC373" s="402"/>
      <c r="CD373" s="402"/>
      <c r="CE373" s="402"/>
      <c r="CF373" s="402"/>
      <c r="CG373" s="402"/>
      <c r="CH373" s="402"/>
      <c r="CI373" s="402"/>
      <c r="CJ373" s="402"/>
    </row>
    <row r="374" spans="1:88" s="182" customFormat="1">
      <c r="A374" s="183"/>
      <c r="B374" s="183"/>
      <c r="C374" s="183"/>
      <c r="D374" s="183"/>
      <c r="E374" s="661"/>
      <c r="F374" s="661"/>
      <c r="G374" s="661"/>
      <c r="H374" s="661"/>
      <c r="I374" s="661"/>
      <c r="J374" s="661"/>
      <c r="K374" s="661"/>
      <c r="L374" s="661"/>
      <c r="M374" s="661"/>
      <c r="N374" s="661"/>
      <c r="O374" s="661"/>
      <c r="P374" s="661"/>
      <c r="Q374" s="661"/>
      <c r="R374" s="661"/>
      <c r="S374" s="661"/>
      <c r="T374" s="661"/>
      <c r="U374" s="661"/>
      <c r="V374" s="661"/>
      <c r="W374" s="661"/>
      <c r="X374" s="661"/>
      <c r="Y374" s="661"/>
      <c r="Z374" s="661"/>
      <c r="AA374" s="661"/>
      <c r="AB374" s="661"/>
      <c r="AC374" s="661"/>
      <c r="AD374" s="661"/>
      <c r="AE374" s="661"/>
      <c r="AF374" s="661"/>
      <c r="AG374" s="661"/>
      <c r="AH374" s="661"/>
      <c r="AI374" s="661"/>
      <c r="AJ374" s="661"/>
      <c r="AK374" s="661"/>
      <c r="AL374" s="661"/>
      <c r="AM374" s="221"/>
      <c r="AN374" s="221"/>
      <c r="AO374" s="221"/>
      <c r="AP374" s="661"/>
      <c r="AQ374" s="661"/>
      <c r="AR374" s="661"/>
      <c r="AS374" s="661"/>
      <c r="AT374" s="661"/>
      <c r="AU374" s="661"/>
      <c r="AV374" s="661"/>
      <c r="AW374" s="661"/>
      <c r="AX374" s="661"/>
      <c r="AY374" s="443"/>
      <c r="AZ374" s="443"/>
      <c r="BA374" s="443"/>
      <c r="BB374" s="443"/>
      <c r="BC374" s="443"/>
      <c r="BD374" s="443"/>
      <c r="BE374" s="443"/>
      <c r="BF374" s="443"/>
      <c r="BG374" s="443"/>
      <c r="BH374" s="443"/>
      <c r="BI374" s="533"/>
      <c r="BJ374" s="533"/>
      <c r="BK374" s="533"/>
      <c r="BL374" s="682"/>
      <c r="BM374" s="402"/>
      <c r="BN374" s="402"/>
      <c r="BO374" s="402"/>
      <c r="BP374" s="402"/>
      <c r="BQ374" s="402"/>
      <c r="BR374" s="402"/>
      <c r="BS374" s="402"/>
      <c r="BT374" s="402"/>
      <c r="BU374" s="402"/>
      <c r="BV374" s="402"/>
      <c r="BW374" s="402"/>
      <c r="BX374" s="402"/>
      <c r="BY374" s="402"/>
      <c r="BZ374" s="402"/>
      <c r="CA374" s="402"/>
      <c r="CB374" s="402"/>
      <c r="CC374" s="402"/>
      <c r="CD374" s="402"/>
      <c r="CE374" s="402"/>
      <c r="CF374" s="402"/>
      <c r="CG374" s="402"/>
      <c r="CH374" s="402"/>
      <c r="CI374" s="402"/>
      <c r="CJ374" s="402"/>
    </row>
    <row r="375" spans="1:88" s="182" customFormat="1">
      <c r="A375" s="183"/>
      <c r="B375" s="183"/>
      <c r="C375" s="183"/>
      <c r="D375" s="183"/>
      <c r="E375" s="661"/>
      <c r="F375" s="661"/>
      <c r="G375" s="661"/>
      <c r="H375" s="661"/>
      <c r="I375" s="661"/>
      <c r="J375" s="661"/>
      <c r="K375" s="661"/>
      <c r="L375" s="661"/>
      <c r="M375" s="661"/>
      <c r="N375" s="661"/>
      <c r="O375" s="661"/>
      <c r="P375" s="661"/>
      <c r="Q375" s="661"/>
      <c r="R375" s="661"/>
      <c r="S375" s="661"/>
      <c r="T375" s="661"/>
      <c r="U375" s="661"/>
      <c r="V375" s="661"/>
      <c r="W375" s="661"/>
      <c r="X375" s="661"/>
      <c r="Y375" s="661"/>
      <c r="Z375" s="661"/>
      <c r="AA375" s="661"/>
      <c r="AB375" s="661"/>
      <c r="AC375" s="661"/>
      <c r="AD375" s="661"/>
      <c r="AE375" s="661"/>
      <c r="AF375" s="661"/>
      <c r="AG375" s="661"/>
      <c r="AH375" s="661"/>
      <c r="AI375" s="661"/>
      <c r="AJ375" s="661"/>
      <c r="AK375" s="661"/>
      <c r="AL375" s="661"/>
      <c r="AM375" s="221"/>
      <c r="AN375" s="221"/>
      <c r="AO375" s="221"/>
      <c r="AP375" s="661"/>
      <c r="AQ375" s="661"/>
      <c r="AR375" s="661"/>
      <c r="AS375" s="661"/>
      <c r="AT375" s="661"/>
      <c r="AU375" s="661"/>
      <c r="AV375" s="661"/>
      <c r="AW375" s="661"/>
      <c r="AX375" s="661"/>
      <c r="AY375" s="443"/>
      <c r="AZ375" s="443"/>
      <c r="BA375" s="443"/>
      <c r="BB375" s="443"/>
      <c r="BC375" s="443"/>
      <c r="BD375" s="443"/>
      <c r="BE375" s="443"/>
      <c r="BF375" s="443"/>
      <c r="BG375" s="443"/>
      <c r="BH375" s="443"/>
      <c r="BI375" s="533"/>
      <c r="BJ375" s="533"/>
      <c r="BK375" s="533"/>
      <c r="BL375" s="682"/>
      <c r="BM375" s="402"/>
      <c r="BN375" s="402"/>
      <c r="BO375" s="402"/>
      <c r="BP375" s="402"/>
      <c r="BQ375" s="402"/>
      <c r="BR375" s="402"/>
      <c r="BS375" s="402"/>
      <c r="BT375" s="402"/>
      <c r="BU375" s="402"/>
      <c r="BV375" s="402"/>
      <c r="BW375" s="402"/>
      <c r="BX375" s="402"/>
      <c r="BY375" s="402"/>
      <c r="BZ375" s="402"/>
      <c r="CA375" s="402"/>
      <c r="CB375" s="402"/>
      <c r="CC375" s="402"/>
      <c r="CD375" s="402"/>
      <c r="CE375" s="402"/>
      <c r="CF375" s="402"/>
      <c r="CG375" s="402"/>
      <c r="CH375" s="402"/>
      <c r="CI375" s="402"/>
      <c r="CJ375" s="402"/>
    </row>
    <row r="376" spans="1:88" s="182" customFormat="1">
      <c r="A376" s="183"/>
      <c r="B376" s="183"/>
      <c r="C376" s="183"/>
      <c r="D376" s="183"/>
      <c r="E376" s="661"/>
      <c r="F376" s="661"/>
      <c r="G376" s="661"/>
      <c r="H376" s="661"/>
      <c r="I376" s="661"/>
      <c r="J376" s="661"/>
      <c r="K376" s="661"/>
      <c r="L376" s="661"/>
      <c r="M376" s="661"/>
      <c r="N376" s="661"/>
      <c r="O376" s="661"/>
      <c r="P376" s="661"/>
      <c r="Q376" s="661"/>
      <c r="R376" s="661"/>
      <c r="S376" s="661"/>
      <c r="T376" s="661"/>
      <c r="U376" s="661"/>
      <c r="V376" s="661"/>
      <c r="W376" s="661"/>
      <c r="X376" s="661"/>
      <c r="Y376" s="661"/>
      <c r="Z376" s="661"/>
      <c r="AA376" s="661"/>
      <c r="AB376" s="661"/>
      <c r="AC376" s="661"/>
      <c r="AD376" s="661"/>
      <c r="AE376" s="661"/>
      <c r="AF376" s="661"/>
      <c r="AG376" s="661"/>
      <c r="AH376" s="661"/>
      <c r="AI376" s="661"/>
      <c r="AJ376" s="661"/>
      <c r="AK376" s="661"/>
      <c r="AL376" s="661"/>
      <c r="AM376" s="221"/>
      <c r="AN376" s="221"/>
      <c r="AO376" s="221"/>
      <c r="AP376" s="661"/>
      <c r="AQ376" s="661"/>
      <c r="AR376" s="661"/>
      <c r="AS376" s="661"/>
      <c r="AT376" s="661"/>
      <c r="AU376" s="661"/>
      <c r="AV376" s="661"/>
      <c r="AW376" s="661"/>
      <c r="AX376" s="661"/>
      <c r="AY376" s="443"/>
      <c r="AZ376" s="443"/>
      <c r="BA376" s="443"/>
      <c r="BB376" s="443"/>
      <c r="BC376" s="443"/>
      <c r="BD376" s="443"/>
      <c r="BE376" s="443"/>
      <c r="BF376" s="443"/>
      <c r="BG376" s="443"/>
      <c r="BH376" s="443"/>
      <c r="BI376" s="533"/>
      <c r="BJ376" s="533"/>
      <c r="BK376" s="533"/>
      <c r="BL376" s="682"/>
      <c r="BM376" s="402"/>
      <c r="BN376" s="402"/>
      <c r="BO376" s="402"/>
      <c r="BP376" s="402"/>
      <c r="BQ376" s="402"/>
      <c r="BR376" s="402"/>
      <c r="BS376" s="402"/>
      <c r="BT376" s="402"/>
      <c r="BU376" s="402"/>
      <c r="BV376" s="402"/>
      <c r="BW376" s="402"/>
      <c r="BX376" s="402"/>
      <c r="BY376" s="402"/>
      <c r="BZ376" s="402"/>
      <c r="CA376" s="402"/>
      <c r="CB376" s="402"/>
      <c r="CC376" s="402"/>
      <c r="CD376" s="402"/>
      <c r="CE376" s="402"/>
      <c r="CF376" s="402"/>
      <c r="CG376" s="402"/>
      <c r="CH376" s="402"/>
      <c r="CI376" s="402"/>
      <c r="CJ376" s="402"/>
    </row>
    <row r="377" spans="1:88" s="182" customFormat="1">
      <c r="A377" s="183"/>
      <c r="B377" s="183"/>
      <c r="C377" s="183"/>
      <c r="D377" s="183"/>
      <c r="E377" s="661"/>
      <c r="F377" s="661"/>
      <c r="G377" s="661"/>
      <c r="H377" s="661"/>
      <c r="I377" s="661"/>
      <c r="J377" s="661"/>
      <c r="K377" s="661"/>
      <c r="L377" s="661"/>
      <c r="M377" s="661"/>
      <c r="N377" s="661"/>
      <c r="O377" s="661"/>
      <c r="P377" s="661"/>
      <c r="Q377" s="661"/>
      <c r="R377" s="661"/>
      <c r="S377" s="661"/>
      <c r="T377" s="661"/>
      <c r="U377" s="661"/>
      <c r="V377" s="661"/>
      <c r="W377" s="661"/>
      <c r="X377" s="661"/>
      <c r="Y377" s="661"/>
      <c r="Z377" s="661"/>
      <c r="AA377" s="661"/>
      <c r="AB377" s="661"/>
      <c r="AC377" s="661"/>
      <c r="AD377" s="661"/>
      <c r="AE377" s="661"/>
      <c r="AF377" s="661"/>
      <c r="AG377" s="661"/>
      <c r="AH377" s="661"/>
      <c r="AI377" s="661"/>
      <c r="AJ377" s="661"/>
      <c r="AK377" s="661"/>
      <c r="AL377" s="661"/>
      <c r="AM377" s="221"/>
      <c r="AN377" s="221"/>
      <c r="AO377" s="221"/>
      <c r="AP377" s="661"/>
      <c r="AQ377" s="661"/>
      <c r="AR377" s="661"/>
      <c r="AS377" s="661"/>
      <c r="AT377" s="661"/>
      <c r="AU377" s="661"/>
      <c r="AV377" s="661"/>
      <c r="AW377" s="661"/>
      <c r="AX377" s="661"/>
      <c r="AY377" s="443"/>
      <c r="AZ377" s="443"/>
      <c r="BA377" s="443"/>
      <c r="BB377" s="443"/>
      <c r="BC377" s="443"/>
      <c r="BD377" s="443"/>
      <c r="BE377" s="443"/>
      <c r="BF377" s="443"/>
      <c r="BG377" s="443"/>
      <c r="BH377" s="443"/>
      <c r="BI377" s="533"/>
      <c r="BJ377" s="533"/>
      <c r="BK377" s="533"/>
      <c r="BL377" s="682"/>
      <c r="BM377" s="402"/>
      <c r="BN377" s="402"/>
      <c r="BO377" s="402"/>
      <c r="BP377" s="402"/>
      <c r="BQ377" s="402"/>
      <c r="BR377" s="402"/>
      <c r="BS377" s="402"/>
      <c r="BT377" s="402"/>
      <c r="BU377" s="402"/>
      <c r="BV377" s="402"/>
      <c r="BW377" s="402"/>
      <c r="BX377" s="402"/>
      <c r="BY377" s="402"/>
      <c r="BZ377" s="402"/>
      <c r="CA377" s="402"/>
      <c r="CB377" s="402"/>
      <c r="CC377" s="402"/>
      <c r="CD377" s="402"/>
      <c r="CE377" s="402"/>
      <c r="CF377" s="402"/>
      <c r="CG377" s="402"/>
      <c r="CH377" s="402"/>
      <c r="CI377" s="402"/>
      <c r="CJ377" s="402"/>
    </row>
    <row r="378" spans="1:88" s="182" customFormat="1">
      <c r="A378" s="183"/>
      <c r="B378" s="183"/>
      <c r="C378" s="183"/>
      <c r="D378" s="183"/>
      <c r="E378" s="661"/>
      <c r="F378" s="661"/>
      <c r="G378" s="661"/>
      <c r="H378" s="661"/>
      <c r="I378" s="661"/>
      <c r="J378" s="661"/>
      <c r="K378" s="661"/>
      <c r="L378" s="661"/>
      <c r="M378" s="661"/>
      <c r="N378" s="661"/>
      <c r="O378" s="661"/>
      <c r="P378" s="661"/>
      <c r="Q378" s="661"/>
      <c r="R378" s="661"/>
      <c r="S378" s="661"/>
      <c r="T378" s="661"/>
      <c r="U378" s="661"/>
      <c r="V378" s="661"/>
      <c r="W378" s="661"/>
      <c r="X378" s="661"/>
      <c r="Y378" s="661"/>
      <c r="Z378" s="661"/>
      <c r="AA378" s="661"/>
      <c r="AB378" s="661"/>
      <c r="AC378" s="661"/>
      <c r="AD378" s="661"/>
      <c r="AE378" s="661"/>
      <c r="AF378" s="661"/>
      <c r="AG378" s="661"/>
      <c r="AH378" s="661"/>
      <c r="AI378" s="661"/>
      <c r="AJ378" s="661"/>
      <c r="AK378" s="661"/>
      <c r="AL378" s="661"/>
      <c r="AM378" s="221"/>
      <c r="AN378" s="221"/>
      <c r="AO378" s="221"/>
      <c r="AP378" s="661"/>
      <c r="AQ378" s="661"/>
      <c r="AR378" s="661"/>
      <c r="AS378" s="661"/>
      <c r="AT378" s="661"/>
      <c r="AU378" s="661"/>
      <c r="AV378" s="661"/>
      <c r="AW378" s="661"/>
      <c r="AX378" s="661"/>
      <c r="AY378" s="443"/>
      <c r="AZ378" s="443"/>
      <c r="BA378" s="443"/>
      <c r="BB378" s="443"/>
      <c r="BC378" s="443"/>
      <c r="BD378" s="443"/>
      <c r="BE378" s="443"/>
      <c r="BF378" s="443"/>
      <c r="BG378" s="443"/>
      <c r="BH378" s="443"/>
      <c r="BI378" s="533"/>
      <c r="BJ378" s="533"/>
      <c r="BK378" s="533"/>
      <c r="BL378" s="682"/>
      <c r="BM378" s="402"/>
      <c r="BN378" s="402"/>
      <c r="BO378" s="402"/>
      <c r="BP378" s="402"/>
      <c r="BQ378" s="402"/>
      <c r="BR378" s="402"/>
      <c r="BS378" s="402"/>
      <c r="BT378" s="402"/>
      <c r="BU378" s="402"/>
      <c r="BV378" s="402"/>
      <c r="BW378" s="402"/>
      <c r="BX378" s="402"/>
      <c r="BY378" s="402"/>
      <c r="BZ378" s="402"/>
      <c r="CA378" s="402"/>
      <c r="CB378" s="402"/>
      <c r="CC378" s="402"/>
      <c r="CD378" s="402"/>
      <c r="CE378" s="402"/>
      <c r="CF378" s="402"/>
      <c r="CG378" s="402"/>
      <c r="CH378" s="402"/>
      <c r="CI378" s="402"/>
      <c r="CJ378" s="402"/>
    </row>
    <row r="379" spans="1:88" s="182" customFormat="1">
      <c r="A379" s="183"/>
      <c r="B379" s="183"/>
      <c r="C379" s="183"/>
      <c r="D379" s="183"/>
      <c r="E379" s="661"/>
      <c r="F379" s="661"/>
      <c r="G379" s="661"/>
      <c r="H379" s="661"/>
      <c r="I379" s="661"/>
      <c r="J379" s="661"/>
      <c r="K379" s="661"/>
      <c r="L379" s="661"/>
      <c r="M379" s="661"/>
      <c r="N379" s="661"/>
      <c r="O379" s="661"/>
      <c r="P379" s="661"/>
      <c r="Q379" s="661"/>
      <c r="R379" s="661"/>
      <c r="S379" s="661"/>
      <c r="T379" s="661"/>
      <c r="U379" s="661"/>
      <c r="V379" s="661"/>
      <c r="W379" s="661"/>
      <c r="X379" s="661"/>
      <c r="Y379" s="661"/>
      <c r="Z379" s="661"/>
      <c r="AA379" s="661"/>
      <c r="AB379" s="661"/>
      <c r="AC379" s="661"/>
      <c r="AD379" s="661"/>
      <c r="AE379" s="661"/>
      <c r="AF379" s="661"/>
      <c r="AG379" s="661"/>
      <c r="AH379" s="661"/>
      <c r="AI379" s="661"/>
      <c r="AJ379" s="661"/>
      <c r="AK379" s="661"/>
      <c r="AL379" s="661"/>
      <c r="AM379" s="221"/>
      <c r="AN379" s="221"/>
      <c r="AO379" s="221"/>
      <c r="AP379" s="661"/>
      <c r="AQ379" s="661"/>
      <c r="AR379" s="661"/>
      <c r="AS379" s="661"/>
      <c r="AT379" s="661"/>
      <c r="AU379" s="661"/>
      <c r="AV379" s="661"/>
      <c r="AW379" s="661"/>
      <c r="AX379" s="661"/>
      <c r="AY379" s="443"/>
      <c r="AZ379" s="443"/>
      <c r="BA379" s="443"/>
      <c r="BB379" s="443"/>
      <c r="BC379" s="443"/>
      <c r="BD379" s="443"/>
      <c r="BE379" s="443"/>
      <c r="BF379" s="443"/>
      <c r="BG379" s="443"/>
      <c r="BH379" s="443"/>
      <c r="BI379" s="533"/>
      <c r="BJ379" s="533"/>
      <c r="BK379" s="533"/>
      <c r="BL379" s="682"/>
      <c r="BM379" s="402"/>
      <c r="BN379" s="402"/>
      <c r="BO379" s="402"/>
      <c r="BP379" s="402"/>
      <c r="BQ379" s="402"/>
      <c r="BR379" s="402"/>
      <c r="BS379" s="402"/>
      <c r="BT379" s="402"/>
      <c r="BU379" s="402"/>
      <c r="BV379" s="402"/>
      <c r="BW379" s="402"/>
      <c r="BX379" s="402"/>
      <c r="BY379" s="402"/>
      <c r="BZ379" s="402"/>
      <c r="CA379" s="402"/>
      <c r="CB379" s="402"/>
      <c r="CC379" s="402"/>
      <c r="CD379" s="402"/>
      <c r="CE379" s="402"/>
      <c r="CF379" s="402"/>
      <c r="CG379" s="402"/>
      <c r="CH379" s="402"/>
      <c r="CI379" s="402"/>
      <c r="CJ379" s="402"/>
    </row>
    <row r="380" spans="1:88" s="182" customFormat="1">
      <c r="A380" s="183"/>
      <c r="B380" s="183"/>
      <c r="C380" s="183"/>
      <c r="D380" s="183"/>
      <c r="E380" s="661"/>
      <c r="F380" s="661"/>
      <c r="G380" s="661"/>
      <c r="H380" s="661"/>
      <c r="I380" s="661"/>
      <c r="J380" s="661"/>
      <c r="K380" s="661"/>
      <c r="L380" s="661"/>
      <c r="M380" s="661"/>
      <c r="N380" s="661"/>
      <c r="O380" s="661"/>
      <c r="P380" s="661"/>
      <c r="Q380" s="661"/>
      <c r="R380" s="661"/>
      <c r="S380" s="661"/>
      <c r="T380" s="661"/>
      <c r="U380" s="661"/>
      <c r="V380" s="661"/>
      <c r="W380" s="661"/>
      <c r="X380" s="661"/>
      <c r="Y380" s="661"/>
      <c r="Z380" s="661"/>
      <c r="AA380" s="661"/>
      <c r="AB380" s="661"/>
      <c r="AC380" s="661"/>
      <c r="AD380" s="661"/>
      <c r="AE380" s="661"/>
      <c r="AF380" s="661"/>
      <c r="AG380" s="661"/>
      <c r="AH380" s="661"/>
      <c r="AI380" s="661"/>
      <c r="AJ380" s="661"/>
      <c r="AK380" s="661"/>
      <c r="AL380" s="661"/>
      <c r="AM380" s="221"/>
      <c r="AN380" s="221"/>
      <c r="AO380" s="221"/>
      <c r="AP380" s="661"/>
      <c r="AQ380" s="661"/>
      <c r="AR380" s="661"/>
      <c r="AS380" s="661"/>
      <c r="AT380" s="661"/>
      <c r="AU380" s="661"/>
      <c r="AV380" s="661"/>
      <c r="AW380" s="661"/>
      <c r="AX380" s="661"/>
      <c r="AY380" s="443"/>
      <c r="AZ380" s="443"/>
      <c r="BA380" s="443"/>
      <c r="BB380" s="443"/>
      <c r="BC380" s="443"/>
      <c r="BD380" s="443"/>
      <c r="BE380" s="443"/>
      <c r="BF380" s="443"/>
      <c r="BG380" s="443"/>
      <c r="BH380" s="443"/>
      <c r="BI380" s="533"/>
      <c r="BJ380" s="533"/>
      <c r="BK380" s="533"/>
      <c r="BL380" s="682"/>
      <c r="BM380" s="402"/>
      <c r="BN380" s="402"/>
      <c r="BO380" s="402"/>
      <c r="BP380" s="402"/>
      <c r="BQ380" s="402"/>
      <c r="BR380" s="402"/>
      <c r="BS380" s="402"/>
      <c r="BT380" s="402"/>
      <c r="BU380" s="402"/>
      <c r="BV380" s="402"/>
      <c r="BW380" s="402"/>
      <c r="BX380" s="402"/>
      <c r="BY380" s="402"/>
      <c r="BZ380" s="402"/>
      <c r="CA380" s="402"/>
      <c r="CB380" s="402"/>
      <c r="CC380" s="402"/>
      <c r="CD380" s="402"/>
      <c r="CE380" s="402"/>
      <c r="CF380" s="402"/>
      <c r="CG380" s="402"/>
      <c r="CH380" s="402"/>
      <c r="CI380" s="402"/>
      <c r="CJ380" s="402"/>
    </row>
    <row r="381" spans="1:88" s="182" customFormat="1">
      <c r="A381" s="183"/>
      <c r="B381" s="183"/>
      <c r="C381" s="183"/>
      <c r="D381" s="183"/>
      <c r="E381" s="661"/>
      <c r="F381" s="661"/>
      <c r="G381" s="661"/>
      <c r="H381" s="661"/>
      <c r="I381" s="661"/>
      <c r="J381" s="661"/>
      <c r="K381" s="661"/>
      <c r="L381" s="661"/>
      <c r="M381" s="661"/>
      <c r="N381" s="661"/>
      <c r="O381" s="661"/>
      <c r="P381" s="661"/>
      <c r="Q381" s="661"/>
      <c r="R381" s="661"/>
      <c r="S381" s="661"/>
      <c r="T381" s="661"/>
      <c r="U381" s="661"/>
      <c r="V381" s="661"/>
      <c r="W381" s="661"/>
      <c r="X381" s="661"/>
      <c r="Y381" s="661"/>
      <c r="Z381" s="661"/>
      <c r="AA381" s="661"/>
      <c r="AB381" s="661"/>
      <c r="AC381" s="661"/>
      <c r="AD381" s="661"/>
      <c r="AE381" s="661"/>
      <c r="AF381" s="661"/>
      <c r="AG381" s="661"/>
      <c r="AH381" s="661"/>
      <c r="AI381" s="661"/>
      <c r="AJ381" s="661"/>
      <c r="AK381" s="661"/>
      <c r="AL381" s="661"/>
      <c r="AM381" s="221"/>
      <c r="AN381" s="221"/>
      <c r="AO381" s="221"/>
      <c r="AP381" s="661"/>
      <c r="AQ381" s="661"/>
      <c r="AR381" s="661"/>
      <c r="AS381" s="661"/>
      <c r="AT381" s="661"/>
      <c r="AU381" s="661"/>
      <c r="AV381" s="661"/>
      <c r="AW381" s="661"/>
      <c r="AX381" s="661"/>
      <c r="AY381" s="443"/>
      <c r="AZ381" s="443"/>
      <c r="BA381" s="443"/>
      <c r="BB381" s="443"/>
      <c r="BC381" s="443"/>
      <c r="BD381" s="443"/>
      <c r="BE381" s="443"/>
      <c r="BF381" s="443"/>
      <c r="BG381" s="443"/>
      <c r="BH381" s="443"/>
      <c r="BI381" s="533"/>
      <c r="BJ381" s="533"/>
      <c r="BK381" s="533"/>
      <c r="BL381" s="682"/>
      <c r="BM381" s="402"/>
      <c r="BN381" s="402"/>
      <c r="BO381" s="402"/>
      <c r="BP381" s="402"/>
      <c r="BQ381" s="402"/>
      <c r="BR381" s="402"/>
      <c r="BS381" s="402"/>
      <c r="BT381" s="402"/>
      <c r="BU381" s="402"/>
      <c r="BV381" s="402"/>
      <c r="BW381" s="402"/>
      <c r="BX381" s="402"/>
      <c r="BY381" s="402"/>
      <c r="BZ381" s="402"/>
      <c r="CA381" s="402"/>
      <c r="CB381" s="402"/>
      <c r="CC381" s="402"/>
      <c r="CD381" s="402"/>
      <c r="CE381" s="402"/>
      <c r="CF381" s="402"/>
      <c r="CG381" s="402"/>
      <c r="CH381" s="402"/>
      <c r="CI381" s="402"/>
      <c r="CJ381" s="402"/>
    </row>
    <row r="382" spans="1:88" s="182" customFormat="1">
      <c r="A382" s="183"/>
      <c r="B382" s="183"/>
      <c r="C382" s="183"/>
      <c r="D382" s="183"/>
      <c r="E382" s="661"/>
      <c r="F382" s="661"/>
      <c r="G382" s="661"/>
      <c r="H382" s="661"/>
      <c r="I382" s="661"/>
      <c r="J382" s="661"/>
      <c r="K382" s="661"/>
      <c r="L382" s="661"/>
      <c r="M382" s="661"/>
      <c r="N382" s="661"/>
      <c r="O382" s="661"/>
      <c r="P382" s="661"/>
      <c r="Q382" s="661"/>
      <c r="R382" s="661"/>
      <c r="S382" s="661"/>
      <c r="T382" s="661"/>
      <c r="U382" s="661"/>
      <c r="V382" s="661"/>
      <c r="W382" s="661"/>
      <c r="X382" s="661"/>
      <c r="Y382" s="661"/>
      <c r="Z382" s="661"/>
      <c r="AA382" s="661"/>
      <c r="AB382" s="661"/>
      <c r="AC382" s="661"/>
      <c r="AD382" s="661"/>
      <c r="AE382" s="661"/>
      <c r="AF382" s="661"/>
      <c r="AG382" s="661"/>
      <c r="AH382" s="661"/>
      <c r="AI382" s="661"/>
      <c r="AJ382" s="661"/>
      <c r="AK382" s="661"/>
      <c r="AL382" s="661"/>
      <c r="AM382" s="221"/>
      <c r="AN382" s="221"/>
      <c r="AO382" s="221"/>
      <c r="AP382" s="661"/>
      <c r="AQ382" s="661"/>
      <c r="AR382" s="661"/>
      <c r="AS382" s="661"/>
      <c r="AT382" s="661"/>
      <c r="AU382" s="661"/>
      <c r="AV382" s="661"/>
      <c r="AW382" s="661"/>
      <c r="AX382" s="661"/>
      <c r="AY382" s="443"/>
      <c r="AZ382" s="443"/>
      <c r="BA382" s="443"/>
      <c r="BB382" s="443"/>
      <c r="BC382" s="443"/>
      <c r="BD382" s="443"/>
      <c r="BE382" s="443"/>
      <c r="BF382" s="443"/>
      <c r="BG382" s="443"/>
      <c r="BH382" s="443"/>
      <c r="BI382" s="533"/>
      <c r="BJ382" s="533"/>
      <c r="BK382" s="533"/>
      <c r="BL382" s="682"/>
      <c r="BM382" s="402"/>
      <c r="BN382" s="402"/>
      <c r="BO382" s="402"/>
      <c r="BP382" s="402"/>
      <c r="BQ382" s="402"/>
      <c r="BR382" s="402"/>
      <c r="BS382" s="402"/>
      <c r="BT382" s="402"/>
      <c r="BU382" s="402"/>
      <c r="BV382" s="402"/>
      <c r="BW382" s="402"/>
      <c r="BX382" s="402"/>
      <c r="BY382" s="402"/>
      <c r="BZ382" s="402"/>
      <c r="CA382" s="402"/>
      <c r="CB382" s="402"/>
      <c r="CC382" s="402"/>
      <c r="CD382" s="402"/>
      <c r="CE382" s="402"/>
      <c r="CF382" s="402"/>
      <c r="CG382" s="402"/>
      <c r="CH382" s="402"/>
      <c r="CI382" s="402"/>
      <c r="CJ382" s="402"/>
    </row>
    <row r="383" spans="1:88" s="182" customFormat="1">
      <c r="A383" s="183"/>
      <c r="B383" s="183"/>
      <c r="C383" s="183"/>
      <c r="D383" s="183"/>
      <c r="E383" s="661"/>
      <c r="F383" s="661"/>
      <c r="G383" s="661"/>
      <c r="H383" s="661"/>
      <c r="I383" s="661"/>
      <c r="J383" s="661"/>
      <c r="K383" s="661"/>
      <c r="L383" s="661"/>
      <c r="M383" s="661"/>
      <c r="N383" s="661"/>
      <c r="O383" s="661"/>
      <c r="P383" s="661"/>
      <c r="Q383" s="661"/>
      <c r="R383" s="661"/>
      <c r="S383" s="661"/>
      <c r="T383" s="661"/>
      <c r="U383" s="661"/>
      <c r="V383" s="661"/>
      <c r="W383" s="661"/>
      <c r="X383" s="661"/>
      <c r="Y383" s="661"/>
      <c r="Z383" s="661"/>
      <c r="AA383" s="661"/>
      <c r="AB383" s="661"/>
      <c r="AC383" s="661"/>
      <c r="AD383" s="661"/>
      <c r="AE383" s="661"/>
      <c r="AF383" s="661"/>
      <c r="AG383" s="661"/>
      <c r="AH383" s="661"/>
      <c r="AI383" s="661"/>
      <c r="AJ383" s="661"/>
      <c r="AK383" s="661"/>
      <c r="AL383" s="661"/>
      <c r="AM383" s="221"/>
      <c r="AN383" s="221"/>
      <c r="AO383" s="221"/>
      <c r="AP383" s="661"/>
      <c r="AQ383" s="661"/>
      <c r="AR383" s="661"/>
      <c r="AS383" s="661"/>
      <c r="AT383" s="661"/>
      <c r="AU383" s="661"/>
      <c r="AV383" s="661"/>
      <c r="AW383" s="661"/>
      <c r="AX383" s="661"/>
      <c r="AY383" s="443"/>
      <c r="AZ383" s="443"/>
      <c r="BA383" s="443"/>
      <c r="BB383" s="443"/>
      <c r="BC383" s="443"/>
      <c r="BD383" s="443"/>
      <c r="BE383" s="443"/>
      <c r="BF383" s="443"/>
      <c r="BG383" s="443"/>
      <c r="BH383" s="443"/>
      <c r="BI383" s="533"/>
      <c r="BJ383" s="533"/>
      <c r="BK383" s="533"/>
      <c r="BL383" s="682"/>
      <c r="BM383" s="402"/>
      <c r="BN383" s="402"/>
      <c r="BO383" s="402"/>
      <c r="BP383" s="402"/>
      <c r="BQ383" s="402"/>
      <c r="BR383" s="402"/>
      <c r="BS383" s="402"/>
      <c r="BT383" s="402"/>
      <c r="BU383" s="402"/>
      <c r="BV383" s="402"/>
      <c r="BW383" s="402"/>
      <c r="BX383" s="402"/>
      <c r="BY383" s="402"/>
      <c r="BZ383" s="402"/>
      <c r="CA383" s="402"/>
      <c r="CB383" s="402"/>
      <c r="CC383" s="402"/>
      <c r="CD383" s="402"/>
      <c r="CE383" s="402"/>
      <c r="CF383" s="402"/>
      <c r="CG383" s="402"/>
      <c r="CH383" s="402"/>
      <c r="CI383" s="402"/>
      <c r="CJ383" s="402"/>
    </row>
    <row r="384" spans="1:88" s="182" customFormat="1">
      <c r="A384" s="183"/>
      <c r="B384" s="183"/>
      <c r="C384" s="183"/>
      <c r="D384" s="183"/>
      <c r="E384" s="661"/>
      <c r="F384" s="661"/>
      <c r="G384" s="661"/>
      <c r="H384" s="661"/>
      <c r="I384" s="661"/>
      <c r="J384" s="661"/>
      <c r="K384" s="661"/>
      <c r="L384" s="661"/>
      <c r="M384" s="661"/>
      <c r="N384" s="661"/>
      <c r="O384" s="661"/>
      <c r="P384" s="661"/>
      <c r="Q384" s="661"/>
      <c r="R384" s="661"/>
      <c r="S384" s="661"/>
      <c r="T384" s="661"/>
      <c r="U384" s="661"/>
      <c r="V384" s="661"/>
      <c r="W384" s="661"/>
      <c r="X384" s="661"/>
      <c r="Y384" s="661"/>
      <c r="Z384" s="661"/>
      <c r="AA384" s="661"/>
      <c r="AB384" s="661"/>
      <c r="AC384" s="661"/>
      <c r="AD384" s="661"/>
      <c r="AE384" s="661"/>
      <c r="AF384" s="661"/>
      <c r="AG384" s="661"/>
      <c r="AH384" s="661"/>
      <c r="AI384" s="661"/>
      <c r="AJ384" s="661"/>
      <c r="AK384" s="661"/>
      <c r="AL384" s="661"/>
      <c r="AM384" s="221"/>
      <c r="AN384" s="221"/>
      <c r="AO384" s="221"/>
      <c r="AP384" s="661"/>
      <c r="AQ384" s="661"/>
      <c r="AR384" s="661"/>
      <c r="AS384" s="661"/>
      <c r="AT384" s="661"/>
      <c r="AU384" s="661"/>
      <c r="AV384" s="661"/>
      <c r="AW384" s="661"/>
      <c r="AX384" s="661"/>
      <c r="AY384" s="443"/>
      <c r="AZ384" s="443"/>
      <c r="BA384" s="443"/>
      <c r="BB384" s="443"/>
      <c r="BC384" s="443"/>
      <c r="BD384" s="443"/>
      <c r="BE384" s="443"/>
      <c r="BF384" s="443"/>
      <c r="BG384" s="443"/>
      <c r="BH384" s="443"/>
      <c r="BI384" s="533"/>
      <c r="BJ384" s="533"/>
      <c r="BK384" s="533"/>
      <c r="BL384" s="682"/>
      <c r="BM384" s="402"/>
      <c r="BN384" s="402"/>
      <c r="BO384" s="402"/>
      <c r="BP384" s="402"/>
      <c r="BQ384" s="402"/>
      <c r="BR384" s="402"/>
      <c r="BS384" s="402"/>
      <c r="BT384" s="402"/>
      <c r="BU384" s="402"/>
      <c r="BV384" s="402"/>
      <c r="BW384" s="402"/>
      <c r="BX384" s="402"/>
      <c r="BY384" s="402"/>
      <c r="BZ384" s="402"/>
      <c r="CA384" s="402"/>
      <c r="CB384" s="402"/>
      <c r="CC384" s="402"/>
      <c r="CD384" s="402"/>
      <c r="CE384" s="402"/>
      <c r="CF384" s="402"/>
      <c r="CG384" s="402"/>
      <c r="CH384" s="402"/>
      <c r="CI384" s="402"/>
      <c r="CJ384" s="402"/>
    </row>
    <row r="385" spans="1:88" s="182" customFormat="1">
      <c r="A385" s="183"/>
      <c r="B385" s="183"/>
      <c r="C385" s="183"/>
      <c r="D385" s="183"/>
      <c r="E385" s="661"/>
      <c r="F385" s="661"/>
      <c r="G385" s="661"/>
      <c r="H385" s="661"/>
      <c r="I385" s="661"/>
      <c r="J385" s="661"/>
      <c r="K385" s="661"/>
      <c r="L385" s="661"/>
      <c r="M385" s="661"/>
      <c r="N385" s="661"/>
      <c r="O385" s="661"/>
      <c r="P385" s="661"/>
      <c r="Q385" s="661"/>
      <c r="R385" s="661"/>
      <c r="S385" s="661"/>
      <c r="T385" s="661"/>
      <c r="U385" s="661"/>
      <c r="V385" s="661"/>
      <c r="W385" s="661"/>
      <c r="X385" s="661"/>
      <c r="Y385" s="661"/>
      <c r="Z385" s="661"/>
      <c r="AA385" s="661"/>
      <c r="AB385" s="661"/>
      <c r="AC385" s="661"/>
      <c r="AD385" s="661"/>
      <c r="AE385" s="661"/>
      <c r="AF385" s="661"/>
      <c r="AG385" s="661"/>
      <c r="AH385" s="661"/>
      <c r="AI385" s="661"/>
      <c r="AJ385" s="661"/>
      <c r="AK385" s="661"/>
      <c r="AL385" s="661"/>
      <c r="AM385" s="221"/>
      <c r="AN385" s="221"/>
      <c r="AO385" s="221"/>
      <c r="AP385" s="661"/>
      <c r="AQ385" s="661"/>
      <c r="AR385" s="661"/>
      <c r="AS385" s="661"/>
      <c r="AT385" s="661"/>
      <c r="AU385" s="661"/>
      <c r="AV385" s="661"/>
      <c r="AW385" s="661"/>
      <c r="AX385" s="661"/>
      <c r="AY385" s="443"/>
      <c r="AZ385" s="443"/>
      <c r="BA385" s="443"/>
      <c r="BB385" s="443"/>
      <c r="BC385" s="443"/>
      <c r="BD385" s="443"/>
      <c r="BE385" s="443"/>
      <c r="BF385" s="443"/>
      <c r="BG385" s="443"/>
      <c r="BH385" s="443"/>
      <c r="BI385" s="533"/>
      <c r="BJ385" s="533"/>
      <c r="BK385" s="533"/>
      <c r="BL385" s="682"/>
      <c r="BM385" s="402"/>
      <c r="BN385" s="402"/>
      <c r="BO385" s="402"/>
      <c r="BP385" s="402"/>
      <c r="BQ385" s="402"/>
      <c r="BR385" s="402"/>
      <c r="BS385" s="402"/>
      <c r="BT385" s="402"/>
      <c r="BU385" s="402"/>
      <c r="BV385" s="402"/>
      <c r="BW385" s="402"/>
      <c r="BX385" s="402"/>
      <c r="BY385" s="402"/>
      <c r="BZ385" s="402"/>
      <c r="CA385" s="402"/>
      <c r="CB385" s="402"/>
      <c r="CC385" s="402"/>
      <c r="CD385" s="402"/>
      <c r="CE385" s="402"/>
      <c r="CF385" s="402"/>
      <c r="CG385" s="402"/>
      <c r="CH385" s="402"/>
      <c r="CI385" s="402"/>
      <c r="CJ385" s="402"/>
    </row>
    <row r="386" spans="1:88" s="182" customFormat="1">
      <c r="A386" s="183"/>
      <c r="B386" s="183"/>
      <c r="C386" s="183"/>
      <c r="D386" s="183"/>
      <c r="E386" s="661"/>
      <c r="F386" s="661"/>
      <c r="G386" s="661"/>
      <c r="H386" s="661"/>
      <c r="I386" s="661"/>
      <c r="J386" s="661"/>
      <c r="K386" s="661"/>
      <c r="L386" s="661"/>
      <c r="M386" s="661"/>
      <c r="N386" s="661"/>
      <c r="O386" s="661"/>
      <c r="P386" s="661"/>
      <c r="Q386" s="661"/>
      <c r="R386" s="661"/>
      <c r="S386" s="661"/>
      <c r="T386" s="661"/>
      <c r="U386" s="661"/>
      <c r="V386" s="661"/>
      <c r="W386" s="661"/>
      <c r="X386" s="661"/>
      <c r="Y386" s="661"/>
      <c r="Z386" s="661"/>
      <c r="AA386" s="661"/>
      <c r="AB386" s="661"/>
      <c r="AC386" s="661"/>
      <c r="AD386" s="661"/>
      <c r="AE386" s="661"/>
      <c r="AF386" s="661"/>
      <c r="AG386" s="661"/>
      <c r="AH386" s="661"/>
      <c r="AI386" s="661"/>
      <c r="AJ386" s="661"/>
      <c r="AK386" s="661"/>
      <c r="AL386" s="661"/>
      <c r="AM386" s="221"/>
      <c r="AN386" s="221"/>
      <c r="AO386" s="221"/>
      <c r="AP386" s="661"/>
      <c r="AQ386" s="661"/>
      <c r="AR386" s="661"/>
      <c r="AS386" s="661"/>
      <c r="AT386" s="661"/>
      <c r="AU386" s="661"/>
      <c r="AV386" s="661"/>
      <c r="AW386" s="661"/>
      <c r="AX386" s="661"/>
      <c r="AY386" s="443"/>
      <c r="AZ386" s="443"/>
      <c r="BA386" s="443"/>
      <c r="BB386" s="443"/>
      <c r="BC386" s="443"/>
      <c r="BD386" s="443"/>
      <c r="BE386" s="443"/>
      <c r="BF386" s="443"/>
      <c r="BG386" s="443"/>
      <c r="BH386" s="443"/>
      <c r="BI386" s="533"/>
      <c r="BJ386" s="533"/>
      <c r="BK386" s="533"/>
      <c r="BL386" s="682"/>
      <c r="BM386" s="402"/>
      <c r="BN386" s="402"/>
      <c r="BO386" s="402"/>
      <c r="BP386" s="402"/>
      <c r="BQ386" s="402"/>
      <c r="BR386" s="402"/>
      <c r="BS386" s="402"/>
      <c r="BT386" s="402"/>
      <c r="BU386" s="402"/>
      <c r="BV386" s="402"/>
      <c r="BW386" s="402"/>
      <c r="BX386" s="402"/>
      <c r="BY386" s="402"/>
      <c r="BZ386" s="402"/>
      <c r="CA386" s="402"/>
      <c r="CB386" s="402"/>
      <c r="CC386" s="402"/>
      <c r="CD386" s="402"/>
      <c r="CE386" s="402"/>
      <c r="CF386" s="402"/>
      <c r="CG386" s="402"/>
      <c r="CH386" s="402"/>
      <c r="CI386" s="402"/>
      <c r="CJ386" s="402"/>
    </row>
    <row r="387" spans="1:88" s="182" customFormat="1">
      <c r="A387" s="183"/>
      <c r="B387" s="183"/>
      <c r="C387" s="183"/>
      <c r="D387" s="183"/>
      <c r="E387" s="661"/>
      <c r="F387" s="661"/>
      <c r="G387" s="661"/>
      <c r="H387" s="661"/>
      <c r="I387" s="661"/>
      <c r="J387" s="661"/>
      <c r="K387" s="661"/>
      <c r="L387" s="661"/>
      <c r="M387" s="661"/>
      <c r="N387" s="661"/>
      <c r="O387" s="661"/>
      <c r="P387" s="661"/>
      <c r="Q387" s="661"/>
      <c r="R387" s="661"/>
      <c r="S387" s="661"/>
      <c r="T387" s="661"/>
      <c r="U387" s="661"/>
      <c r="V387" s="661"/>
      <c r="W387" s="661"/>
      <c r="X387" s="661"/>
      <c r="Y387" s="661"/>
      <c r="Z387" s="661"/>
      <c r="AA387" s="661"/>
      <c r="AB387" s="661"/>
      <c r="AC387" s="661"/>
      <c r="AD387" s="661"/>
      <c r="AE387" s="661"/>
      <c r="AF387" s="661"/>
      <c r="AG387" s="661"/>
      <c r="AH387" s="661"/>
      <c r="AI387" s="661"/>
      <c r="AJ387" s="661"/>
      <c r="AK387" s="661"/>
      <c r="AL387" s="661"/>
      <c r="AM387" s="221"/>
      <c r="AN387" s="221"/>
      <c r="AO387" s="221"/>
      <c r="AP387" s="661"/>
      <c r="AQ387" s="661"/>
      <c r="AR387" s="661"/>
      <c r="AS387" s="661"/>
      <c r="AT387" s="661"/>
      <c r="AU387" s="661"/>
      <c r="AV387" s="661"/>
      <c r="AW387" s="661"/>
      <c r="AX387" s="661"/>
      <c r="AY387" s="443"/>
      <c r="AZ387" s="443"/>
      <c r="BA387" s="443"/>
      <c r="BB387" s="443"/>
      <c r="BC387" s="443"/>
      <c r="BD387" s="443"/>
      <c r="BE387" s="443"/>
      <c r="BF387" s="443"/>
      <c r="BG387" s="443"/>
      <c r="BH387" s="443"/>
      <c r="BI387" s="533"/>
      <c r="BJ387" s="533"/>
      <c r="BK387" s="533"/>
      <c r="BL387" s="682"/>
      <c r="BM387" s="402"/>
      <c r="BN387" s="402"/>
      <c r="BO387" s="402"/>
      <c r="BP387" s="402"/>
      <c r="BQ387" s="402"/>
      <c r="BR387" s="402"/>
      <c r="BS387" s="402"/>
      <c r="BT387" s="402"/>
      <c r="BU387" s="402"/>
      <c r="BV387" s="402"/>
      <c r="BW387" s="402"/>
      <c r="BX387" s="402"/>
      <c r="BY387" s="402"/>
      <c r="BZ387" s="402"/>
      <c r="CA387" s="402"/>
      <c r="CB387" s="402"/>
      <c r="CC387" s="402"/>
      <c r="CD387" s="402"/>
      <c r="CE387" s="402"/>
      <c r="CF387" s="402"/>
      <c r="CG387" s="402"/>
      <c r="CH387" s="402"/>
      <c r="CI387" s="402"/>
      <c r="CJ387" s="402"/>
    </row>
    <row r="388" spans="1:88" s="182" customFormat="1">
      <c r="A388" s="183"/>
      <c r="B388" s="183"/>
      <c r="C388" s="183"/>
      <c r="D388" s="183"/>
      <c r="E388" s="661"/>
      <c r="F388" s="661"/>
      <c r="G388" s="661"/>
      <c r="H388" s="661"/>
      <c r="I388" s="661"/>
      <c r="J388" s="661"/>
      <c r="K388" s="661"/>
      <c r="L388" s="661"/>
      <c r="M388" s="661"/>
      <c r="N388" s="661"/>
      <c r="O388" s="661"/>
      <c r="P388" s="661"/>
      <c r="Q388" s="661"/>
      <c r="R388" s="661"/>
      <c r="S388" s="661"/>
      <c r="T388" s="661"/>
      <c r="U388" s="661"/>
      <c r="V388" s="661"/>
      <c r="W388" s="661"/>
      <c r="X388" s="661"/>
      <c r="Y388" s="661"/>
      <c r="Z388" s="661"/>
      <c r="AA388" s="661"/>
      <c r="AB388" s="661"/>
      <c r="AC388" s="661"/>
      <c r="AD388" s="661"/>
      <c r="AE388" s="661"/>
      <c r="AF388" s="661"/>
      <c r="AG388" s="661"/>
      <c r="AH388" s="661"/>
      <c r="AI388" s="661"/>
      <c r="AJ388" s="661"/>
      <c r="AK388" s="661"/>
      <c r="AL388" s="661"/>
      <c r="AM388" s="221"/>
      <c r="AN388" s="221"/>
      <c r="AO388" s="221"/>
      <c r="AP388" s="661"/>
      <c r="AQ388" s="661"/>
      <c r="AR388" s="661"/>
      <c r="AS388" s="661"/>
      <c r="AT388" s="661"/>
      <c r="AU388" s="661"/>
      <c r="AV388" s="661"/>
      <c r="AW388" s="661"/>
      <c r="AX388" s="661"/>
      <c r="AY388" s="443"/>
      <c r="AZ388" s="443"/>
      <c r="BA388" s="443"/>
      <c r="BB388" s="443"/>
      <c r="BC388" s="443"/>
      <c r="BD388" s="443"/>
      <c r="BE388" s="443"/>
      <c r="BF388" s="443"/>
      <c r="BG388" s="443"/>
      <c r="BH388" s="443"/>
      <c r="BI388" s="533"/>
      <c r="BJ388" s="533"/>
      <c r="BK388" s="533"/>
      <c r="BL388" s="682"/>
      <c r="BM388" s="402"/>
      <c r="BN388" s="402"/>
      <c r="BO388" s="402"/>
      <c r="BP388" s="402"/>
      <c r="BQ388" s="402"/>
      <c r="BR388" s="402"/>
      <c r="BS388" s="402"/>
      <c r="BT388" s="402"/>
      <c r="BU388" s="402"/>
      <c r="BV388" s="402"/>
      <c r="BW388" s="402"/>
      <c r="BX388" s="402"/>
      <c r="BY388" s="402"/>
      <c r="BZ388" s="402"/>
      <c r="CA388" s="402"/>
      <c r="CB388" s="402"/>
      <c r="CC388" s="402"/>
      <c r="CD388" s="402"/>
      <c r="CE388" s="402"/>
      <c r="CF388" s="402"/>
      <c r="CG388" s="402"/>
      <c r="CH388" s="402"/>
      <c r="CI388" s="402"/>
      <c r="CJ388" s="402"/>
    </row>
    <row r="389" spans="1:88" s="182" customFormat="1">
      <c r="A389" s="183"/>
      <c r="B389" s="183"/>
      <c r="C389" s="183"/>
      <c r="D389" s="183"/>
      <c r="E389" s="661"/>
      <c r="F389" s="661"/>
      <c r="G389" s="661"/>
      <c r="H389" s="661"/>
      <c r="I389" s="661"/>
      <c r="J389" s="661"/>
      <c r="K389" s="661"/>
      <c r="L389" s="661"/>
      <c r="M389" s="661"/>
      <c r="N389" s="661"/>
      <c r="O389" s="661"/>
      <c r="P389" s="661"/>
      <c r="Q389" s="661"/>
      <c r="R389" s="661"/>
      <c r="S389" s="661"/>
      <c r="T389" s="661"/>
      <c r="U389" s="661"/>
      <c r="V389" s="661"/>
      <c r="W389" s="661"/>
      <c r="X389" s="661"/>
      <c r="Y389" s="661"/>
      <c r="Z389" s="661"/>
      <c r="AA389" s="661"/>
      <c r="AB389" s="661"/>
      <c r="AC389" s="661"/>
      <c r="AD389" s="661"/>
      <c r="AE389" s="661"/>
      <c r="AF389" s="661"/>
      <c r="AG389" s="661"/>
      <c r="AH389" s="661"/>
      <c r="AI389" s="661"/>
      <c r="AJ389" s="661"/>
      <c r="AK389" s="661"/>
      <c r="AL389" s="661"/>
      <c r="AM389" s="221"/>
      <c r="AN389" s="221"/>
      <c r="AO389" s="221"/>
      <c r="AP389" s="661"/>
      <c r="AQ389" s="661"/>
      <c r="AR389" s="661"/>
      <c r="AS389" s="661"/>
      <c r="AT389" s="661"/>
      <c r="AU389" s="661"/>
      <c r="AV389" s="661"/>
      <c r="AW389" s="661"/>
      <c r="AX389" s="661"/>
      <c r="AY389" s="443"/>
      <c r="AZ389" s="443"/>
      <c r="BA389" s="443"/>
      <c r="BB389" s="443"/>
      <c r="BC389" s="443"/>
      <c r="BD389" s="443"/>
      <c r="BE389" s="443"/>
      <c r="BF389" s="443"/>
      <c r="BG389" s="443"/>
      <c r="BH389" s="443"/>
      <c r="BI389" s="533"/>
      <c r="BJ389" s="533"/>
      <c r="BK389" s="533"/>
      <c r="BL389" s="682"/>
      <c r="BM389" s="402"/>
      <c r="BN389" s="402"/>
      <c r="BO389" s="402"/>
      <c r="BP389" s="402"/>
      <c r="BQ389" s="402"/>
      <c r="BR389" s="402"/>
      <c r="BS389" s="402"/>
      <c r="BT389" s="402"/>
      <c r="BU389" s="402"/>
      <c r="BV389" s="402"/>
      <c r="BW389" s="402"/>
      <c r="BX389" s="402"/>
      <c r="BY389" s="402"/>
      <c r="BZ389" s="402"/>
      <c r="CA389" s="402"/>
      <c r="CB389" s="402"/>
      <c r="CC389" s="402"/>
      <c r="CD389" s="402"/>
      <c r="CE389" s="402"/>
      <c r="CF389" s="402"/>
      <c r="CG389" s="402"/>
      <c r="CH389" s="402"/>
      <c r="CI389" s="402"/>
      <c r="CJ389" s="402"/>
    </row>
    <row r="390" spans="1:88">
      <c r="AM390" s="161"/>
      <c r="AO390" s="161"/>
    </row>
    <row r="391" spans="1:88">
      <c r="AM391" s="161"/>
    </row>
  </sheetData>
  <mergeCells count="2">
    <mergeCell ref="BI6:BJ6"/>
    <mergeCell ref="BK6:BL6"/>
  </mergeCells>
  <phoneticPr fontId="24" type="noConversion"/>
  <pageMargins left="0.24" right="0.21" top="0.33" bottom="0.37" header="0.5" footer="0.2"/>
  <pageSetup scale="80" fitToWidth="4" fitToHeight="15" pageOrder="overThenDown" orientation="landscape" r:id="rId1"/>
  <headerFooter alignWithMargins="0">
    <oddFooter>&amp;C
&amp;R&amp;8&amp;D--Page &amp;P</oddFooter>
  </headerFooter>
  <rowBreaks count="4" manualBreakCount="4">
    <brk id="58" max="62" man="1"/>
    <brk id="108" max="62" man="1"/>
    <brk id="157" max="62" man="1"/>
    <brk id="212" max="6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303"/>
  <sheetViews>
    <sheetView tabSelected="1" zoomScale="90" zoomScaleNormal="90" zoomScaleSheetLayoutView="100" workbookViewId="0">
      <pane xSplit="1" topLeftCell="AW1" activePane="topRight" state="frozen"/>
      <selection pane="topRight" activeCell="BM233" sqref="BM233"/>
    </sheetView>
  </sheetViews>
  <sheetFormatPr defaultRowHeight="15.6"/>
  <cols>
    <col min="1" max="1" width="49.69921875" style="3" customWidth="1"/>
    <col min="2" max="11" width="6.59765625" customWidth="1"/>
    <col min="12" max="48" width="6.59765625" style="3" customWidth="1"/>
    <col min="49" max="49" width="6.59765625" customWidth="1"/>
    <col min="50" max="50" width="6.59765625" style="190" customWidth="1"/>
    <col min="51" max="52" width="6.59765625" customWidth="1"/>
    <col min="53" max="54" width="6.59765625" style="350" customWidth="1"/>
    <col min="55" max="55" width="6.59765625" style="300" customWidth="1"/>
    <col min="56" max="60" width="6.59765625" style="533" customWidth="1"/>
    <col min="61" max="62" width="8.69921875" style="433" customWidth="1"/>
    <col min="63" max="63" width="9.09765625" style="350" customWidth="1"/>
    <col min="64" max="64" width="8.69921875" style="350" customWidth="1"/>
  </cols>
  <sheetData>
    <row r="2" spans="1:64">
      <c r="A2" s="6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Q2" s="6"/>
      <c r="AR2" s="6"/>
      <c r="AS2" s="6"/>
      <c r="BD2" s="402"/>
      <c r="BE2" s="402"/>
      <c r="BF2" s="402"/>
      <c r="BG2" s="402"/>
      <c r="BH2" s="402"/>
    </row>
    <row r="3" spans="1:64" s="76" customFormat="1">
      <c r="A3" s="78" t="s">
        <v>6</v>
      </c>
      <c r="L3" s="66"/>
      <c r="M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Q3" s="5"/>
      <c r="AR3" s="5"/>
      <c r="AS3" s="5"/>
      <c r="AT3" s="5"/>
      <c r="AU3" s="5"/>
      <c r="AV3" s="5"/>
      <c r="AX3" s="191"/>
      <c r="BA3" s="350"/>
      <c r="BB3" s="350"/>
      <c r="BC3" s="300"/>
      <c r="BD3" s="402"/>
      <c r="BE3" s="402"/>
      <c r="BF3" s="402"/>
      <c r="BG3" s="402"/>
      <c r="BH3" s="402"/>
      <c r="BI3" s="433"/>
      <c r="BJ3" s="433"/>
      <c r="BK3" s="350"/>
      <c r="BL3" s="350"/>
    </row>
    <row r="4" spans="1:64">
      <c r="A4" s="79" t="s">
        <v>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Q4" s="4"/>
      <c r="AR4" s="4"/>
      <c r="AS4" s="4"/>
      <c r="AT4" s="5"/>
      <c r="AU4" s="5"/>
      <c r="AV4" s="5"/>
      <c r="AX4" s="191"/>
      <c r="BD4" s="402"/>
      <c r="BE4" s="402"/>
      <c r="BF4" s="402"/>
      <c r="BG4" s="402"/>
      <c r="BH4" s="402"/>
    </row>
    <row r="5" spans="1:64">
      <c r="A5" s="616"/>
      <c r="B5" s="617"/>
      <c r="C5" s="617"/>
      <c r="D5" s="617"/>
      <c r="E5" s="617"/>
      <c r="F5" s="617"/>
      <c r="G5" s="617"/>
      <c r="H5" s="617"/>
      <c r="I5" s="617"/>
      <c r="J5" s="617"/>
      <c r="K5" s="617"/>
      <c r="L5" s="618"/>
      <c r="M5" s="618"/>
      <c r="N5" s="618"/>
      <c r="O5" s="618"/>
      <c r="P5" s="618"/>
      <c r="Q5" s="618"/>
      <c r="R5" s="618"/>
      <c r="S5" s="618"/>
      <c r="T5" s="618"/>
      <c r="U5" s="618"/>
      <c r="V5" s="618"/>
      <c r="W5" s="618"/>
      <c r="X5" s="618"/>
      <c r="Y5" s="618"/>
      <c r="Z5" s="618"/>
      <c r="AA5" s="618"/>
      <c r="AB5" s="618"/>
      <c r="AC5" s="618"/>
      <c r="AD5" s="618"/>
      <c r="AE5" s="618"/>
      <c r="AF5" s="618"/>
      <c r="AG5" s="618"/>
      <c r="AH5" s="618"/>
      <c r="AI5" s="618"/>
      <c r="AJ5" s="618"/>
      <c r="AK5" s="618"/>
      <c r="AL5" s="618"/>
      <c r="AM5" s="619"/>
      <c r="AN5" s="619"/>
      <c r="AO5" s="619"/>
      <c r="AP5" s="619"/>
      <c r="AQ5" s="618"/>
      <c r="AR5" s="618"/>
      <c r="AS5" s="618"/>
      <c r="AT5" s="620"/>
      <c r="AU5" s="620"/>
      <c r="AV5" s="620"/>
      <c r="AW5" s="617"/>
      <c r="AX5" s="621"/>
      <c r="AY5" s="617"/>
      <c r="AZ5" s="617"/>
      <c r="BA5" s="622"/>
      <c r="BB5" s="622"/>
      <c r="BC5" s="623"/>
      <c r="BD5" s="624"/>
      <c r="BE5" s="624"/>
      <c r="BF5" s="624"/>
      <c r="BG5" s="624"/>
      <c r="BH5" s="624"/>
      <c r="BI5" s="625"/>
      <c r="BJ5" s="625"/>
      <c r="BK5" s="622"/>
      <c r="BL5" s="622"/>
    </row>
    <row r="6" spans="1:64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07"/>
      <c r="AA6" s="107"/>
      <c r="AB6" s="107"/>
      <c r="AC6" s="107"/>
      <c r="AD6" s="107"/>
      <c r="AE6" s="107"/>
      <c r="AF6" s="107"/>
      <c r="AG6" s="107"/>
      <c r="AH6" s="107"/>
      <c r="AI6" s="45"/>
      <c r="AJ6" s="45"/>
      <c r="AK6" s="111"/>
      <c r="AL6" s="111"/>
      <c r="AM6" s="111"/>
      <c r="AN6" s="111"/>
      <c r="AO6" s="45"/>
      <c r="AP6" s="45"/>
      <c r="AQ6" s="45"/>
      <c r="AR6" s="45"/>
      <c r="AS6" s="112"/>
      <c r="AT6" s="116"/>
      <c r="AU6" s="116"/>
      <c r="AV6" s="188"/>
      <c r="AW6" s="218"/>
      <c r="AX6" s="187"/>
      <c r="AY6" s="198"/>
      <c r="AZ6" s="453"/>
      <c r="BA6" s="351"/>
      <c r="BB6" s="432"/>
      <c r="BC6" s="432"/>
      <c r="BD6" s="443"/>
      <c r="BF6" s="402"/>
      <c r="BG6" s="534" t="s">
        <v>118</v>
      </c>
      <c r="BH6" s="402"/>
      <c r="BI6" s="674" t="s">
        <v>1</v>
      </c>
      <c r="BJ6" s="674"/>
      <c r="BK6" s="675" t="s">
        <v>166</v>
      </c>
      <c r="BL6" s="675"/>
    </row>
    <row r="7" spans="1:64">
      <c r="A7" s="188" t="s">
        <v>2</v>
      </c>
      <c r="B7" s="267">
        <v>1960</v>
      </c>
      <c r="C7" s="267">
        <v>1961</v>
      </c>
      <c r="D7" s="267">
        <v>1962</v>
      </c>
      <c r="E7" s="267">
        <v>1963</v>
      </c>
      <c r="F7" s="267">
        <v>1964</v>
      </c>
      <c r="G7" s="267">
        <v>1965</v>
      </c>
      <c r="H7" s="267">
        <v>1966</v>
      </c>
      <c r="I7" s="267">
        <v>1967</v>
      </c>
      <c r="J7" s="267">
        <v>1968</v>
      </c>
      <c r="K7" s="267">
        <v>1969</v>
      </c>
      <c r="L7" s="267">
        <v>1970</v>
      </c>
      <c r="M7" s="267">
        <v>1971</v>
      </c>
      <c r="N7" s="267">
        <v>1972</v>
      </c>
      <c r="O7" s="267">
        <v>1973</v>
      </c>
      <c r="P7" s="267">
        <v>1974</v>
      </c>
      <c r="Q7" s="267">
        <v>1975</v>
      </c>
      <c r="R7" s="267">
        <v>1976</v>
      </c>
      <c r="S7" s="267">
        <v>1977</v>
      </c>
      <c r="T7" s="267">
        <v>1978</v>
      </c>
      <c r="U7" s="267">
        <v>1979</v>
      </c>
      <c r="V7" s="267">
        <v>1980</v>
      </c>
      <c r="W7" s="267">
        <v>1981</v>
      </c>
      <c r="X7" s="267">
        <v>1982</v>
      </c>
      <c r="Y7" s="267">
        <v>1983</v>
      </c>
      <c r="Z7" s="267">
        <v>1984</v>
      </c>
      <c r="AA7" s="267">
        <v>1985</v>
      </c>
      <c r="AB7" s="267">
        <v>1986</v>
      </c>
      <c r="AC7" s="267">
        <v>1987</v>
      </c>
      <c r="AD7" s="267">
        <v>1988</v>
      </c>
      <c r="AE7" s="267">
        <v>1989</v>
      </c>
      <c r="AF7" s="267">
        <v>1990</v>
      </c>
      <c r="AG7" s="267">
        <v>1991</v>
      </c>
      <c r="AH7" s="267">
        <v>1992</v>
      </c>
      <c r="AI7" s="267">
        <v>1993</v>
      </c>
      <c r="AJ7" s="267">
        <v>1994</v>
      </c>
      <c r="AK7" s="267">
        <v>1995</v>
      </c>
      <c r="AL7" s="267">
        <v>1996</v>
      </c>
      <c r="AM7" s="267">
        <v>1997</v>
      </c>
      <c r="AN7" s="267">
        <v>1998</v>
      </c>
      <c r="AO7" s="267">
        <v>1999</v>
      </c>
      <c r="AP7" s="267">
        <v>2000</v>
      </c>
      <c r="AQ7" s="267">
        <v>2001</v>
      </c>
      <c r="AR7" s="267">
        <v>2002</v>
      </c>
      <c r="AS7" s="267">
        <v>2003</v>
      </c>
      <c r="AT7" s="267">
        <v>2004</v>
      </c>
      <c r="AU7" s="267">
        <v>2005</v>
      </c>
      <c r="AV7" s="267">
        <v>2006</v>
      </c>
      <c r="AW7" s="268">
        <v>2007</v>
      </c>
      <c r="AX7" s="269">
        <v>2008</v>
      </c>
      <c r="AY7" s="269">
        <v>2009</v>
      </c>
      <c r="AZ7" s="269">
        <v>2010</v>
      </c>
      <c r="BA7" s="353">
        <v>2011</v>
      </c>
      <c r="BB7" s="353">
        <v>2012</v>
      </c>
      <c r="BC7" s="353">
        <v>2013</v>
      </c>
      <c r="BD7" s="535">
        <v>2014</v>
      </c>
      <c r="BE7" s="535">
        <v>2015</v>
      </c>
      <c r="BF7" s="535">
        <v>2016</v>
      </c>
      <c r="BG7" s="535">
        <v>2017</v>
      </c>
      <c r="BH7" s="535">
        <v>2018</v>
      </c>
      <c r="BI7" s="322" t="s">
        <v>162</v>
      </c>
      <c r="BJ7" s="322" t="s">
        <v>165</v>
      </c>
      <c r="BK7" s="567" t="s">
        <v>162</v>
      </c>
      <c r="BL7" s="567" t="s">
        <v>165</v>
      </c>
    </row>
    <row r="8" spans="1:64" ht="16.2" thickBot="1">
      <c r="A8" s="270"/>
      <c r="B8" s="450"/>
      <c r="C8" s="450"/>
      <c r="D8" s="450"/>
      <c r="E8" s="450"/>
      <c r="F8" s="450"/>
      <c r="G8" s="450"/>
      <c r="H8" s="450"/>
      <c r="I8" s="450"/>
      <c r="J8" s="450"/>
      <c r="K8" s="45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70"/>
      <c r="AL8" s="270"/>
      <c r="AM8" s="271"/>
      <c r="AN8" s="271"/>
      <c r="AO8" s="271"/>
      <c r="AP8" s="271"/>
      <c r="AQ8" s="270"/>
      <c r="AR8" s="271"/>
      <c r="AS8" s="271"/>
      <c r="AT8" s="271"/>
      <c r="AU8" s="271"/>
      <c r="AV8" s="271"/>
      <c r="AW8" s="273"/>
      <c r="AX8" s="460"/>
      <c r="AY8" s="273"/>
      <c r="AZ8" s="273"/>
      <c r="BA8" s="354"/>
      <c r="BB8" s="354"/>
      <c r="BC8" s="389"/>
      <c r="BD8" s="521"/>
      <c r="BE8" s="521"/>
      <c r="BF8" s="521"/>
      <c r="BG8" s="521"/>
      <c r="BH8" s="521"/>
      <c r="BI8" s="461"/>
      <c r="BJ8" s="461"/>
      <c r="BK8" s="354"/>
      <c r="BL8" s="354"/>
    </row>
    <row r="9" spans="1:64">
      <c r="A9" s="131" t="s">
        <v>7</v>
      </c>
      <c r="L9" s="8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Q9" s="6"/>
      <c r="AR9" s="6"/>
      <c r="AS9" s="6"/>
      <c r="AW9" s="197"/>
      <c r="AX9" s="207"/>
      <c r="AY9" s="197"/>
      <c r="AZ9" s="197"/>
      <c r="BD9" s="402"/>
      <c r="BE9" s="402"/>
      <c r="BF9" s="402"/>
      <c r="BG9" s="402"/>
      <c r="BH9" s="402"/>
      <c r="BI9" s="385"/>
      <c r="BJ9" s="385"/>
      <c r="BK9" s="368"/>
      <c r="BL9" s="368"/>
    </row>
    <row r="10" spans="1:64" ht="11.1" customHeight="1">
      <c r="A10" s="165"/>
      <c r="L10"/>
      <c r="M10" s="81"/>
      <c r="N10" s="81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Q10" s="6"/>
      <c r="AR10" s="6"/>
      <c r="AS10" s="6"/>
      <c r="AW10" s="197"/>
      <c r="AX10" s="207"/>
      <c r="AY10" s="197"/>
      <c r="AZ10" s="197"/>
      <c r="BD10" s="402"/>
      <c r="BE10" s="402"/>
      <c r="BF10" s="402"/>
      <c r="BG10" s="402"/>
      <c r="BH10" s="402"/>
    </row>
    <row r="11" spans="1:64" ht="14.25" customHeight="1">
      <c r="A11" s="130" t="s">
        <v>8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Q11" s="6"/>
      <c r="AR11" s="6"/>
      <c r="AS11" s="6"/>
      <c r="AW11" s="197"/>
      <c r="AX11" s="207"/>
      <c r="AY11" s="197"/>
      <c r="AZ11" s="197"/>
      <c r="BD11" s="402"/>
      <c r="BE11" s="402"/>
      <c r="BF11" s="402"/>
      <c r="BG11" s="402"/>
      <c r="BH11" s="402"/>
    </row>
    <row r="12" spans="1:64" ht="6" customHeight="1">
      <c r="A12" s="12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W12" s="197"/>
      <c r="AX12" s="207"/>
      <c r="AY12" s="197"/>
      <c r="AZ12" s="197"/>
      <c r="BD12" s="402"/>
      <c r="BE12" s="402"/>
      <c r="BF12" s="402"/>
      <c r="BG12" s="402"/>
      <c r="BH12" s="402"/>
      <c r="BI12" s="385"/>
      <c r="BJ12" s="385"/>
    </row>
    <row r="13" spans="1:64" ht="11.1" customHeight="1">
      <c r="A13" s="125" t="s">
        <v>20</v>
      </c>
      <c r="B13" s="18" t="s">
        <v>3</v>
      </c>
      <c r="C13" s="18" t="s">
        <v>3</v>
      </c>
      <c r="D13" s="18" t="s">
        <v>3</v>
      </c>
      <c r="E13" s="18" t="s">
        <v>3</v>
      </c>
      <c r="F13" s="18" t="s">
        <v>3</v>
      </c>
      <c r="G13" s="18" t="s">
        <v>3</v>
      </c>
      <c r="H13" s="18" t="s">
        <v>3</v>
      </c>
      <c r="I13" s="18" t="s">
        <v>3</v>
      </c>
      <c r="J13" s="18" t="s">
        <v>3</v>
      </c>
      <c r="K13" s="18" t="s">
        <v>3</v>
      </c>
      <c r="L13" s="18" t="s">
        <v>3</v>
      </c>
      <c r="M13" s="18" t="s">
        <v>3</v>
      </c>
      <c r="N13" s="18" t="s">
        <v>3</v>
      </c>
      <c r="O13" s="12">
        <v>586</v>
      </c>
      <c r="P13" s="12">
        <v>816</v>
      </c>
      <c r="Q13" s="12">
        <v>926</v>
      </c>
      <c r="R13" s="12">
        <v>929</v>
      </c>
      <c r="S13" s="12">
        <v>944</v>
      </c>
      <c r="T13" s="12">
        <v>945</v>
      </c>
      <c r="U13" s="12">
        <v>979</v>
      </c>
      <c r="V13" s="12">
        <v>978</v>
      </c>
      <c r="W13" s="12">
        <v>889</v>
      </c>
      <c r="X13" s="12">
        <v>639</v>
      </c>
      <c r="Y13" s="12">
        <v>616</v>
      </c>
      <c r="Z13" s="12">
        <v>579</v>
      </c>
      <c r="AA13" s="12">
        <v>573</v>
      </c>
      <c r="AB13" s="12">
        <v>557</v>
      </c>
      <c r="AC13" s="12">
        <v>528</v>
      </c>
      <c r="AD13" s="12">
        <v>510</v>
      </c>
      <c r="AE13" s="12">
        <v>515</v>
      </c>
      <c r="AF13" s="12">
        <v>515</v>
      </c>
      <c r="AG13" s="12">
        <v>511</v>
      </c>
      <c r="AH13" s="12">
        <v>531</v>
      </c>
      <c r="AI13" s="12">
        <v>516</v>
      </c>
      <c r="AJ13" s="12">
        <v>485</v>
      </c>
      <c r="AK13" s="12">
        <v>474</v>
      </c>
      <c r="AL13" s="82">
        <v>469</v>
      </c>
      <c r="AM13" s="82">
        <v>462</v>
      </c>
      <c r="AN13" s="82">
        <v>462</v>
      </c>
      <c r="AO13" s="82">
        <v>466</v>
      </c>
      <c r="AP13" s="82">
        <v>468</v>
      </c>
      <c r="AQ13" s="82">
        <v>469</v>
      </c>
      <c r="AR13" s="82">
        <v>462</v>
      </c>
      <c r="AS13" s="82">
        <v>469</v>
      </c>
      <c r="AT13" s="82">
        <v>460</v>
      </c>
      <c r="AU13" s="82">
        <v>447</v>
      </c>
      <c r="AV13" s="235">
        <v>412</v>
      </c>
      <c r="AW13" s="235">
        <v>393</v>
      </c>
      <c r="AX13" s="233">
        <v>396</v>
      </c>
      <c r="AY13" s="243">
        <v>435</v>
      </c>
      <c r="AZ13" s="243">
        <v>488</v>
      </c>
      <c r="BA13" s="379">
        <v>542</v>
      </c>
      <c r="BB13" s="379">
        <v>537</v>
      </c>
      <c r="BC13" s="379">
        <v>522</v>
      </c>
      <c r="BD13" s="379">
        <v>527</v>
      </c>
      <c r="BE13" s="379">
        <v>535</v>
      </c>
      <c r="BF13" s="379">
        <v>549</v>
      </c>
      <c r="BG13" s="379">
        <v>567</v>
      </c>
      <c r="BH13" s="379">
        <v>545</v>
      </c>
      <c r="BI13" s="385">
        <f>(BG13-BF13)/BF13</f>
        <v>3.2786885245901641E-2</v>
      </c>
      <c r="BJ13" s="385">
        <f>(BH13-BG13)/BG13</f>
        <v>-3.8800705467372132E-2</v>
      </c>
      <c r="BK13" s="569">
        <f>BG13-BF13</f>
        <v>18</v>
      </c>
      <c r="BL13" s="569">
        <f>BH13-BG13</f>
        <v>-22</v>
      </c>
    </row>
    <row r="14" spans="1:64" ht="6" customHeight="1">
      <c r="A14" s="125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71"/>
      <c r="AN14" s="71"/>
      <c r="AO14" s="71"/>
      <c r="AP14" s="71"/>
      <c r="AQ14" s="71"/>
      <c r="AR14" s="71"/>
      <c r="AS14" s="71"/>
      <c r="AT14" s="71"/>
      <c r="AU14" s="71"/>
      <c r="AV14" s="244"/>
      <c r="AW14" s="245"/>
      <c r="AX14" s="246"/>
      <c r="AY14" s="245"/>
      <c r="AZ14" s="311"/>
      <c r="BA14" s="379"/>
      <c r="BB14" s="379"/>
      <c r="BC14" s="473"/>
      <c r="BD14" s="379"/>
      <c r="BE14" s="311"/>
      <c r="BF14" s="311"/>
      <c r="BG14" s="379"/>
      <c r="BH14" s="379"/>
      <c r="BI14" s="329"/>
      <c r="BJ14" s="329"/>
      <c r="BK14" s="570"/>
      <c r="BL14" s="570"/>
    </row>
    <row r="15" spans="1:64" ht="11.1" customHeight="1">
      <c r="A15" s="126" t="s">
        <v>30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71"/>
      <c r="AN15" s="71"/>
      <c r="AO15" s="71"/>
      <c r="AP15" s="71"/>
      <c r="AQ15" s="71"/>
      <c r="AR15" s="71"/>
      <c r="AS15" s="71"/>
      <c r="AT15" s="71"/>
      <c r="AU15" s="71"/>
      <c r="AV15" s="244"/>
      <c r="AW15" s="245"/>
      <c r="AX15" s="246"/>
      <c r="AY15" s="245"/>
      <c r="AZ15" s="311"/>
      <c r="BA15" s="379"/>
      <c r="BB15" s="379"/>
      <c r="BC15" s="473"/>
      <c r="BD15" s="379"/>
      <c r="BE15" s="311"/>
      <c r="BF15" s="311"/>
      <c r="BG15" s="379"/>
      <c r="BH15" s="379"/>
      <c r="BI15" s="329"/>
      <c r="BJ15" s="329"/>
      <c r="BK15" s="570"/>
      <c r="BL15" s="570"/>
    </row>
    <row r="16" spans="1:64" ht="11.1" customHeight="1">
      <c r="A16" s="125" t="s">
        <v>31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M16" s="71"/>
      <c r="AN16" s="71"/>
      <c r="AO16" s="71"/>
      <c r="AP16" s="71"/>
      <c r="AQ16" s="71"/>
      <c r="AR16" s="71"/>
      <c r="AS16" s="71"/>
      <c r="AT16" s="71"/>
      <c r="AU16" s="71"/>
      <c r="AV16" s="244"/>
      <c r="AW16" s="245"/>
      <c r="AX16" s="246"/>
      <c r="AY16" s="245"/>
      <c r="AZ16" s="311"/>
      <c r="BA16" s="379"/>
      <c r="BB16" s="379"/>
      <c r="BC16" s="473"/>
      <c r="BD16" s="379"/>
      <c r="BE16" s="311"/>
      <c r="BF16" s="311"/>
      <c r="BG16" s="379"/>
      <c r="BH16" s="379"/>
      <c r="BI16" s="385"/>
      <c r="BJ16" s="385"/>
      <c r="BK16" s="571"/>
      <c r="BL16" s="571"/>
    </row>
    <row r="17" spans="1:64" ht="11.1" customHeight="1">
      <c r="A17" s="125" t="s">
        <v>65</v>
      </c>
      <c r="B17" s="30">
        <v>6258</v>
      </c>
      <c r="C17" s="30">
        <v>6460</v>
      </c>
      <c r="D17" s="30">
        <v>6737</v>
      </c>
      <c r="E17" s="30">
        <v>6902</v>
      </c>
      <c r="F17" s="30">
        <v>7221</v>
      </c>
      <c r="G17" s="30">
        <v>5948</v>
      </c>
      <c r="H17" s="30">
        <v>6366</v>
      </c>
      <c r="I17" s="30">
        <v>6183</v>
      </c>
      <c r="J17" s="30">
        <v>6294</v>
      </c>
      <c r="K17" s="30">
        <v>6313</v>
      </c>
      <c r="L17" s="12">
        <v>6403</v>
      </c>
      <c r="M17" s="12">
        <v>6276</v>
      </c>
      <c r="N17" s="12">
        <v>14791</v>
      </c>
      <c r="O17" s="12">
        <v>16397</v>
      </c>
      <c r="P17" s="12">
        <v>16155</v>
      </c>
      <c r="Q17" s="12">
        <v>15310</v>
      </c>
      <c r="R17" s="12">
        <v>15748</v>
      </c>
      <c r="S17" s="12">
        <v>5991</v>
      </c>
      <c r="T17" s="12">
        <v>5491</v>
      </c>
      <c r="U17" s="12">
        <v>6387</v>
      </c>
      <c r="V17" s="12">
        <v>5440</v>
      </c>
      <c r="W17" s="12">
        <v>5073</v>
      </c>
      <c r="X17" s="12">
        <v>5117</v>
      </c>
      <c r="Y17" s="12">
        <v>4701</v>
      </c>
      <c r="Z17" s="12">
        <v>4763</v>
      </c>
      <c r="AA17" s="12">
        <v>4812</v>
      </c>
      <c r="AB17" s="12">
        <v>5067</v>
      </c>
      <c r="AC17" s="12">
        <v>5204</v>
      </c>
      <c r="AD17" s="12">
        <v>5460</v>
      </c>
      <c r="AE17" s="12">
        <v>5633</v>
      </c>
      <c r="AF17" s="12">
        <v>5814</v>
      </c>
      <c r="AG17" s="12">
        <v>5891</v>
      </c>
      <c r="AH17" s="12">
        <v>6294</v>
      </c>
      <c r="AI17" s="12">
        <v>6530</v>
      </c>
      <c r="AJ17" s="12">
        <v>6609</v>
      </c>
      <c r="AK17" s="12">
        <v>6227</v>
      </c>
      <c r="AL17" s="12">
        <v>6187</v>
      </c>
      <c r="AM17" s="71">
        <v>6207</v>
      </c>
      <c r="AN17" s="71">
        <v>6342</v>
      </c>
      <c r="AO17" s="71">
        <v>6321</v>
      </c>
      <c r="AP17" s="71">
        <v>6468</v>
      </c>
      <c r="AQ17" s="71">
        <v>6959</v>
      </c>
      <c r="AR17" s="71">
        <v>5215</v>
      </c>
      <c r="AS17" s="71">
        <v>7462</v>
      </c>
      <c r="AT17" s="71">
        <v>6761</v>
      </c>
      <c r="AU17" s="71">
        <v>7078</v>
      </c>
      <c r="AV17" s="244">
        <v>7299</v>
      </c>
      <c r="AW17" s="231">
        <v>7463</v>
      </c>
      <c r="AX17" s="233">
        <v>7743</v>
      </c>
      <c r="AY17" s="243">
        <v>7935</v>
      </c>
      <c r="AZ17" s="243">
        <v>8004</v>
      </c>
      <c r="BA17" s="379">
        <v>7929</v>
      </c>
      <c r="BB17" s="314">
        <v>7453</v>
      </c>
      <c r="BC17" s="314">
        <v>7171</v>
      </c>
      <c r="BD17" s="314">
        <v>7111</v>
      </c>
      <c r="BE17" s="314">
        <v>7233</v>
      </c>
      <c r="BF17" s="314">
        <v>7568</v>
      </c>
      <c r="BG17" s="314">
        <v>7899</v>
      </c>
      <c r="BH17" s="314">
        <v>7588</v>
      </c>
      <c r="BI17" s="385">
        <f t="shared" ref="BI17:BJ21" si="0">(BG17-BF17)/BF17</f>
        <v>4.3736786469344612E-2</v>
      </c>
      <c r="BJ17" s="385">
        <f t="shared" si="0"/>
        <v>-3.9372072414229652E-2</v>
      </c>
      <c r="BK17" s="569">
        <f t="shared" ref="BK17:BL21" si="1">BG17-BF17</f>
        <v>331</v>
      </c>
      <c r="BL17" s="569">
        <f t="shared" si="1"/>
        <v>-311</v>
      </c>
    </row>
    <row r="18" spans="1:64" ht="11.1" customHeight="1">
      <c r="A18" s="125" t="s">
        <v>66</v>
      </c>
      <c r="B18" s="18" t="s">
        <v>3</v>
      </c>
      <c r="C18" s="18" t="s">
        <v>3</v>
      </c>
      <c r="D18" s="18" t="s">
        <v>3</v>
      </c>
      <c r="E18" s="18" t="s">
        <v>3</v>
      </c>
      <c r="F18" s="18" t="s">
        <v>3</v>
      </c>
      <c r="G18" s="18" t="s">
        <v>3</v>
      </c>
      <c r="H18" s="18" t="s">
        <v>3</v>
      </c>
      <c r="I18" s="18" t="s">
        <v>3</v>
      </c>
      <c r="J18" s="18" t="s">
        <v>3</v>
      </c>
      <c r="K18" s="18" t="s">
        <v>3</v>
      </c>
      <c r="L18" s="18" t="s">
        <v>3</v>
      </c>
      <c r="M18" s="18" t="s">
        <v>3</v>
      </c>
      <c r="N18" s="18" t="s">
        <v>3</v>
      </c>
      <c r="O18" s="18" t="s">
        <v>3</v>
      </c>
      <c r="P18" s="18" t="s">
        <v>3</v>
      </c>
      <c r="Q18" s="18" t="s">
        <v>3</v>
      </c>
      <c r="R18" s="18" t="s">
        <v>3</v>
      </c>
      <c r="S18" s="12">
        <v>12698</v>
      </c>
      <c r="T18" s="12">
        <v>12664</v>
      </c>
      <c r="U18" s="12">
        <v>14848</v>
      </c>
      <c r="V18" s="12">
        <v>12372</v>
      </c>
      <c r="W18" s="12">
        <v>12066</v>
      </c>
      <c r="X18" s="12">
        <v>9605</v>
      </c>
      <c r="Y18" s="12">
        <v>9612</v>
      </c>
      <c r="Z18" s="12">
        <v>9580</v>
      </c>
      <c r="AA18" s="12">
        <v>9719</v>
      </c>
      <c r="AB18" s="12">
        <v>9292</v>
      </c>
      <c r="AC18" s="12">
        <v>9353</v>
      </c>
      <c r="AD18" s="12">
        <v>9426</v>
      </c>
      <c r="AE18" s="12">
        <v>9367</v>
      </c>
      <c r="AF18" s="12">
        <v>9433</v>
      </c>
      <c r="AG18" s="12">
        <v>9533</v>
      </c>
      <c r="AH18" s="12">
        <v>9642</v>
      </c>
      <c r="AI18" s="12">
        <v>9787</v>
      </c>
      <c r="AJ18" s="12">
        <v>9885</v>
      </c>
      <c r="AK18" s="12">
        <v>9904</v>
      </c>
      <c r="AL18" s="12">
        <v>9758</v>
      </c>
      <c r="AM18" s="71">
        <v>9695</v>
      </c>
      <c r="AN18" s="71">
        <v>9698</v>
      </c>
      <c r="AO18" s="71">
        <v>9580</v>
      </c>
      <c r="AP18" s="33">
        <v>9545</v>
      </c>
      <c r="AQ18" s="33">
        <v>9582</v>
      </c>
      <c r="AR18" s="33">
        <v>9579</v>
      </c>
      <c r="AS18" s="33">
        <v>9479</v>
      </c>
      <c r="AT18" s="33">
        <v>9503</v>
      </c>
      <c r="AU18" s="33">
        <v>9464</v>
      </c>
      <c r="AV18" s="233">
        <f>9339+39+46</f>
        <v>9424</v>
      </c>
      <c r="AW18" s="233">
        <f>9184+31+61</f>
        <v>9276</v>
      </c>
      <c r="AX18" s="233">
        <v>9474</v>
      </c>
      <c r="AY18" s="233">
        <v>9460</v>
      </c>
      <c r="AZ18" s="233">
        <v>9513</v>
      </c>
      <c r="BA18" s="314">
        <v>9573</v>
      </c>
      <c r="BB18" s="314">
        <v>9461</v>
      </c>
      <c r="BC18" s="314">
        <v>9262</v>
      </c>
      <c r="BD18" s="314">
        <v>9036</v>
      </c>
      <c r="BE18" s="314">
        <v>9036</v>
      </c>
      <c r="BF18" s="314">
        <v>9275</v>
      </c>
      <c r="BG18" s="314">
        <v>9106</v>
      </c>
      <c r="BH18" s="314">
        <v>9224</v>
      </c>
      <c r="BI18" s="385">
        <f t="shared" si="0"/>
        <v>-1.8221024258760109E-2</v>
      </c>
      <c r="BJ18" s="385">
        <f t="shared" si="0"/>
        <v>1.2958488908412035E-2</v>
      </c>
      <c r="BK18" s="569">
        <f t="shared" si="1"/>
        <v>-169</v>
      </c>
      <c r="BL18" s="569">
        <f t="shared" si="1"/>
        <v>118</v>
      </c>
    </row>
    <row r="19" spans="1:64" ht="11.1" customHeight="1">
      <c r="A19" s="127" t="s">
        <v>67</v>
      </c>
      <c r="B19" s="18" t="s">
        <v>3</v>
      </c>
      <c r="C19" s="18" t="s">
        <v>3</v>
      </c>
      <c r="D19" s="18" t="s">
        <v>3</v>
      </c>
      <c r="E19" s="18" t="s">
        <v>3</v>
      </c>
      <c r="F19" s="18" t="s">
        <v>3</v>
      </c>
      <c r="G19" s="18" t="s">
        <v>3</v>
      </c>
      <c r="H19" s="30">
        <v>209</v>
      </c>
      <c r="I19" s="30">
        <v>212</v>
      </c>
      <c r="J19" s="30">
        <v>201</v>
      </c>
      <c r="K19" s="30">
        <v>212</v>
      </c>
      <c r="L19" s="83">
        <v>221</v>
      </c>
      <c r="M19" s="83">
        <v>211</v>
      </c>
      <c r="N19" s="83">
        <v>216</v>
      </c>
      <c r="O19" s="83">
        <v>211</v>
      </c>
      <c r="P19" s="83">
        <v>201</v>
      </c>
      <c r="Q19" s="83">
        <v>218</v>
      </c>
      <c r="R19" s="83">
        <v>214</v>
      </c>
      <c r="S19" s="84">
        <v>1836</v>
      </c>
      <c r="T19" s="84">
        <v>2651</v>
      </c>
      <c r="U19" s="84">
        <v>2506</v>
      </c>
      <c r="V19" s="84">
        <v>2207</v>
      </c>
      <c r="W19" s="84">
        <v>2071</v>
      </c>
      <c r="X19" s="84">
        <v>1349</v>
      </c>
      <c r="Y19" s="84">
        <v>1122</v>
      </c>
      <c r="Z19" s="84">
        <v>1078</v>
      </c>
      <c r="AA19" s="84">
        <v>1033</v>
      </c>
      <c r="AB19" s="84">
        <v>1084</v>
      </c>
      <c r="AC19" s="84">
        <v>956</v>
      </c>
      <c r="AD19" s="84">
        <v>982</v>
      </c>
      <c r="AE19" s="84">
        <v>999</v>
      </c>
      <c r="AF19" s="84">
        <v>989</v>
      </c>
      <c r="AG19" s="84">
        <v>923</v>
      </c>
      <c r="AH19" s="84">
        <v>866</v>
      </c>
      <c r="AI19" s="84">
        <v>888</v>
      </c>
      <c r="AJ19" s="84">
        <v>875</v>
      </c>
      <c r="AK19" s="83">
        <v>816</v>
      </c>
      <c r="AL19" s="83">
        <v>808</v>
      </c>
      <c r="AM19" s="71">
        <v>788</v>
      </c>
      <c r="AN19" s="74">
        <v>757</v>
      </c>
      <c r="AO19" s="74">
        <v>740</v>
      </c>
      <c r="AP19" s="100">
        <v>750</v>
      </c>
      <c r="AQ19" s="100">
        <v>750</v>
      </c>
      <c r="AR19" s="100">
        <v>735</v>
      </c>
      <c r="AS19" s="100">
        <v>707</v>
      </c>
      <c r="AT19" s="100">
        <v>690</v>
      </c>
      <c r="AU19" s="100">
        <v>675</v>
      </c>
      <c r="AV19" s="247">
        <f>316+329</f>
        <v>645</v>
      </c>
      <c r="AW19" s="248">
        <f>312+5+314</f>
        <v>631</v>
      </c>
      <c r="AX19" s="216">
        <v>647</v>
      </c>
      <c r="AY19" s="243">
        <v>682</v>
      </c>
      <c r="AZ19" s="243">
        <v>713</v>
      </c>
      <c r="BA19" s="379">
        <v>721</v>
      </c>
      <c r="BB19" s="379">
        <v>686</v>
      </c>
      <c r="BC19" s="379">
        <v>652</v>
      </c>
      <c r="BD19" s="379">
        <v>644</v>
      </c>
      <c r="BE19" s="379">
        <v>656</v>
      </c>
      <c r="BF19" s="379">
        <v>681</v>
      </c>
      <c r="BG19" s="379">
        <v>681</v>
      </c>
      <c r="BH19" s="379">
        <v>681</v>
      </c>
      <c r="BI19" s="385">
        <f t="shared" si="0"/>
        <v>0</v>
      </c>
      <c r="BJ19" s="385">
        <f t="shared" si="0"/>
        <v>0</v>
      </c>
      <c r="BK19" s="569">
        <f t="shared" si="1"/>
        <v>0</v>
      </c>
      <c r="BL19" s="569">
        <f t="shared" si="1"/>
        <v>0</v>
      </c>
    </row>
    <row r="20" spans="1:64" ht="11.1" customHeight="1">
      <c r="A20" s="127" t="s">
        <v>84</v>
      </c>
      <c r="B20" s="18" t="s">
        <v>3</v>
      </c>
      <c r="C20" s="18" t="s">
        <v>3</v>
      </c>
      <c r="D20" s="18" t="s">
        <v>3</v>
      </c>
      <c r="E20" s="18" t="s">
        <v>3</v>
      </c>
      <c r="F20" s="18" t="s">
        <v>3</v>
      </c>
      <c r="G20" s="18" t="s">
        <v>3</v>
      </c>
      <c r="H20" s="18" t="s">
        <v>3</v>
      </c>
      <c r="I20" s="18" t="s">
        <v>3</v>
      </c>
      <c r="J20" s="18" t="s">
        <v>3</v>
      </c>
      <c r="K20" s="18" t="s">
        <v>3</v>
      </c>
      <c r="L20" s="18" t="s">
        <v>3</v>
      </c>
      <c r="M20" s="18" t="s">
        <v>3</v>
      </c>
      <c r="N20" s="18" t="s">
        <v>3</v>
      </c>
      <c r="O20" s="18" t="s">
        <v>3</v>
      </c>
      <c r="P20" s="18" t="s">
        <v>3</v>
      </c>
      <c r="Q20" s="18" t="s">
        <v>3</v>
      </c>
      <c r="R20" s="18" t="s">
        <v>3</v>
      </c>
      <c r="S20" s="18" t="s">
        <v>3</v>
      </c>
      <c r="T20" s="18" t="s">
        <v>3</v>
      </c>
      <c r="U20" s="18" t="s">
        <v>3</v>
      </c>
      <c r="V20" s="18" t="s">
        <v>3</v>
      </c>
      <c r="W20" s="18" t="s">
        <v>3</v>
      </c>
      <c r="X20" s="18" t="s">
        <v>3</v>
      </c>
      <c r="Y20" s="18" t="s">
        <v>3</v>
      </c>
      <c r="Z20" s="18" t="s">
        <v>3</v>
      </c>
      <c r="AA20" s="18" t="s">
        <v>3</v>
      </c>
      <c r="AB20" s="18" t="s">
        <v>3</v>
      </c>
      <c r="AC20" s="18" t="s">
        <v>3</v>
      </c>
      <c r="AD20" s="18" t="s">
        <v>3</v>
      </c>
      <c r="AE20" s="18" t="s">
        <v>3</v>
      </c>
      <c r="AF20" s="18" t="s">
        <v>3</v>
      </c>
      <c r="AG20" s="18" t="s">
        <v>3</v>
      </c>
      <c r="AH20" s="18" t="s">
        <v>3</v>
      </c>
      <c r="AI20" s="18" t="s">
        <v>3</v>
      </c>
      <c r="AJ20" s="18" t="s">
        <v>3</v>
      </c>
      <c r="AK20" s="18" t="s">
        <v>3</v>
      </c>
      <c r="AL20" s="455" t="s">
        <v>3</v>
      </c>
      <c r="AM20" s="63">
        <v>526</v>
      </c>
      <c r="AN20" s="63">
        <v>530</v>
      </c>
      <c r="AO20" s="63">
        <v>528</v>
      </c>
      <c r="AP20" s="63">
        <v>512</v>
      </c>
      <c r="AQ20" s="63">
        <v>510</v>
      </c>
      <c r="AR20" s="63">
        <v>499</v>
      </c>
      <c r="AS20" s="63">
        <v>515</v>
      </c>
      <c r="AT20" s="63">
        <v>520</v>
      </c>
      <c r="AU20" s="63">
        <v>502</v>
      </c>
      <c r="AV20" s="249">
        <v>477</v>
      </c>
      <c r="AW20" s="250">
        <v>488</v>
      </c>
      <c r="AX20" s="250">
        <v>481</v>
      </c>
      <c r="AY20" s="243">
        <v>481</v>
      </c>
      <c r="AZ20" s="243">
        <v>501</v>
      </c>
      <c r="BA20" s="379">
        <v>505</v>
      </c>
      <c r="BB20" s="379">
        <v>470</v>
      </c>
      <c r="BC20" s="379">
        <v>446</v>
      </c>
      <c r="BD20" s="379">
        <v>429</v>
      </c>
      <c r="BE20" s="379">
        <v>464</v>
      </c>
      <c r="BF20" s="379">
        <v>476</v>
      </c>
      <c r="BG20" s="379">
        <v>476</v>
      </c>
      <c r="BH20" s="379">
        <v>476</v>
      </c>
      <c r="BI20" s="385">
        <f t="shared" si="0"/>
        <v>0</v>
      </c>
      <c r="BJ20" s="385">
        <f t="shared" si="0"/>
        <v>0</v>
      </c>
      <c r="BK20" s="569">
        <f t="shared" si="1"/>
        <v>0</v>
      </c>
      <c r="BL20" s="569">
        <f t="shared" si="1"/>
        <v>0</v>
      </c>
    </row>
    <row r="21" spans="1:64" ht="11.1" customHeight="1">
      <c r="A21" s="128" t="s">
        <v>32</v>
      </c>
      <c r="B21" s="95">
        <f>SUM(B17:B20)</f>
        <v>6258</v>
      </c>
      <c r="C21" s="95">
        <f t="shared" ref="C21:AV21" si="2">SUM(C17:C20)</f>
        <v>6460</v>
      </c>
      <c r="D21" s="95">
        <f t="shared" si="2"/>
        <v>6737</v>
      </c>
      <c r="E21" s="95">
        <f t="shared" si="2"/>
        <v>6902</v>
      </c>
      <c r="F21" s="95">
        <f t="shared" si="2"/>
        <v>7221</v>
      </c>
      <c r="G21" s="95">
        <f t="shared" si="2"/>
        <v>5948</v>
      </c>
      <c r="H21" s="95">
        <f t="shared" si="2"/>
        <v>6575</v>
      </c>
      <c r="I21" s="95">
        <f t="shared" si="2"/>
        <v>6395</v>
      </c>
      <c r="J21" s="95">
        <f t="shared" si="2"/>
        <v>6495</v>
      </c>
      <c r="K21" s="95">
        <f t="shared" si="2"/>
        <v>6525</v>
      </c>
      <c r="L21" s="95">
        <f t="shared" si="2"/>
        <v>6624</v>
      </c>
      <c r="M21" s="95">
        <f t="shared" si="2"/>
        <v>6487</v>
      </c>
      <c r="N21" s="95">
        <f t="shared" si="2"/>
        <v>15007</v>
      </c>
      <c r="O21" s="95">
        <f t="shared" si="2"/>
        <v>16608</v>
      </c>
      <c r="P21" s="95">
        <f t="shared" si="2"/>
        <v>16356</v>
      </c>
      <c r="Q21" s="95">
        <f t="shared" si="2"/>
        <v>15528</v>
      </c>
      <c r="R21" s="95">
        <f t="shared" si="2"/>
        <v>15962</v>
      </c>
      <c r="S21" s="95">
        <f t="shared" si="2"/>
        <v>20525</v>
      </c>
      <c r="T21" s="95">
        <f t="shared" si="2"/>
        <v>20806</v>
      </c>
      <c r="U21" s="95">
        <f t="shared" si="2"/>
        <v>23741</v>
      </c>
      <c r="V21" s="95">
        <f t="shared" si="2"/>
        <v>20019</v>
      </c>
      <c r="W21" s="95">
        <f t="shared" si="2"/>
        <v>19210</v>
      </c>
      <c r="X21" s="95">
        <f t="shared" si="2"/>
        <v>16071</v>
      </c>
      <c r="Y21" s="95">
        <f t="shared" si="2"/>
        <v>15435</v>
      </c>
      <c r="Z21" s="95">
        <f t="shared" si="2"/>
        <v>15421</v>
      </c>
      <c r="AA21" s="95">
        <f t="shared" si="2"/>
        <v>15564</v>
      </c>
      <c r="AB21" s="95">
        <f t="shared" si="2"/>
        <v>15443</v>
      </c>
      <c r="AC21" s="95">
        <f t="shared" si="2"/>
        <v>15513</v>
      </c>
      <c r="AD21" s="95">
        <f t="shared" si="2"/>
        <v>15868</v>
      </c>
      <c r="AE21" s="95">
        <f t="shared" si="2"/>
        <v>15999</v>
      </c>
      <c r="AF21" s="95">
        <f t="shared" si="2"/>
        <v>16236</v>
      </c>
      <c r="AG21" s="95">
        <f t="shared" si="2"/>
        <v>16347</v>
      </c>
      <c r="AH21" s="95">
        <f t="shared" si="2"/>
        <v>16802</v>
      </c>
      <c r="AI21" s="95">
        <f t="shared" si="2"/>
        <v>17205</v>
      </c>
      <c r="AJ21" s="95">
        <f t="shared" si="2"/>
        <v>17369</v>
      </c>
      <c r="AK21" s="95">
        <f t="shared" si="2"/>
        <v>16947</v>
      </c>
      <c r="AL21" s="95">
        <f t="shared" si="2"/>
        <v>16753</v>
      </c>
      <c r="AM21" s="95">
        <f t="shared" si="2"/>
        <v>17216</v>
      </c>
      <c r="AN21" s="95">
        <f t="shared" si="2"/>
        <v>17327</v>
      </c>
      <c r="AO21" s="95">
        <f t="shared" si="2"/>
        <v>17169</v>
      </c>
      <c r="AP21" s="95">
        <f t="shared" si="2"/>
        <v>17275</v>
      </c>
      <c r="AQ21" s="95">
        <f t="shared" si="2"/>
        <v>17801</v>
      </c>
      <c r="AR21" s="95">
        <f t="shared" si="2"/>
        <v>16028</v>
      </c>
      <c r="AS21" s="95">
        <f t="shared" si="2"/>
        <v>18163</v>
      </c>
      <c r="AT21" s="95">
        <f t="shared" si="2"/>
        <v>17474</v>
      </c>
      <c r="AU21" s="95">
        <f t="shared" si="2"/>
        <v>17719</v>
      </c>
      <c r="AV21" s="251">
        <f t="shared" si="2"/>
        <v>17845</v>
      </c>
      <c r="AW21" s="251">
        <f t="shared" ref="AW21:BB21" si="3">SUM(AW17:AW20)</f>
        <v>17858</v>
      </c>
      <c r="AX21" s="251">
        <f t="shared" si="3"/>
        <v>18345</v>
      </c>
      <c r="AY21" s="152">
        <f t="shared" si="3"/>
        <v>18558</v>
      </c>
      <c r="AZ21" s="152">
        <f t="shared" si="3"/>
        <v>18731</v>
      </c>
      <c r="BA21" s="394">
        <f t="shared" si="3"/>
        <v>18728</v>
      </c>
      <c r="BB21" s="394">
        <f t="shared" si="3"/>
        <v>18070</v>
      </c>
      <c r="BC21" s="394">
        <f t="shared" ref="BC21:BH21" si="4">SUM(BC17:BC20)</f>
        <v>17531</v>
      </c>
      <c r="BD21" s="395">
        <f t="shared" si="4"/>
        <v>17220</v>
      </c>
      <c r="BE21" s="395">
        <f t="shared" si="4"/>
        <v>17389</v>
      </c>
      <c r="BF21" s="395">
        <f t="shared" si="4"/>
        <v>18000</v>
      </c>
      <c r="BG21" s="395">
        <f t="shared" si="4"/>
        <v>18162</v>
      </c>
      <c r="BH21" s="395">
        <f t="shared" si="4"/>
        <v>17969</v>
      </c>
      <c r="BI21" s="415">
        <f t="shared" si="0"/>
        <v>8.9999999999999993E-3</v>
      </c>
      <c r="BJ21" s="415">
        <f t="shared" si="0"/>
        <v>-1.0626582975443234E-2</v>
      </c>
      <c r="BK21" s="572">
        <f t="shared" si="1"/>
        <v>162</v>
      </c>
      <c r="BL21" s="572">
        <f t="shared" si="1"/>
        <v>-193</v>
      </c>
    </row>
    <row r="22" spans="1:64" ht="6" customHeight="1">
      <c r="A22" s="125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M22" s="71"/>
      <c r="AN22" s="71"/>
      <c r="AO22" s="71"/>
      <c r="AP22" s="71"/>
      <c r="AQ22" s="71"/>
      <c r="AR22" s="71"/>
      <c r="AS22" s="71"/>
      <c r="AT22" s="71"/>
      <c r="AU22" s="71"/>
      <c r="AV22" s="158"/>
      <c r="AW22" s="243"/>
      <c r="AX22" s="233"/>
      <c r="AY22" s="243"/>
      <c r="AZ22" s="311"/>
      <c r="BA22" s="379"/>
      <c r="BB22" s="379"/>
      <c r="BC22" s="473"/>
      <c r="BD22" s="311"/>
      <c r="BE22" s="311"/>
      <c r="BF22" s="311"/>
      <c r="BG22" s="311"/>
      <c r="BH22" s="311"/>
      <c r="BI22" s="329"/>
      <c r="BJ22" s="329"/>
      <c r="BK22" s="570"/>
      <c r="BL22" s="570"/>
    </row>
    <row r="23" spans="1:64" ht="11.1" customHeight="1">
      <c r="A23" s="126" t="s">
        <v>33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589"/>
      <c r="BG23" s="589"/>
      <c r="BH23" s="589"/>
      <c r="BI23" s="329"/>
      <c r="BJ23" s="329"/>
      <c r="BK23" s="570"/>
      <c r="BL23" s="570"/>
    </row>
    <row r="24" spans="1:64" ht="11.1" customHeight="1">
      <c r="A24" s="125" t="s">
        <v>80</v>
      </c>
      <c r="B24" s="28">
        <v>1868</v>
      </c>
      <c r="C24" s="28">
        <v>2291</v>
      </c>
      <c r="D24" s="28">
        <v>2649</v>
      </c>
      <c r="E24" s="28">
        <v>3460</v>
      </c>
      <c r="F24" s="28">
        <v>4082</v>
      </c>
      <c r="G24" s="28">
        <v>4352</v>
      </c>
      <c r="H24" s="28">
        <v>5023</v>
      </c>
      <c r="I24" s="28">
        <v>5407</v>
      </c>
      <c r="J24" s="28">
        <v>4961</v>
      </c>
      <c r="K24" s="28">
        <v>4409</v>
      </c>
      <c r="L24" s="12">
        <v>4496</v>
      </c>
      <c r="M24" s="12">
        <v>4698</v>
      </c>
      <c r="N24" s="12">
        <v>5833</v>
      </c>
      <c r="O24" s="12">
        <v>7172</v>
      </c>
      <c r="P24" s="12">
        <v>6593</v>
      </c>
      <c r="Q24" s="12">
        <v>6686</v>
      </c>
      <c r="R24" s="12">
        <v>6918</v>
      </c>
      <c r="S24" s="12">
        <v>7896</v>
      </c>
      <c r="T24" s="12">
        <v>8134</v>
      </c>
      <c r="U24" s="12">
        <v>8550</v>
      </c>
      <c r="V24" s="12">
        <v>8045</v>
      </c>
      <c r="W24" s="12">
        <v>7705</v>
      </c>
      <c r="X24" s="12">
        <v>7260</v>
      </c>
      <c r="Y24" s="12">
        <v>7261</v>
      </c>
      <c r="Z24" s="12">
        <v>7234</v>
      </c>
      <c r="AA24" s="12">
        <v>7156</v>
      </c>
      <c r="AB24" s="12">
        <v>6966</v>
      </c>
      <c r="AC24" s="12">
        <v>6918</v>
      </c>
      <c r="AD24" s="12">
        <v>7168</v>
      </c>
      <c r="AE24" s="12">
        <v>7349</v>
      </c>
      <c r="AF24" s="12">
        <v>7764</v>
      </c>
      <c r="AG24" s="12">
        <v>8418</v>
      </c>
      <c r="AH24" s="12">
        <v>8952</v>
      </c>
      <c r="AI24" s="12">
        <v>8977</v>
      </c>
      <c r="AJ24" s="12">
        <v>9194</v>
      </c>
      <c r="AK24" s="12">
        <v>9242</v>
      </c>
      <c r="AL24" s="12">
        <v>9172</v>
      </c>
      <c r="AM24" s="71">
        <v>9171</v>
      </c>
      <c r="AN24" s="71">
        <v>8904</v>
      </c>
      <c r="AO24" s="71">
        <v>8896</v>
      </c>
      <c r="AP24" s="55">
        <v>8900</v>
      </c>
      <c r="AQ24" s="55">
        <v>9063</v>
      </c>
      <c r="AR24" s="104">
        <v>8888</v>
      </c>
      <c r="AS24" s="104">
        <v>10318</v>
      </c>
      <c r="AT24" s="104">
        <v>10210</v>
      </c>
      <c r="AU24" s="104">
        <v>9980</v>
      </c>
      <c r="AV24" s="216">
        <f>7319+573+1717+135+33</f>
        <v>9777</v>
      </c>
      <c r="AW24" s="216">
        <f>7151+554+1765+137+36</f>
        <v>9643</v>
      </c>
      <c r="AX24" s="233">
        <v>9889</v>
      </c>
      <c r="AY24" s="233">
        <v>11369</v>
      </c>
      <c r="AZ24" s="233">
        <v>12467</v>
      </c>
      <c r="BA24" s="314">
        <v>13266</v>
      </c>
      <c r="BB24" s="314">
        <v>13484</v>
      </c>
      <c r="BC24" s="314">
        <v>14092</v>
      </c>
      <c r="BD24" s="314">
        <v>14682</v>
      </c>
      <c r="BE24" s="314">
        <v>15620</v>
      </c>
      <c r="BF24" s="314">
        <v>16517</v>
      </c>
      <c r="BG24" s="314">
        <v>17134</v>
      </c>
      <c r="BH24" s="314">
        <v>17614</v>
      </c>
      <c r="BI24" s="385">
        <f>(BG24-BF24)/BF24</f>
        <v>3.7355451958588123E-2</v>
      </c>
      <c r="BJ24" s="385">
        <f>(BH24-BG24)/BG24</f>
        <v>2.8014474144974905E-2</v>
      </c>
      <c r="BK24" s="569">
        <f>BG24-BF24</f>
        <v>617</v>
      </c>
      <c r="BL24" s="569">
        <f>BH24-BG24</f>
        <v>480</v>
      </c>
    </row>
    <row r="25" spans="1:64" ht="6" customHeight="1">
      <c r="A25" s="125"/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368"/>
      <c r="AB25" s="368"/>
      <c r="AC25" s="368"/>
      <c r="AD25" s="368"/>
      <c r="AE25" s="368"/>
      <c r="AF25" s="368"/>
      <c r="AG25" s="368"/>
      <c r="AH25" s="368"/>
      <c r="AI25" s="368"/>
      <c r="AJ25" s="368"/>
      <c r="AK25" s="368"/>
      <c r="AL25" s="350"/>
      <c r="AM25" s="368"/>
      <c r="AN25" s="368"/>
      <c r="AO25" s="368"/>
      <c r="AP25" s="368"/>
      <c r="AQ25" s="368"/>
      <c r="AR25" s="368"/>
      <c r="AS25" s="368"/>
      <c r="AT25" s="368"/>
      <c r="AU25" s="368"/>
      <c r="AV25" s="430"/>
      <c r="AW25" s="379"/>
      <c r="AX25" s="314"/>
      <c r="AY25" s="314"/>
      <c r="AZ25" s="314"/>
      <c r="BA25" s="314"/>
      <c r="BB25" s="314"/>
      <c r="BC25" s="474"/>
      <c r="BD25" s="309"/>
      <c r="BE25" s="309"/>
      <c r="BF25" s="309"/>
      <c r="BG25" s="309"/>
      <c r="BH25" s="309"/>
      <c r="BI25" s="419"/>
      <c r="BJ25" s="419"/>
    </row>
    <row r="26" spans="1:64" s="300" customFormat="1" ht="11.1" customHeight="1">
      <c r="A26" s="126" t="s">
        <v>34</v>
      </c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68"/>
      <c r="M26" s="368"/>
      <c r="N26" s="368"/>
      <c r="O26" s="368"/>
      <c r="P26" s="368"/>
      <c r="Q26" s="368"/>
      <c r="R26" s="368"/>
      <c r="S26" s="368"/>
      <c r="T26" s="368"/>
      <c r="U26" s="368"/>
      <c r="V26" s="368"/>
      <c r="W26" s="368"/>
      <c r="X26" s="368"/>
      <c r="Y26" s="368"/>
      <c r="Z26" s="368"/>
      <c r="AA26" s="368"/>
      <c r="AB26" s="368"/>
      <c r="AC26" s="368"/>
      <c r="AD26" s="368"/>
      <c r="AE26" s="368"/>
      <c r="AF26" s="368"/>
      <c r="AG26" s="368"/>
      <c r="AH26" s="368"/>
      <c r="AI26" s="368"/>
      <c r="AJ26" s="368"/>
      <c r="AK26" s="368"/>
      <c r="AL26" s="350"/>
      <c r="AM26" s="368"/>
      <c r="AN26" s="368"/>
      <c r="AO26" s="368"/>
      <c r="AP26" s="368"/>
      <c r="AQ26" s="368"/>
      <c r="AR26" s="368"/>
      <c r="AS26" s="368"/>
      <c r="AT26" s="368"/>
      <c r="AU26" s="368"/>
      <c r="AV26" s="379"/>
      <c r="AW26" s="379"/>
      <c r="AX26" s="314"/>
      <c r="AY26" s="314"/>
      <c r="AZ26" s="314"/>
      <c r="BA26" s="314"/>
      <c r="BB26" s="314"/>
      <c r="BC26" s="474"/>
      <c r="BD26" s="309"/>
      <c r="BE26" s="309"/>
      <c r="BF26" s="309"/>
      <c r="BG26" s="309"/>
      <c r="BH26" s="309"/>
      <c r="BI26" s="419"/>
      <c r="BJ26" s="419"/>
      <c r="BK26" s="350"/>
      <c r="BL26" s="350"/>
    </row>
    <row r="27" spans="1:64" s="300" customFormat="1" ht="11.1" customHeight="1">
      <c r="A27" s="125" t="s">
        <v>81</v>
      </c>
      <c r="B27" s="369" t="s">
        <v>3</v>
      </c>
      <c r="C27" s="369" t="s">
        <v>3</v>
      </c>
      <c r="D27" s="369" t="s">
        <v>3</v>
      </c>
      <c r="E27" s="369" t="s">
        <v>3</v>
      </c>
      <c r="F27" s="369" t="s">
        <v>3</v>
      </c>
      <c r="G27" s="369" t="s">
        <v>3</v>
      </c>
      <c r="H27" s="369" t="s">
        <v>3</v>
      </c>
      <c r="I27" s="369" t="s">
        <v>3</v>
      </c>
      <c r="J27" s="369" t="s">
        <v>3</v>
      </c>
      <c r="K27" s="369" t="s">
        <v>3</v>
      </c>
      <c r="L27" s="369" t="s">
        <v>3</v>
      </c>
      <c r="M27" s="369" t="s">
        <v>3</v>
      </c>
      <c r="N27" s="369" t="s">
        <v>3</v>
      </c>
      <c r="O27" s="369" t="s">
        <v>3</v>
      </c>
      <c r="P27" s="369" t="s">
        <v>3</v>
      </c>
      <c r="Q27" s="369" t="s">
        <v>3</v>
      </c>
      <c r="R27" s="369" t="s">
        <v>3</v>
      </c>
      <c r="S27" s="369" t="s">
        <v>3</v>
      </c>
      <c r="T27" s="369" t="s">
        <v>3</v>
      </c>
      <c r="U27" s="369" t="s">
        <v>3</v>
      </c>
      <c r="V27" s="369" t="s">
        <v>3</v>
      </c>
      <c r="W27" s="369" t="s">
        <v>3</v>
      </c>
      <c r="X27" s="369" t="s">
        <v>3</v>
      </c>
      <c r="Y27" s="369" t="s">
        <v>3</v>
      </c>
      <c r="Z27" s="369" t="s">
        <v>3</v>
      </c>
      <c r="AA27" s="369" t="s">
        <v>3</v>
      </c>
      <c r="AB27" s="369" t="s">
        <v>3</v>
      </c>
      <c r="AC27" s="369" t="s">
        <v>3</v>
      </c>
      <c r="AD27" s="369" t="s">
        <v>3</v>
      </c>
      <c r="AE27" s="369" t="s">
        <v>3</v>
      </c>
      <c r="AF27" s="369" t="s">
        <v>3</v>
      </c>
      <c r="AG27" s="369" t="s">
        <v>3</v>
      </c>
      <c r="AH27" s="369" t="s">
        <v>10</v>
      </c>
      <c r="AI27" s="368">
        <v>7</v>
      </c>
      <c r="AJ27" s="368">
        <v>25</v>
      </c>
      <c r="AK27" s="368">
        <v>56</v>
      </c>
      <c r="AL27" s="368">
        <v>66</v>
      </c>
      <c r="AM27" s="368">
        <v>69</v>
      </c>
      <c r="AN27" s="368">
        <v>72</v>
      </c>
      <c r="AO27" s="368">
        <v>73</v>
      </c>
      <c r="AP27" s="356">
        <v>87</v>
      </c>
      <c r="AQ27" s="356">
        <v>105</v>
      </c>
      <c r="AR27" s="357">
        <v>112</v>
      </c>
      <c r="AS27" s="357">
        <v>126</v>
      </c>
      <c r="AT27" s="357">
        <v>152</v>
      </c>
      <c r="AU27" s="357">
        <v>198</v>
      </c>
      <c r="AV27" s="401">
        <v>225</v>
      </c>
      <c r="AW27" s="401">
        <v>230</v>
      </c>
      <c r="AX27" s="456">
        <v>251</v>
      </c>
      <c r="AY27" s="315" t="s">
        <v>3</v>
      </c>
      <c r="AZ27" s="315" t="s">
        <v>3</v>
      </c>
      <c r="BA27" s="315" t="s">
        <v>3</v>
      </c>
      <c r="BB27" s="315" t="s">
        <v>3</v>
      </c>
      <c r="BC27" s="315" t="s">
        <v>3</v>
      </c>
      <c r="BD27" s="315" t="s">
        <v>3</v>
      </c>
      <c r="BE27" s="315" t="s">
        <v>3</v>
      </c>
      <c r="BF27" s="315" t="s">
        <v>3</v>
      </c>
      <c r="BG27" s="315" t="s">
        <v>3</v>
      </c>
      <c r="BH27" s="315" t="s">
        <v>3</v>
      </c>
      <c r="BI27" s="434" t="s">
        <v>9</v>
      </c>
      <c r="BJ27" s="434" t="s">
        <v>9</v>
      </c>
      <c r="BK27" s="434" t="s">
        <v>9</v>
      </c>
      <c r="BL27" s="434" t="s">
        <v>9</v>
      </c>
    </row>
    <row r="28" spans="1:64" ht="10.5" customHeight="1">
      <c r="A28" s="426" t="s">
        <v>85</v>
      </c>
      <c r="B28" s="315" t="s">
        <v>3</v>
      </c>
      <c r="C28" s="315" t="s">
        <v>3</v>
      </c>
      <c r="D28" s="315" t="s">
        <v>3</v>
      </c>
      <c r="E28" s="315" t="s">
        <v>3</v>
      </c>
      <c r="F28" s="315" t="s">
        <v>3</v>
      </c>
      <c r="G28" s="315" t="s">
        <v>3</v>
      </c>
      <c r="H28" s="315" t="s">
        <v>3</v>
      </c>
      <c r="I28" s="315" t="s">
        <v>3</v>
      </c>
      <c r="J28" s="315" t="s">
        <v>3</v>
      </c>
      <c r="K28" s="315" t="s">
        <v>3</v>
      </c>
      <c r="L28" s="315" t="s">
        <v>3</v>
      </c>
      <c r="M28" s="315" t="s">
        <v>3</v>
      </c>
      <c r="N28" s="315" t="s">
        <v>3</v>
      </c>
      <c r="O28" s="315" t="s">
        <v>3</v>
      </c>
      <c r="P28" s="315" t="s">
        <v>3</v>
      </c>
      <c r="Q28" s="315" t="s">
        <v>3</v>
      </c>
      <c r="R28" s="315" t="s">
        <v>3</v>
      </c>
      <c r="S28" s="315" t="s">
        <v>3</v>
      </c>
      <c r="T28" s="315" t="s">
        <v>3</v>
      </c>
      <c r="U28" s="315" t="s">
        <v>3</v>
      </c>
      <c r="V28" s="315" t="s">
        <v>3</v>
      </c>
      <c r="W28" s="315" t="s">
        <v>3</v>
      </c>
      <c r="X28" s="315" t="s">
        <v>3</v>
      </c>
      <c r="Y28" s="315" t="s">
        <v>3</v>
      </c>
      <c r="Z28" s="315" t="s">
        <v>3</v>
      </c>
      <c r="AA28" s="315" t="s">
        <v>3</v>
      </c>
      <c r="AB28" s="315" t="s">
        <v>3</v>
      </c>
      <c r="AC28" s="315" t="s">
        <v>3</v>
      </c>
      <c r="AD28" s="315" t="s">
        <v>3</v>
      </c>
      <c r="AE28" s="315" t="s">
        <v>3</v>
      </c>
      <c r="AF28" s="315" t="s">
        <v>3</v>
      </c>
      <c r="AG28" s="315" t="s">
        <v>3</v>
      </c>
      <c r="AH28" s="315" t="s">
        <v>3</v>
      </c>
      <c r="AI28" s="315" t="s">
        <v>3</v>
      </c>
      <c r="AJ28" s="315" t="s">
        <v>3</v>
      </c>
      <c r="AK28" s="315" t="s">
        <v>3</v>
      </c>
      <c r="AL28" s="315" t="s">
        <v>3</v>
      </c>
      <c r="AM28" s="315" t="s">
        <v>3</v>
      </c>
      <c r="AN28" s="315" t="s">
        <v>3</v>
      </c>
      <c r="AO28" s="315" t="s">
        <v>3</v>
      </c>
      <c r="AP28" s="315" t="s">
        <v>3</v>
      </c>
      <c r="AQ28" s="315" t="s">
        <v>3</v>
      </c>
      <c r="AR28" s="315" t="s">
        <v>3</v>
      </c>
      <c r="AS28" s="315" t="s">
        <v>3</v>
      </c>
      <c r="AT28" s="315" t="s">
        <v>3</v>
      </c>
      <c r="AU28" s="315" t="s">
        <v>3</v>
      </c>
      <c r="AV28" s="315" t="s">
        <v>3</v>
      </c>
      <c r="AW28" s="315" t="s">
        <v>3</v>
      </c>
      <c r="AX28" s="315" t="s">
        <v>3</v>
      </c>
      <c r="AY28" s="315" t="s">
        <v>3</v>
      </c>
      <c r="AZ28" s="315" t="s">
        <v>3</v>
      </c>
      <c r="BA28" s="315" t="s">
        <v>3</v>
      </c>
      <c r="BB28" s="315" t="s">
        <v>3</v>
      </c>
      <c r="BC28" s="315" t="s">
        <v>3</v>
      </c>
      <c r="BD28" s="315" t="s">
        <v>3</v>
      </c>
      <c r="BE28" s="315" t="s">
        <v>3</v>
      </c>
      <c r="BF28" s="315" t="s">
        <v>3</v>
      </c>
      <c r="BG28" s="315" t="s">
        <v>3</v>
      </c>
      <c r="BH28" s="315" t="s">
        <v>3</v>
      </c>
      <c r="BI28" s="434" t="s">
        <v>9</v>
      </c>
      <c r="BJ28" s="434" t="s">
        <v>9</v>
      </c>
      <c r="BK28" s="434" t="s">
        <v>9</v>
      </c>
      <c r="BL28" s="434" t="s">
        <v>9</v>
      </c>
    </row>
    <row r="29" spans="1:64" ht="10.5" customHeight="1">
      <c r="A29" s="129" t="s">
        <v>87</v>
      </c>
      <c r="AY29" s="275" t="s">
        <v>3</v>
      </c>
      <c r="AZ29" s="275" t="s">
        <v>3</v>
      </c>
      <c r="BA29" s="275" t="s">
        <v>3</v>
      </c>
      <c r="BB29" s="275" t="s">
        <v>3</v>
      </c>
      <c r="BC29" s="275" t="s">
        <v>3</v>
      </c>
      <c r="BD29" s="275" t="s">
        <v>3</v>
      </c>
      <c r="BE29" s="275" t="s">
        <v>3</v>
      </c>
      <c r="BF29" s="250" t="s">
        <v>3</v>
      </c>
      <c r="BG29" s="250" t="s">
        <v>3</v>
      </c>
      <c r="BH29" s="250" t="s">
        <v>3</v>
      </c>
      <c r="BI29" s="434" t="s">
        <v>9</v>
      </c>
      <c r="BJ29" s="434" t="s">
        <v>9</v>
      </c>
      <c r="BK29" s="434" t="s">
        <v>9</v>
      </c>
      <c r="BL29" s="434" t="s">
        <v>9</v>
      </c>
    </row>
    <row r="30" spans="1:64" ht="6" customHeight="1">
      <c r="A30" s="125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M30" s="71"/>
      <c r="AN30" s="71"/>
      <c r="AO30" s="71"/>
      <c r="AP30" s="71"/>
      <c r="AQ30" s="71"/>
      <c r="AR30" s="71"/>
      <c r="AS30" s="71"/>
      <c r="AT30" s="71"/>
      <c r="AU30" s="71"/>
      <c r="AV30" s="244"/>
      <c r="AW30" s="243"/>
      <c r="AX30" s="233"/>
      <c r="AY30" s="233"/>
      <c r="AZ30" s="309"/>
      <c r="BA30" s="314"/>
      <c r="BB30" s="314"/>
      <c r="BC30" s="474"/>
      <c r="BD30" s="309"/>
      <c r="BE30" s="309"/>
      <c r="BF30" s="309"/>
      <c r="BG30" s="309"/>
      <c r="BH30" s="309"/>
      <c r="BI30" s="419"/>
      <c r="BJ30" s="419"/>
    </row>
    <row r="31" spans="1:64" ht="11.1" customHeight="1">
      <c r="A31" s="126" t="s">
        <v>35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M31" s="71"/>
      <c r="AN31" s="71"/>
      <c r="AO31" s="71"/>
      <c r="AP31" s="71"/>
      <c r="AQ31" s="71"/>
      <c r="AR31" s="71"/>
      <c r="AS31" s="71"/>
      <c r="AT31" s="71"/>
      <c r="AU31" s="71"/>
      <c r="AV31" s="244"/>
      <c r="AW31" s="243"/>
      <c r="AX31" s="233"/>
      <c r="AY31" s="233"/>
      <c r="AZ31" s="309"/>
      <c r="BA31" s="314"/>
      <c r="BB31" s="314"/>
      <c r="BC31" s="474"/>
      <c r="BD31" s="309"/>
      <c r="BE31" s="309"/>
      <c r="BF31" s="309"/>
      <c r="BG31" s="309"/>
      <c r="BH31" s="309"/>
      <c r="BI31" s="419"/>
      <c r="BJ31" s="419"/>
    </row>
    <row r="32" spans="1:64" ht="11.1" customHeight="1">
      <c r="A32" s="125" t="s">
        <v>88</v>
      </c>
      <c r="B32" s="30" t="s">
        <v>3</v>
      </c>
      <c r="C32" s="30" t="s">
        <v>3</v>
      </c>
      <c r="D32" s="30" t="s">
        <v>3</v>
      </c>
      <c r="E32" s="30" t="s">
        <v>3</v>
      </c>
      <c r="F32" s="30" t="s">
        <v>3</v>
      </c>
      <c r="G32" s="30" t="s">
        <v>3</v>
      </c>
      <c r="H32" s="30" t="s">
        <v>3</v>
      </c>
      <c r="I32" s="30" t="s">
        <v>3</v>
      </c>
      <c r="J32" s="28">
        <v>81</v>
      </c>
      <c r="K32" s="28">
        <v>107</v>
      </c>
      <c r="L32" s="12">
        <v>125</v>
      </c>
      <c r="M32" s="12">
        <v>224</v>
      </c>
      <c r="N32" s="12">
        <v>327</v>
      </c>
      <c r="O32" s="12">
        <v>367</v>
      </c>
      <c r="P32" s="12">
        <v>284</v>
      </c>
      <c r="Q32" s="12">
        <v>368</v>
      </c>
      <c r="R32" s="12">
        <v>251</v>
      </c>
      <c r="S32" s="12">
        <v>237</v>
      </c>
      <c r="T32" s="12">
        <v>228</v>
      </c>
      <c r="U32" s="12">
        <v>280</v>
      </c>
      <c r="V32" s="12">
        <v>255</v>
      </c>
      <c r="W32" s="12">
        <v>233</v>
      </c>
      <c r="X32" s="12">
        <v>233</v>
      </c>
      <c r="Y32" s="12">
        <v>217</v>
      </c>
      <c r="Z32" s="12">
        <v>194</v>
      </c>
      <c r="AA32" s="12">
        <v>222</v>
      </c>
      <c r="AB32" s="12">
        <v>236</v>
      </c>
      <c r="AC32" s="12">
        <v>254</v>
      </c>
      <c r="AD32" s="12">
        <v>275</v>
      </c>
      <c r="AE32" s="12">
        <v>287</v>
      </c>
      <c r="AF32" s="12">
        <v>294</v>
      </c>
      <c r="AG32" s="12">
        <v>319</v>
      </c>
      <c r="AH32" s="12">
        <v>356</v>
      </c>
      <c r="AI32" s="12">
        <v>361</v>
      </c>
      <c r="AJ32" s="12">
        <v>525</v>
      </c>
      <c r="AK32" s="12">
        <v>508</v>
      </c>
      <c r="AL32" s="12">
        <v>522</v>
      </c>
      <c r="AM32" s="71">
        <v>533</v>
      </c>
      <c r="AN32" s="71">
        <v>620</v>
      </c>
      <c r="AO32" s="71">
        <v>599</v>
      </c>
      <c r="AP32" s="71">
        <v>613</v>
      </c>
      <c r="AQ32" s="71">
        <v>595</v>
      </c>
      <c r="AR32" s="71">
        <v>568</v>
      </c>
      <c r="AS32" s="71">
        <v>570</v>
      </c>
      <c r="AT32" s="71">
        <v>613</v>
      </c>
      <c r="AU32" s="71">
        <v>739</v>
      </c>
      <c r="AV32" s="244">
        <v>807</v>
      </c>
      <c r="AW32" s="231">
        <v>857</v>
      </c>
      <c r="AX32" s="233">
        <v>998</v>
      </c>
      <c r="AY32" s="233">
        <v>975</v>
      </c>
      <c r="AZ32" s="233">
        <v>1125</v>
      </c>
      <c r="BA32" s="314">
        <v>1227</v>
      </c>
      <c r="BB32" s="314">
        <v>1335</v>
      </c>
      <c r="BC32" s="314">
        <v>1362</v>
      </c>
      <c r="BD32" s="314">
        <v>1256</v>
      </c>
      <c r="BE32" s="314">
        <v>1356</v>
      </c>
      <c r="BF32" s="314">
        <v>1343</v>
      </c>
      <c r="BG32" s="314">
        <v>1456</v>
      </c>
      <c r="BH32" s="314">
        <v>1495</v>
      </c>
      <c r="BI32" s="385">
        <f>(BG32-BF32)/BF32</f>
        <v>8.4139985107967233E-2</v>
      </c>
      <c r="BJ32" s="385">
        <f>(BH32-BG32)/BG32</f>
        <v>2.6785714285714284E-2</v>
      </c>
      <c r="BK32" s="569">
        <f t="shared" ref="BK32:BL35" si="5">BG32-BF32</f>
        <v>113</v>
      </c>
      <c r="BL32" s="569">
        <f t="shared" si="5"/>
        <v>39</v>
      </c>
    </row>
    <row r="33" spans="1:64" ht="11.1" customHeight="1">
      <c r="A33" s="129" t="s">
        <v>117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M33" s="71"/>
      <c r="AN33" s="71"/>
      <c r="AO33" s="71"/>
      <c r="AP33" s="71"/>
      <c r="AQ33" s="71"/>
      <c r="AR33" s="55"/>
      <c r="AS33" s="71"/>
      <c r="AT33" s="71"/>
      <c r="AU33" s="71"/>
      <c r="AV33" s="158"/>
      <c r="AW33" s="243"/>
      <c r="AX33" s="233"/>
      <c r="AY33" s="233"/>
      <c r="AZ33" s="309"/>
      <c r="BA33" s="314"/>
      <c r="BB33" s="314"/>
      <c r="BC33" s="314"/>
      <c r="BD33" s="309"/>
      <c r="BE33" s="309"/>
      <c r="BF33" s="309"/>
      <c r="BG33" s="309"/>
      <c r="BH33" s="309"/>
      <c r="BI33" s="329"/>
      <c r="BJ33" s="329"/>
      <c r="BK33" s="569">
        <f t="shared" si="5"/>
        <v>0</v>
      </c>
      <c r="BL33" s="569">
        <f t="shared" si="5"/>
        <v>0</v>
      </c>
    </row>
    <row r="34" spans="1:64" ht="11.1" customHeight="1">
      <c r="A34" s="129" t="s">
        <v>89</v>
      </c>
      <c r="B34" s="28">
        <v>3835</v>
      </c>
      <c r="C34" s="28">
        <v>3784</v>
      </c>
      <c r="D34" s="28">
        <v>3845</v>
      </c>
      <c r="E34" s="28">
        <v>3877</v>
      </c>
      <c r="F34" s="28">
        <v>3474</v>
      </c>
      <c r="G34" s="28">
        <v>3584</v>
      </c>
      <c r="H34" s="28">
        <v>3502</v>
      </c>
      <c r="I34" s="28">
        <v>3477</v>
      </c>
      <c r="J34" s="28">
        <v>3310</v>
      </c>
      <c r="K34" s="30">
        <v>3490</v>
      </c>
      <c r="L34" s="12">
        <v>3489</v>
      </c>
      <c r="M34" s="12">
        <v>3958</v>
      </c>
      <c r="N34" s="12">
        <v>4171</v>
      </c>
      <c r="O34" s="12">
        <v>4218</v>
      </c>
      <c r="P34" s="12">
        <v>4064</v>
      </c>
      <c r="Q34" s="12">
        <v>4196</v>
      </c>
      <c r="R34" s="12">
        <v>4482</v>
      </c>
      <c r="S34" s="12">
        <v>4460</v>
      </c>
      <c r="T34" s="12">
        <v>4222</v>
      </c>
      <c r="U34" s="12">
        <v>4402</v>
      </c>
      <c r="V34" s="12">
        <v>3819</v>
      </c>
      <c r="W34" s="12">
        <v>3651</v>
      </c>
      <c r="X34" s="12">
        <v>2955</v>
      </c>
      <c r="Y34" s="12">
        <v>2820</v>
      </c>
      <c r="Z34" s="12">
        <v>2941</v>
      </c>
      <c r="AA34" s="12">
        <v>2982</v>
      </c>
      <c r="AB34" s="12">
        <v>2890</v>
      </c>
      <c r="AC34" s="12">
        <v>2937</v>
      </c>
      <c r="AD34" s="12">
        <v>3301</v>
      </c>
      <c r="AE34" s="12">
        <v>3997</v>
      </c>
      <c r="AF34" s="12">
        <v>3873</v>
      </c>
      <c r="AG34" s="12">
        <v>4146</v>
      </c>
      <c r="AH34" s="12">
        <v>4257</v>
      </c>
      <c r="AI34" s="12">
        <v>4367</v>
      </c>
      <c r="AJ34" s="12">
        <v>4258</v>
      </c>
      <c r="AK34" s="12">
        <v>4089</v>
      </c>
      <c r="AL34" s="12">
        <v>3893</v>
      </c>
      <c r="AM34" s="71">
        <v>3925</v>
      </c>
      <c r="AN34" s="71">
        <v>3873</v>
      </c>
      <c r="AO34" s="71">
        <v>4088</v>
      </c>
      <c r="AP34" s="71">
        <f>4219+118</f>
        <v>4337</v>
      </c>
      <c r="AQ34" s="71">
        <f>4551+97</f>
        <v>4648</v>
      </c>
      <c r="AR34" s="55">
        <f>4354+85</f>
        <v>4439</v>
      </c>
      <c r="AS34" s="71">
        <v>4802</v>
      </c>
      <c r="AT34" s="71">
        <v>4625</v>
      </c>
      <c r="AU34" s="71">
        <v>4752</v>
      </c>
      <c r="AV34" s="158">
        <v>4884</v>
      </c>
      <c r="AW34" s="231">
        <f>4743+56</f>
        <v>4799</v>
      </c>
      <c r="AX34" s="233">
        <v>4869</v>
      </c>
      <c r="AY34" s="233">
        <v>5006</v>
      </c>
      <c r="AZ34" s="233">
        <v>5103</v>
      </c>
      <c r="BA34" s="314">
        <v>5091</v>
      </c>
      <c r="BB34" s="314">
        <v>4829</v>
      </c>
      <c r="BC34" s="314">
        <v>4710</v>
      </c>
      <c r="BD34" s="314">
        <f>4658+51</f>
        <v>4709</v>
      </c>
      <c r="BE34" s="314">
        <f>4821+52</f>
        <v>4873</v>
      </c>
      <c r="BF34" s="314">
        <f>5042+52</f>
        <v>5094</v>
      </c>
      <c r="BG34" s="314">
        <f>5028+52</f>
        <v>5080</v>
      </c>
      <c r="BH34" s="314">
        <f>4986+52</f>
        <v>5038</v>
      </c>
      <c r="BI34" s="385">
        <f>(BG34-BF34)/BF34</f>
        <v>-2.7483313702394976E-3</v>
      </c>
      <c r="BJ34" s="385">
        <f>(BH34-BG34)/BG34</f>
        <v>-8.2677165354330708E-3</v>
      </c>
      <c r="BK34" s="569">
        <f t="shared" si="5"/>
        <v>-14</v>
      </c>
      <c r="BL34" s="569">
        <f t="shared" si="5"/>
        <v>-42</v>
      </c>
    </row>
    <row r="35" spans="1:64" ht="11.1" customHeight="1">
      <c r="A35" s="128" t="s">
        <v>32</v>
      </c>
      <c r="B35" s="95">
        <f t="shared" ref="B35:K35" si="6">SUM(B32:B34)</f>
        <v>3835</v>
      </c>
      <c r="C35" s="95">
        <f t="shared" si="6"/>
        <v>3784</v>
      </c>
      <c r="D35" s="95">
        <f t="shared" si="6"/>
        <v>3845</v>
      </c>
      <c r="E35" s="95">
        <f t="shared" si="6"/>
        <v>3877</v>
      </c>
      <c r="F35" s="95">
        <f t="shared" si="6"/>
        <v>3474</v>
      </c>
      <c r="G35" s="95">
        <f t="shared" si="6"/>
        <v>3584</v>
      </c>
      <c r="H35" s="95">
        <f t="shared" si="6"/>
        <v>3502</v>
      </c>
      <c r="I35" s="95">
        <f t="shared" si="6"/>
        <v>3477</v>
      </c>
      <c r="J35" s="95">
        <f t="shared" si="6"/>
        <v>3391</v>
      </c>
      <c r="K35" s="95">
        <f t="shared" si="6"/>
        <v>3597</v>
      </c>
      <c r="L35" s="95">
        <f>SUM(L32:L34)</f>
        <v>3614</v>
      </c>
      <c r="M35" s="95">
        <f t="shared" ref="M35:AV35" si="7">SUM(M32:M34)</f>
        <v>4182</v>
      </c>
      <c r="N35" s="95">
        <f t="shared" si="7"/>
        <v>4498</v>
      </c>
      <c r="O35" s="95">
        <f t="shared" si="7"/>
        <v>4585</v>
      </c>
      <c r="P35" s="95">
        <f t="shared" si="7"/>
        <v>4348</v>
      </c>
      <c r="Q35" s="95">
        <f t="shared" si="7"/>
        <v>4564</v>
      </c>
      <c r="R35" s="95">
        <f t="shared" si="7"/>
        <v>4733</v>
      </c>
      <c r="S35" s="95">
        <f t="shared" si="7"/>
        <v>4697</v>
      </c>
      <c r="T35" s="95">
        <f t="shared" si="7"/>
        <v>4450</v>
      </c>
      <c r="U35" s="95">
        <f t="shared" si="7"/>
        <v>4682</v>
      </c>
      <c r="V35" s="95">
        <f t="shared" si="7"/>
        <v>4074</v>
      </c>
      <c r="W35" s="95">
        <f t="shared" si="7"/>
        <v>3884</v>
      </c>
      <c r="X35" s="95">
        <f t="shared" si="7"/>
        <v>3188</v>
      </c>
      <c r="Y35" s="95">
        <f t="shared" si="7"/>
        <v>3037</v>
      </c>
      <c r="Z35" s="95">
        <f t="shared" si="7"/>
        <v>3135</v>
      </c>
      <c r="AA35" s="95">
        <f t="shared" si="7"/>
        <v>3204</v>
      </c>
      <c r="AB35" s="95">
        <f t="shared" si="7"/>
        <v>3126</v>
      </c>
      <c r="AC35" s="95">
        <f t="shared" si="7"/>
        <v>3191</v>
      </c>
      <c r="AD35" s="95">
        <f t="shared" si="7"/>
        <v>3576</v>
      </c>
      <c r="AE35" s="95">
        <f t="shared" si="7"/>
        <v>4284</v>
      </c>
      <c r="AF35" s="95">
        <f t="shared" si="7"/>
        <v>4167</v>
      </c>
      <c r="AG35" s="95">
        <f t="shared" si="7"/>
        <v>4465</v>
      </c>
      <c r="AH35" s="95">
        <f t="shared" si="7"/>
        <v>4613</v>
      </c>
      <c r="AI35" s="95">
        <f t="shared" si="7"/>
        <v>4728</v>
      </c>
      <c r="AJ35" s="95">
        <f t="shared" si="7"/>
        <v>4783</v>
      </c>
      <c r="AK35" s="95">
        <f t="shared" si="7"/>
        <v>4597</v>
      </c>
      <c r="AL35" s="95">
        <f t="shared" si="7"/>
        <v>4415</v>
      </c>
      <c r="AM35" s="95">
        <f t="shared" si="7"/>
        <v>4458</v>
      </c>
      <c r="AN35" s="95">
        <f t="shared" si="7"/>
        <v>4493</v>
      </c>
      <c r="AO35" s="95">
        <f t="shared" si="7"/>
        <v>4687</v>
      </c>
      <c r="AP35" s="95">
        <f t="shared" si="7"/>
        <v>4950</v>
      </c>
      <c r="AQ35" s="95">
        <f t="shared" si="7"/>
        <v>5243</v>
      </c>
      <c r="AR35" s="95">
        <f t="shared" si="7"/>
        <v>5007</v>
      </c>
      <c r="AS35" s="95">
        <f t="shared" si="7"/>
        <v>5372</v>
      </c>
      <c r="AT35" s="95">
        <f t="shared" si="7"/>
        <v>5238</v>
      </c>
      <c r="AU35" s="95">
        <f t="shared" si="7"/>
        <v>5491</v>
      </c>
      <c r="AV35" s="251">
        <f t="shared" si="7"/>
        <v>5691</v>
      </c>
      <c r="AW35" s="251">
        <f t="shared" ref="AW35:BB35" si="8">SUM(AW32:AW34)</f>
        <v>5656</v>
      </c>
      <c r="AX35" s="251">
        <f t="shared" si="8"/>
        <v>5867</v>
      </c>
      <c r="AY35" s="251">
        <f t="shared" si="8"/>
        <v>5981</v>
      </c>
      <c r="AZ35" s="152">
        <f t="shared" si="8"/>
        <v>6228</v>
      </c>
      <c r="BA35" s="394">
        <f t="shared" si="8"/>
        <v>6318</v>
      </c>
      <c r="BB35" s="394">
        <f t="shared" si="8"/>
        <v>6164</v>
      </c>
      <c r="BC35" s="394">
        <f t="shared" ref="BC35:BH35" si="9">SUM(BC32:BC34)</f>
        <v>6072</v>
      </c>
      <c r="BD35" s="395">
        <f t="shared" si="9"/>
        <v>5965</v>
      </c>
      <c r="BE35" s="395">
        <f t="shared" si="9"/>
        <v>6229</v>
      </c>
      <c r="BF35" s="395">
        <f t="shared" si="9"/>
        <v>6437</v>
      </c>
      <c r="BG35" s="395">
        <f t="shared" si="9"/>
        <v>6536</v>
      </c>
      <c r="BH35" s="395">
        <f t="shared" si="9"/>
        <v>6533</v>
      </c>
      <c r="BI35" s="415">
        <f>(BG35-BF35)/BF35</f>
        <v>1.537983532701569E-2</v>
      </c>
      <c r="BJ35" s="415">
        <f>(BH35-BG35)/BG35</f>
        <v>-4.5899632802937578E-4</v>
      </c>
      <c r="BK35" s="572">
        <f t="shared" si="5"/>
        <v>99</v>
      </c>
      <c r="BL35" s="572">
        <f t="shared" si="5"/>
        <v>-3</v>
      </c>
    </row>
    <row r="36" spans="1:64" ht="6" customHeight="1">
      <c r="A36" s="125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71"/>
      <c r="AN36" s="71"/>
      <c r="AO36" s="71"/>
      <c r="AP36" s="71"/>
      <c r="AQ36" s="71"/>
      <c r="AV36" s="48"/>
      <c r="AW36" s="243"/>
      <c r="AX36" s="233"/>
      <c r="AY36" s="233"/>
      <c r="AZ36" s="309"/>
      <c r="BA36" s="314"/>
      <c r="BB36" s="314"/>
      <c r="BC36" s="314"/>
      <c r="BD36" s="309"/>
      <c r="BE36" s="309"/>
      <c r="BF36" s="309"/>
      <c r="BG36" s="309"/>
      <c r="BH36" s="309"/>
      <c r="BI36" s="635"/>
      <c r="BJ36" s="329"/>
      <c r="BK36" s="570"/>
      <c r="BL36" s="570"/>
    </row>
    <row r="37" spans="1:64" ht="11.1" customHeight="1">
      <c r="A37" s="126" t="s">
        <v>74</v>
      </c>
      <c r="J37" s="12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373"/>
      <c r="V37" s="373"/>
      <c r="W37" s="373"/>
      <c r="X37" s="373"/>
      <c r="Y37" s="373"/>
      <c r="Z37" s="373"/>
      <c r="AA37" s="373"/>
      <c r="AB37" s="373"/>
      <c r="AC37" s="373"/>
      <c r="AD37" s="373"/>
      <c r="AE37" s="373"/>
      <c r="AF37" s="373"/>
      <c r="AG37" s="373"/>
      <c r="AH37" s="373"/>
      <c r="AI37" s="373"/>
      <c r="AJ37" s="373"/>
      <c r="AK37" s="373"/>
      <c r="AL37" s="373"/>
      <c r="AM37" s="373"/>
      <c r="AN37" s="373"/>
      <c r="AO37" s="373"/>
      <c r="AP37" s="373"/>
      <c r="AQ37" s="373"/>
      <c r="AR37" s="373"/>
      <c r="AS37" s="373"/>
      <c r="AT37" s="373"/>
      <c r="AU37" s="373"/>
      <c r="AV37" s="373"/>
      <c r="AW37" s="373"/>
      <c r="AX37" s="373"/>
      <c r="AY37" s="373"/>
      <c r="AZ37" s="373"/>
      <c r="BA37" s="373"/>
      <c r="BB37" s="373"/>
      <c r="BC37" s="373"/>
      <c r="BD37" s="373"/>
      <c r="BE37" s="373"/>
      <c r="BF37" s="444"/>
      <c r="BG37" s="444"/>
      <c r="BH37" s="444"/>
      <c r="BI37" s="635"/>
      <c r="BJ37" s="329"/>
      <c r="BK37" s="570"/>
      <c r="BL37" s="570"/>
    </row>
    <row r="38" spans="1:64" ht="11.1" customHeight="1">
      <c r="A38" s="129" t="s">
        <v>90</v>
      </c>
      <c r="B38" s="102" t="s">
        <v>3</v>
      </c>
      <c r="C38" s="102" t="s">
        <v>3</v>
      </c>
      <c r="D38" s="102" t="s">
        <v>3</v>
      </c>
      <c r="E38" s="102" t="s">
        <v>3</v>
      </c>
      <c r="F38" s="102" t="s">
        <v>3</v>
      </c>
      <c r="G38" s="102" t="s">
        <v>3</v>
      </c>
      <c r="H38" s="102" t="s">
        <v>3</v>
      </c>
      <c r="I38" s="102" t="s">
        <v>3</v>
      </c>
      <c r="J38" s="102" t="s">
        <v>3</v>
      </c>
      <c r="K38" s="102" t="s">
        <v>3</v>
      </c>
      <c r="L38" s="102" t="s">
        <v>3</v>
      </c>
      <c r="M38" s="102" t="s">
        <v>3</v>
      </c>
      <c r="N38" s="102" t="s">
        <v>3</v>
      </c>
      <c r="O38" s="102" t="s">
        <v>3</v>
      </c>
      <c r="P38" s="102" t="s">
        <v>3</v>
      </c>
      <c r="Q38" s="102" t="s">
        <v>3</v>
      </c>
      <c r="R38" s="102" t="s">
        <v>3</v>
      </c>
      <c r="S38" s="102" t="s">
        <v>3</v>
      </c>
      <c r="T38" s="102" t="s">
        <v>3</v>
      </c>
      <c r="U38" s="102" t="s">
        <v>3</v>
      </c>
      <c r="V38" s="102" t="s">
        <v>3</v>
      </c>
      <c r="W38" s="102" t="s">
        <v>3</v>
      </c>
      <c r="X38" s="102" t="s">
        <v>3</v>
      </c>
      <c r="Y38" s="102" t="s">
        <v>3</v>
      </c>
      <c r="Z38" s="102" t="s">
        <v>3</v>
      </c>
      <c r="AA38" s="102" t="s">
        <v>3</v>
      </c>
      <c r="AB38" s="102" t="s">
        <v>3</v>
      </c>
      <c r="AC38" s="102" t="s">
        <v>3</v>
      </c>
      <c r="AD38" s="102" t="s">
        <v>3</v>
      </c>
      <c r="AE38" s="102" t="s">
        <v>3</v>
      </c>
      <c r="AF38" s="102" t="s">
        <v>3</v>
      </c>
      <c r="AG38" s="102" t="s">
        <v>3</v>
      </c>
      <c r="AH38" s="102" t="s">
        <v>3</v>
      </c>
      <c r="AI38" s="102" t="s">
        <v>3</v>
      </c>
      <c r="AJ38" s="102" t="s">
        <v>3</v>
      </c>
      <c r="AK38" s="102" t="s">
        <v>3</v>
      </c>
      <c r="AL38" s="102" t="s">
        <v>3</v>
      </c>
      <c r="AM38" s="102" t="s">
        <v>3</v>
      </c>
      <c r="AN38" s="102" t="s">
        <v>3</v>
      </c>
      <c r="AO38" s="102" t="s">
        <v>3</v>
      </c>
      <c r="AP38" s="102" t="s">
        <v>3</v>
      </c>
      <c r="AQ38" s="102" t="s">
        <v>3</v>
      </c>
      <c r="AR38" s="55">
        <f>543+16</f>
        <v>559</v>
      </c>
      <c r="AS38" s="71">
        <f>544+15</f>
        <v>559</v>
      </c>
      <c r="AT38" s="71">
        <v>505</v>
      </c>
      <c r="AU38" s="71">
        <v>523</v>
      </c>
      <c r="AV38" s="158">
        <v>534</v>
      </c>
      <c r="AW38" s="231">
        <v>533</v>
      </c>
      <c r="AX38" s="233">
        <v>520</v>
      </c>
      <c r="AY38" s="233">
        <v>519</v>
      </c>
      <c r="AZ38" s="233">
        <v>512</v>
      </c>
      <c r="BA38" s="314">
        <v>492</v>
      </c>
      <c r="BB38" s="314">
        <f>471+10</f>
        <v>481</v>
      </c>
      <c r="BC38" s="314">
        <f>466+10</f>
        <v>476</v>
      </c>
      <c r="BD38" s="314">
        <f>460+10</f>
        <v>470</v>
      </c>
      <c r="BE38" s="314">
        <f>456+10</f>
        <v>466</v>
      </c>
      <c r="BF38" s="314">
        <f>470+10</f>
        <v>480</v>
      </c>
      <c r="BG38" s="314">
        <f>494+10</f>
        <v>504</v>
      </c>
      <c r="BH38" s="314">
        <f>456+10</f>
        <v>466</v>
      </c>
      <c r="BI38" s="385">
        <f>(BG38-BF38)/BF38</f>
        <v>0.05</v>
      </c>
      <c r="BJ38" s="385">
        <f>(BH38-BG38)/BG38</f>
        <v>-7.5396825396825393E-2</v>
      </c>
      <c r="BK38" s="569">
        <f>BG38-BF38</f>
        <v>24</v>
      </c>
      <c r="BL38" s="569">
        <f>BH38-BG38</f>
        <v>-38</v>
      </c>
    </row>
    <row r="39" spans="1:64" ht="11.1" customHeight="1">
      <c r="A39" s="163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55"/>
      <c r="AS39" s="71"/>
      <c r="AT39" s="71"/>
      <c r="AU39" s="71"/>
      <c r="AV39" s="158"/>
      <c r="AW39" s="243"/>
      <c r="AX39" s="233"/>
      <c r="AY39" s="233"/>
      <c r="AZ39" s="309"/>
      <c r="BA39" s="314"/>
      <c r="BB39" s="314"/>
      <c r="BC39" s="314"/>
      <c r="BD39" s="309"/>
      <c r="BE39" s="309"/>
      <c r="BF39" s="309"/>
      <c r="BG39" s="309"/>
      <c r="BH39" s="309"/>
      <c r="BI39" s="329"/>
      <c r="BJ39" s="329"/>
      <c r="BK39" s="569"/>
      <c r="BL39" s="569"/>
    </row>
    <row r="40" spans="1:64" ht="11.1" customHeight="1">
      <c r="A40" s="297" t="s">
        <v>105</v>
      </c>
      <c r="B40" s="102" t="s">
        <v>3</v>
      </c>
      <c r="C40" s="102" t="s">
        <v>3</v>
      </c>
      <c r="D40" s="102" t="s">
        <v>3</v>
      </c>
      <c r="E40" s="102" t="s">
        <v>3</v>
      </c>
      <c r="F40" s="102" t="s">
        <v>3</v>
      </c>
      <c r="G40" s="102" t="s">
        <v>3</v>
      </c>
      <c r="H40" s="102" t="s">
        <v>3</v>
      </c>
      <c r="I40" s="102" t="s">
        <v>3</v>
      </c>
      <c r="J40" s="102" t="s">
        <v>3</v>
      </c>
      <c r="K40" s="102" t="s">
        <v>3</v>
      </c>
      <c r="L40" s="102" t="s">
        <v>3</v>
      </c>
      <c r="M40" s="102" t="s">
        <v>3</v>
      </c>
      <c r="N40" s="102" t="s">
        <v>3</v>
      </c>
      <c r="O40" s="102" t="s">
        <v>3</v>
      </c>
      <c r="P40" s="102" t="s">
        <v>3</v>
      </c>
      <c r="Q40" s="102" t="s">
        <v>3</v>
      </c>
      <c r="R40" s="102" t="s">
        <v>3</v>
      </c>
      <c r="S40" s="102" t="s">
        <v>3</v>
      </c>
      <c r="T40" s="102" t="s">
        <v>3</v>
      </c>
      <c r="U40" s="102" t="s">
        <v>3</v>
      </c>
      <c r="V40" s="102" t="s">
        <v>3</v>
      </c>
      <c r="W40" s="102" t="s">
        <v>3</v>
      </c>
      <c r="X40" s="102" t="s">
        <v>3</v>
      </c>
      <c r="Y40" s="102" t="s">
        <v>3</v>
      </c>
      <c r="Z40" s="102" t="s">
        <v>3</v>
      </c>
      <c r="AA40" s="102" t="s">
        <v>3</v>
      </c>
      <c r="AB40" s="102" t="s">
        <v>3</v>
      </c>
      <c r="AC40" s="102" t="s">
        <v>3</v>
      </c>
      <c r="AD40" s="102" t="s">
        <v>3</v>
      </c>
      <c r="AE40" s="102" t="s">
        <v>3</v>
      </c>
      <c r="AF40" s="102">
        <v>13</v>
      </c>
      <c r="AG40" s="102">
        <v>440</v>
      </c>
      <c r="AH40" s="102">
        <v>65</v>
      </c>
      <c r="AI40" s="102">
        <v>87</v>
      </c>
      <c r="AJ40" s="102">
        <v>91</v>
      </c>
      <c r="AK40" s="102">
        <v>105</v>
      </c>
      <c r="AL40" s="102">
        <v>104</v>
      </c>
      <c r="AM40" s="102">
        <v>105</v>
      </c>
      <c r="AN40" s="102">
        <v>99</v>
      </c>
      <c r="AO40" s="102">
        <v>94</v>
      </c>
      <c r="AP40" s="102">
        <v>94</v>
      </c>
      <c r="AQ40" s="102">
        <v>93</v>
      </c>
      <c r="AR40" s="55">
        <v>95</v>
      </c>
      <c r="AS40" s="71">
        <v>95</v>
      </c>
      <c r="AT40" s="71">
        <v>97</v>
      </c>
      <c r="AU40" s="71">
        <v>91</v>
      </c>
      <c r="AV40" s="158">
        <v>86</v>
      </c>
      <c r="AW40" s="243">
        <v>91</v>
      </c>
      <c r="AX40" s="233">
        <v>91</v>
      </c>
      <c r="AY40" s="233">
        <v>99</v>
      </c>
      <c r="AZ40" s="233">
        <v>103</v>
      </c>
      <c r="BA40" s="314">
        <v>109</v>
      </c>
      <c r="BB40" s="314">
        <v>109</v>
      </c>
      <c r="BC40" s="314">
        <v>113</v>
      </c>
      <c r="BD40" s="314">
        <v>107</v>
      </c>
      <c r="BE40" s="314">
        <v>106</v>
      </c>
      <c r="BF40" s="314">
        <v>107</v>
      </c>
      <c r="BG40" s="314">
        <v>120</v>
      </c>
      <c r="BH40" s="314">
        <v>125</v>
      </c>
      <c r="BI40" s="385">
        <f>(BG40-BF40)/BF40</f>
        <v>0.12149532710280374</v>
      </c>
      <c r="BJ40" s="385">
        <f>(BH40-BG40)/BG40</f>
        <v>4.1666666666666664E-2</v>
      </c>
      <c r="BK40" s="569">
        <f>BG40-BF40</f>
        <v>13</v>
      </c>
      <c r="BL40" s="569">
        <f>BH40-BG40</f>
        <v>5</v>
      </c>
    </row>
    <row r="41" spans="1:64" ht="11.1" customHeight="1">
      <c r="A41" s="163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55"/>
      <c r="AS41" s="71"/>
      <c r="AT41" s="71"/>
      <c r="AU41" s="71"/>
      <c r="AV41" s="158"/>
      <c r="AW41" s="243"/>
      <c r="AX41" s="233"/>
      <c r="AY41" s="233"/>
      <c r="AZ41" s="309"/>
      <c r="BA41" s="314"/>
      <c r="BB41" s="314"/>
      <c r="BC41" s="314"/>
      <c r="BD41" s="309"/>
      <c r="BE41" s="309"/>
      <c r="BF41" s="309"/>
      <c r="BG41" s="309"/>
      <c r="BH41" s="309"/>
      <c r="BI41" s="329"/>
      <c r="BJ41" s="329"/>
      <c r="BK41" s="569"/>
      <c r="BL41" s="569"/>
    </row>
    <row r="42" spans="1:64" ht="11.1" customHeight="1">
      <c r="A42" s="129" t="s">
        <v>91</v>
      </c>
      <c r="B42" s="85" t="s">
        <v>3</v>
      </c>
      <c r="C42" s="85" t="s">
        <v>3</v>
      </c>
      <c r="D42" s="85" t="s">
        <v>3</v>
      </c>
      <c r="E42" s="85" t="s">
        <v>3</v>
      </c>
      <c r="F42" s="85" t="s">
        <v>3</v>
      </c>
      <c r="G42" s="85" t="s">
        <v>3</v>
      </c>
      <c r="H42" s="85" t="s">
        <v>3</v>
      </c>
      <c r="I42" s="85" t="s">
        <v>3</v>
      </c>
      <c r="J42" s="85" t="s">
        <v>3</v>
      </c>
      <c r="K42" s="85" t="s">
        <v>3</v>
      </c>
      <c r="L42" s="85" t="s">
        <v>3</v>
      </c>
      <c r="M42" s="85" t="s">
        <v>3</v>
      </c>
      <c r="N42" s="85" t="s">
        <v>3</v>
      </c>
      <c r="O42" s="85" t="s">
        <v>3</v>
      </c>
      <c r="P42" s="85" t="s">
        <v>3</v>
      </c>
      <c r="Q42" s="85" t="s">
        <v>3</v>
      </c>
      <c r="R42" s="85" t="s">
        <v>3</v>
      </c>
      <c r="S42" s="85" t="s">
        <v>3</v>
      </c>
      <c r="T42" s="85" t="s">
        <v>3</v>
      </c>
      <c r="U42" s="85" t="s">
        <v>3</v>
      </c>
      <c r="V42" s="85" t="s">
        <v>3</v>
      </c>
      <c r="W42" s="85" t="s">
        <v>3</v>
      </c>
      <c r="X42" s="85" t="s">
        <v>3</v>
      </c>
      <c r="Y42" s="85" t="s">
        <v>3</v>
      </c>
      <c r="Z42" s="85" t="s">
        <v>3</v>
      </c>
      <c r="AA42" s="85" t="s">
        <v>3</v>
      </c>
      <c r="AB42" s="85" t="s">
        <v>3</v>
      </c>
      <c r="AC42" s="85" t="s">
        <v>3</v>
      </c>
      <c r="AD42" s="85" t="s">
        <v>3</v>
      </c>
      <c r="AE42" s="85" t="s">
        <v>3</v>
      </c>
      <c r="AF42" s="85" t="s">
        <v>3</v>
      </c>
      <c r="AG42" s="85" t="s">
        <v>3</v>
      </c>
      <c r="AH42" s="85" t="s">
        <v>3</v>
      </c>
      <c r="AI42" s="85" t="s">
        <v>3</v>
      </c>
      <c r="AJ42" s="85" t="s">
        <v>3</v>
      </c>
      <c r="AK42" s="12">
        <v>2</v>
      </c>
      <c r="AL42" s="18" t="s">
        <v>3</v>
      </c>
      <c r="AM42" s="18" t="s">
        <v>3</v>
      </c>
      <c r="AN42" s="18">
        <v>7</v>
      </c>
      <c r="AO42" s="18">
        <v>25</v>
      </c>
      <c r="AP42" s="18">
        <v>26</v>
      </c>
      <c r="AQ42" s="18">
        <v>33</v>
      </c>
      <c r="AR42" s="139">
        <v>30</v>
      </c>
      <c r="AS42" s="18">
        <v>37</v>
      </c>
      <c r="AT42" s="18">
        <v>37</v>
      </c>
      <c r="AU42" s="18">
        <v>37</v>
      </c>
      <c r="AV42" s="158">
        <v>40</v>
      </c>
      <c r="AW42" s="231">
        <v>39</v>
      </c>
      <c r="AX42" s="233">
        <v>38</v>
      </c>
      <c r="AY42" s="233">
        <v>37</v>
      </c>
      <c r="AZ42" s="233">
        <v>39</v>
      </c>
      <c r="BA42" s="314">
        <v>45</v>
      </c>
      <c r="BB42" s="314">
        <v>43</v>
      </c>
      <c r="BC42" s="314">
        <v>41</v>
      </c>
      <c r="BD42" s="314">
        <v>36</v>
      </c>
      <c r="BE42" s="314">
        <v>40</v>
      </c>
      <c r="BF42" s="314">
        <v>41</v>
      </c>
      <c r="BG42" s="314">
        <v>43</v>
      </c>
      <c r="BH42" s="314">
        <v>43</v>
      </c>
      <c r="BI42" s="385">
        <f>(BG42-BF42)/BF42</f>
        <v>4.878048780487805E-2</v>
      </c>
      <c r="BJ42" s="385">
        <f>(BH42-BG42)/BG42</f>
        <v>0</v>
      </c>
      <c r="BK42" s="569">
        <f>BG42-BF42</f>
        <v>2</v>
      </c>
      <c r="BL42" s="569">
        <f>BH42-BG42</f>
        <v>0</v>
      </c>
    </row>
    <row r="43" spans="1:64" ht="6" customHeight="1">
      <c r="A43" s="125"/>
      <c r="L43" s="18"/>
      <c r="M43" s="18"/>
      <c r="N43" s="18"/>
      <c r="O43" s="18"/>
      <c r="P43" s="18"/>
      <c r="Q43" s="18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M43" s="71"/>
      <c r="AN43" s="71"/>
      <c r="AO43" s="71"/>
      <c r="AP43" s="71"/>
      <c r="AQ43" s="71"/>
      <c r="AR43" s="55"/>
      <c r="AS43" s="71"/>
      <c r="AT43" s="71"/>
      <c r="AU43" s="71"/>
      <c r="AV43" s="158"/>
      <c r="AW43" s="243"/>
      <c r="AX43" s="233"/>
      <c r="AY43" s="233"/>
      <c r="AZ43" s="309"/>
      <c r="BA43" s="314"/>
      <c r="BB43" s="314"/>
      <c r="BC43" s="474"/>
      <c r="BD43" s="309"/>
      <c r="BE43" s="309"/>
      <c r="BF43" s="309"/>
      <c r="BG43" s="309"/>
      <c r="BH43" s="309"/>
      <c r="BI43" s="329"/>
      <c r="BJ43" s="329"/>
      <c r="BK43" s="569"/>
      <c r="BL43" s="569"/>
    </row>
    <row r="44" spans="1:64" ht="11.1" customHeight="1">
      <c r="A44" s="125" t="s">
        <v>27</v>
      </c>
      <c r="B44" s="85" t="s">
        <v>3</v>
      </c>
      <c r="C44" s="85" t="s">
        <v>3</v>
      </c>
      <c r="D44" s="85" t="s">
        <v>3</v>
      </c>
      <c r="E44" s="85" t="s">
        <v>3</v>
      </c>
      <c r="F44" s="85" t="s">
        <v>3</v>
      </c>
      <c r="G44" s="85" t="s">
        <v>3</v>
      </c>
      <c r="H44" s="85" t="s">
        <v>3</v>
      </c>
      <c r="I44" s="85" t="s">
        <v>3</v>
      </c>
      <c r="J44" s="85" t="s">
        <v>3</v>
      </c>
      <c r="K44" s="85" t="s">
        <v>3</v>
      </c>
      <c r="L44" s="85" t="s">
        <v>3</v>
      </c>
      <c r="M44" s="85" t="s">
        <v>3</v>
      </c>
      <c r="N44" s="85" t="s">
        <v>3</v>
      </c>
      <c r="O44" s="85" t="s">
        <v>3</v>
      </c>
      <c r="P44" s="85" t="s">
        <v>3</v>
      </c>
      <c r="Q44" s="85" t="s">
        <v>3</v>
      </c>
      <c r="R44" s="85" t="s">
        <v>3</v>
      </c>
      <c r="S44" s="85" t="s">
        <v>3</v>
      </c>
      <c r="T44" s="26">
        <v>96</v>
      </c>
      <c r="U44" s="12">
        <v>86</v>
      </c>
      <c r="V44" s="12">
        <v>85</v>
      </c>
      <c r="W44" s="12">
        <v>81</v>
      </c>
      <c r="X44" s="12">
        <v>58</v>
      </c>
      <c r="Y44" s="12">
        <v>58</v>
      </c>
      <c r="Z44" s="26">
        <v>58</v>
      </c>
      <c r="AA44" s="12">
        <v>52</v>
      </c>
      <c r="AB44" s="12">
        <v>47</v>
      </c>
      <c r="AC44" s="12">
        <v>51</v>
      </c>
      <c r="AD44" s="12">
        <v>52</v>
      </c>
      <c r="AE44" s="12">
        <v>51</v>
      </c>
      <c r="AF44" s="12">
        <v>48</v>
      </c>
      <c r="AG44" s="12">
        <v>47</v>
      </c>
      <c r="AH44" s="12">
        <v>56</v>
      </c>
      <c r="AI44" s="12">
        <v>53</v>
      </c>
      <c r="AJ44" s="12">
        <v>53</v>
      </c>
      <c r="AK44" s="12">
        <v>55</v>
      </c>
      <c r="AL44" s="82">
        <v>52</v>
      </c>
      <c r="AM44" s="82">
        <v>50</v>
      </c>
      <c r="AN44" s="82">
        <v>47</v>
      </c>
      <c r="AO44" s="82">
        <v>45</v>
      </c>
      <c r="AP44" s="82">
        <v>43</v>
      </c>
      <c r="AQ44" s="82">
        <v>42</v>
      </c>
      <c r="AR44" s="104">
        <v>38</v>
      </c>
      <c r="AS44" s="82">
        <v>35</v>
      </c>
      <c r="AT44" s="82">
        <v>40</v>
      </c>
      <c r="AU44" s="82">
        <v>40</v>
      </c>
      <c r="AV44" s="234">
        <v>41</v>
      </c>
      <c r="AW44" s="235">
        <v>37</v>
      </c>
      <c r="AX44" s="233">
        <v>40</v>
      </c>
      <c r="AY44" s="233">
        <v>43</v>
      </c>
      <c r="AZ44" s="233">
        <v>48</v>
      </c>
      <c r="BA44" s="314">
        <v>69</v>
      </c>
      <c r="BB44" s="314">
        <v>69</v>
      </c>
      <c r="BC44" s="314">
        <v>74</v>
      </c>
      <c r="BD44" s="314">
        <v>74</v>
      </c>
      <c r="BE44" s="314">
        <v>75</v>
      </c>
      <c r="BF44" s="314">
        <v>79</v>
      </c>
      <c r="BG44" s="314">
        <v>79</v>
      </c>
      <c r="BH44" s="314">
        <v>76</v>
      </c>
      <c r="BI44" s="385">
        <f>(BG44-BF44)/BF44</f>
        <v>0</v>
      </c>
      <c r="BJ44" s="385">
        <f>(BH44-BG44)/BG44</f>
        <v>-3.7974683544303799E-2</v>
      </c>
      <c r="BK44" s="569">
        <f>BG44-BF44</f>
        <v>0</v>
      </c>
      <c r="BL44" s="569">
        <f>BH44-BG44</f>
        <v>-3</v>
      </c>
    </row>
    <row r="45" spans="1:64" ht="11.1" customHeight="1" thickBot="1">
      <c r="A45" s="404" t="s">
        <v>38</v>
      </c>
      <c r="B45" s="348">
        <f>B21+B24+B35</f>
        <v>11961</v>
      </c>
      <c r="C45" s="348">
        <f>C21+C24+C35</f>
        <v>12535</v>
      </c>
      <c r="D45" s="348">
        <f t="shared" ref="D45:N45" si="10">D21+D35+D24</f>
        <v>13231</v>
      </c>
      <c r="E45" s="348">
        <f t="shared" si="10"/>
        <v>14239</v>
      </c>
      <c r="F45" s="348">
        <f t="shared" si="10"/>
        <v>14777</v>
      </c>
      <c r="G45" s="348">
        <f t="shared" si="10"/>
        <v>13884</v>
      </c>
      <c r="H45" s="348">
        <f t="shared" si="10"/>
        <v>15100</v>
      </c>
      <c r="I45" s="348">
        <f t="shared" si="10"/>
        <v>15279</v>
      </c>
      <c r="J45" s="348">
        <f t="shared" si="10"/>
        <v>14847</v>
      </c>
      <c r="K45" s="348">
        <f t="shared" si="10"/>
        <v>14531</v>
      </c>
      <c r="L45" s="348">
        <f t="shared" si="10"/>
        <v>14734</v>
      </c>
      <c r="M45" s="348">
        <f t="shared" si="10"/>
        <v>15367</v>
      </c>
      <c r="N45" s="348">
        <f t="shared" si="10"/>
        <v>25338</v>
      </c>
      <c r="O45" s="348">
        <f>O13+O21+O35+O24</f>
        <v>28951</v>
      </c>
      <c r="P45" s="348">
        <f>P13+P21+P35+P24</f>
        <v>28113</v>
      </c>
      <c r="Q45" s="348">
        <f>Q13+Q21+Q35+Q24</f>
        <v>27704</v>
      </c>
      <c r="R45" s="348">
        <f>R13+R21+R35+R24</f>
        <v>28542</v>
      </c>
      <c r="S45" s="348">
        <f>S13+S21+S35+S24</f>
        <v>34062</v>
      </c>
      <c r="T45" s="348">
        <f t="shared" ref="T45:AE45" si="11">T13+T21+T35+T24+T44</f>
        <v>34431</v>
      </c>
      <c r="U45" s="348">
        <f t="shared" si="11"/>
        <v>38038</v>
      </c>
      <c r="V45" s="348">
        <f t="shared" si="11"/>
        <v>33201</v>
      </c>
      <c r="W45" s="348">
        <f t="shared" si="11"/>
        <v>31769</v>
      </c>
      <c r="X45" s="348">
        <f t="shared" si="11"/>
        <v>27216</v>
      </c>
      <c r="Y45" s="348">
        <f t="shared" si="11"/>
        <v>26407</v>
      </c>
      <c r="Z45" s="348">
        <f t="shared" si="11"/>
        <v>26427</v>
      </c>
      <c r="AA45" s="348">
        <f t="shared" si="11"/>
        <v>26549</v>
      </c>
      <c r="AB45" s="348">
        <f t="shared" si="11"/>
        <v>26139</v>
      </c>
      <c r="AC45" s="348">
        <f t="shared" si="11"/>
        <v>26201</v>
      </c>
      <c r="AD45" s="348">
        <f t="shared" si="11"/>
        <v>27174</v>
      </c>
      <c r="AE45" s="348">
        <f t="shared" si="11"/>
        <v>28198</v>
      </c>
      <c r="AF45" s="348">
        <f>AF13+AF21+AF35+AF40+AF44+AF24</f>
        <v>28743</v>
      </c>
      <c r="AG45" s="348">
        <f>AG13+AG21+AG35+AG40+AG44+AG24</f>
        <v>30228</v>
      </c>
      <c r="AH45" s="348">
        <f>AH13+AH21+AH35+AH40+AH44+AH24</f>
        <v>31019</v>
      </c>
      <c r="AI45" s="348">
        <f>AI13+AI21+AI35+AI40+AI44+AI24</f>
        <v>31566</v>
      </c>
      <c r="AJ45" s="348">
        <f>AJ13+AJ21+AJ35+AJ40+AJ44+AJ24</f>
        <v>31975</v>
      </c>
      <c r="AK45" s="348">
        <f>AK13+AK21+AK24+AK35+AK40+AK42+AK44+AK27</f>
        <v>31478</v>
      </c>
      <c r="AL45" s="348">
        <f>AL13+AL21+AL24+AL35+AL40+AL44+AL27</f>
        <v>31031</v>
      </c>
      <c r="AM45" s="348">
        <f>AM13+AM21+AM24+AM35+AM40+AM44+AM27</f>
        <v>31531</v>
      </c>
      <c r="AN45" s="348">
        <f>AN13+AN21+AN24+AN35+AN40+AN42+AN44+AN27</f>
        <v>31411</v>
      </c>
      <c r="AO45" s="348">
        <f>AO13+AO21+AO24+AO35+AO40+AO42+AO44+AO27</f>
        <v>31455</v>
      </c>
      <c r="AP45" s="348">
        <f>AP13+AP21+AP24+AP35+AP40+AP42+AP44+AP27</f>
        <v>31843</v>
      </c>
      <c r="AQ45" s="348">
        <f>AQ13+AQ21+AQ24+AQ35+AQ40+AQ42+AQ44+AQ27</f>
        <v>32849</v>
      </c>
      <c r="AR45" s="348">
        <f t="shared" ref="AR45:AX45" si="12">AR13+AR21+AR24+AR35+AR38+AR40+AR42+AR44+AR27</f>
        <v>31219</v>
      </c>
      <c r="AS45" s="348">
        <f t="shared" si="12"/>
        <v>35174</v>
      </c>
      <c r="AT45" s="348">
        <f t="shared" si="12"/>
        <v>34213</v>
      </c>
      <c r="AU45" s="348">
        <f t="shared" si="12"/>
        <v>34526</v>
      </c>
      <c r="AV45" s="348">
        <f t="shared" si="12"/>
        <v>34651</v>
      </c>
      <c r="AW45" s="348">
        <f t="shared" si="12"/>
        <v>34480</v>
      </c>
      <c r="AX45" s="348">
        <f t="shared" si="12"/>
        <v>35437</v>
      </c>
      <c r="AY45" s="348">
        <f t="shared" ref="AY45:BH45" si="13">AY13+AY21+AY24+AY35+AY38+AY40+AY42+AY44</f>
        <v>37041</v>
      </c>
      <c r="AZ45" s="348">
        <f t="shared" si="13"/>
        <v>38616</v>
      </c>
      <c r="BA45" s="348">
        <f t="shared" si="13"/>
        <v>39569</v>
      </c>
      <c r="BB45" s="348">
        <f t="shared" si="13"/>
        <v>38957</v>
      </c>
      <c r="BC45" s="477">
        <f t="shared" si="13"/>
        <v>38921</v>
      </c>
      <c r="BD45" s="477">
        <f t="shared" si="13"/>
        <v>39081</v>
      </c>
      <c r="BE45" s="477">
        <f t="shared" si="13"/>
        <v>40460</v>
      </c>
      <c r="BF45" s="477">
        <f t="shared" si="13"/>
        <v>42210</v>
      </c>
      <c r="BG45" s="477">
        <f t="shared" si="13"/>
        <v>43145</v>
      </c>
      <c r="BH45" s="477">
        <f t="shared" si="13"/>
        <v>43371</v>
      </c>
      <c r="BI45" s="422">
        <f>(BG45-BF45)/BF45</f>
        <v>2.2151149016820658E-2</v>
      </c>
      <c r="BJ45" s="422">
        <f>(BH45-BG45)/BG45</f>
        <v>5.2381504229922354E-3</v>
      </c>
      <c r="BK45" s="574">
        <f>BG45-BF45</f>
        <v>935</v>
      </c>
      <c r="BL45" s="574">
        <f>BH45-BG45</f>
        <v>226</v>
      </c>
    </row>
    <row r="46" spans="1:64" ht="11.1" customHeight="1">
      <c r="A46" s="128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60"/>
      <c r="AW46" s="243"/>
      <c r="AX46" s="233"/>
      <c r="AY46" s="233"/>
      <c r="AZ46" s="309"/>
      <c r="BA46" s="314"/>
      <c r="BB46" s="314"/>
      <c r="BC46" s="314"/>
      <c r="BD46" s="309"/>
      <c r="BE46" s="309"/>
      <c r="BF46" s="309"/>
      <c r="BG46" s="309"/>
      <c r="BH46" s="309"/>
      <c r="BI46" s="419"/>
      <c r="BJ46" s="419"/>
    </row>
    <row r="47" spans="1:64" ht="11.1" customHeight="1">
      <c r="A47" s="167" t="s">
        <v>72</v>
      </c>
      <c r="B47" s="12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373"/>
      <c r="V47" s="373"/>
      <c r="W47" s="373"/>
      <c r="X47" s="373"/>
      <c r="Y47" s="373"/>
      <c r="Z47" s="373"/>
      <c r="AA47" s="373"/>
      <c r="AB47" s="373"/>
      <c r="AC47" s="373"/>
      <c r="AD47" s="373"/>
      <c r="AE47" s="373"/>
      <c r="AF47" s="373"/>
      <c r="AG47" s="373"/>
      <c r="AH47" s="373"/>
      <c r="AI47" s="373"/>
      <c r="AJ47" s="373"/>
      <c r="AK47" s="373"/>
      <c r="AL47" s="373"/>
      <c r="AM47" s="373"/>
      <c r="AN47" s="373"/>
      <c r="AO47" s="373"/>
      <c r="AP47" s="373"/>
      <c r="AQ47" s="373"/>
      <c r="AR47" s="373"/>
      <c r="AS47" s="373"/>
      <c r="AT47" s="373"/>
      <c r="AU47" s="373"/>
      <c r="AV47" s="373"/>
      <c r="AW47" s="373"/>
      <c r="AX47" s="373"/>
      <c r="AY47" s="373"/>
      <c r="AZ47" s="373"/>
      <c r="BA47" s="373"/>
      <c r="BB47" s="373"/>
      <c r="BC47" s="373"/>
      <c r="BD47" s="373"/>
      <c r="BE47" s="373"/>
      <c r="BF47" s="444"/>
      <c r="BG47" s="444"/>
      <c r="BH47" s="444"/>
      <c r="BI47" s="419"/>
      <c r="BJ47" s="419"/>
    </row>
    <row r="48" spans="1:64" ht="11.1" customHeight="1">
      <c r="A48" s="128"/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60"/>
      <c r="AW48" s="243"/>
      <c r="AX48" s="233"/>
      <c r="AY48" s="233"/>
      <c r="AZ48" s="309"/>
      <c r="BA48" s="314"/>
      <c r="BB48" s="314"/>
      <c r="BC48" s="314"/>
      <c r="BD48" s="309"/>
      <c r="BE48" s="309"/>
      <c r="BF48" s="309"/>
      <c r="BG48" s="309"/>
      <c r="BH48" s="309"/>
      <c r="BI48" s="419"/>
      <c r="BJ48" s="419"/>
    </row>
    <row r="49" spans="1:65" ht="11.1" customHeight="1">
      <c r="A49" s="132" t="s">
        <v>92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71"/>
      <c r="AN49" s="71"/>
      <c r="AO49" s="71"/>
      <c r="AP49" s="71"/>
      <c r="AQ49" s="71"/>
      <c r="AV49" s="48"/>
      <c r="AW49" s="243"/>
      <c r="AX49" s="233"/>
      <c r="AY49" s="233"/>
      <c r="AZ49" s="309"/>
      <c r="BA49" s="314"/>
      <c r="BB49" s="314"/>
      <c r="BC49" s="314"/>
      <c r="BD49" s="309"/>
      <c r="BE49" s="309"/>
      <c r="BF49" s="309"/>
      <c r="BG49" s="309"/>
      <c r="BH49" s="309"/>
      <c r="BI49" s="419"/>
      <c r="BJ49" s="419"/>
    </row>
    <row r="50" spans="1:65" ht="11.1" customHeight="1">
      <c r="A50" s="121" t="s">
        <v>93</v>
      </c>
      <c r="B50" s="102" t="s">
        <v>3</v>
      </c>
      <c r="C50" s="102" t="s">
        <v>3</v>
      </c>
      <c r="D50" s="102" t="s">
        <v>3</v>
      </c>
      <c r="E50" s="102" t="s">
        <v>3</v>
      </c>
      <c r="F50" s="102" t="s">
        <v>3</v>
      </c>
      <c r="G50" s="102" t="s">
        <v>3</v>
      </c>
      <c r="H50" s="102" t="s">
        <v>3</v>
      </c>
      <c r="I50" s="102" t="s">
        <v>3</v>
      </c>
      <c r="J50" s="102" t="s">
        <v>3</v>
      </c>
      <c r="K50" s="102" t="s">
        <v>3</v>
      </c>
      <c r="L50" s="102" t="s">
        <v>3</v>
      </c>
      <c r="M50" s="102" t="s">
        <v>3</v>
      </c>
      <c r="N50" s="102" t="s">
        <v>3</v>
      </c>
      <c r="O50" s="102" t="s">
        <v>3</v>
      </c>
      <c r="P50" s="102" t="s">
        <v>3</v>
      </c>
      <c r="Q50" s="102" t="s">
        <v>3</v>
      </c>
      <c r="R50" s="102" t="s">
        <v>3</v>
      </c>
      <c r="S50" s="102" t="s">
        <v>3</v>
      </c>
      <c r="T50" s="102" t="s">
        <v>3</v>
      </c>
      <c r="U50" s="102" t="s">
        <v>3</v>
      </c>
      <c r="V50" s="102" t="s">
        <v>3</v>
      </c>
      <c r="W50" s="102" t="s">
        <v>3</v>
      </c>
      <c r="X50" s="102" t="s">
        <v>3</v>
      </c>
      <c r="Y50" s="102" t="s">
        <v>3</v>
      </c>
      <c r="Z50" s="102" t="s">
        <v>3</v>
      </c>
      <c r="AA50" s="102" t="s">
        <v>3</v>
      </c>
      <c r="AB50" s="102" t="s">
        <v>3</v>
      </c>
      <c r="AC50" s="102" t="s">
        <v>3</v>
      </c>
      <c r="AD50" s="102" t="s">
        <v>3</v>
      </c>
      <c r="AE50" s="102" t="s">
        <v>3</v>
      </c>
      <c r="AF50" s="102" t="s">
        <v>3</v>
      </c>
      <c r="AG50" s="102" t="s">
        <v>3</v>
      </c>
      <c r="AH50" s="102" t="s">
        <v>3</v>
      </c>
      <c r="AI50" s="102" t="s">
        <v>3</v>
      </c>
      <c r="AJ50" s="102" t="s">
        <v>3</v>
      </c>
      <c r="AK50" s="102" t="s">
        <v>3</v>
      </c>
      <c r="AL50" s="102" t="s">
        <v>3</v>
      </c>
      <c r="AM50" s="102" t="s">
        <v>3</v>
      </c>
      <c r="AN50" s="102" t="s">
        <v>3</v>
      </c>
      <c r="AO50" s="102" t="s">
        <v>3</v>
      </c>
      <c r="AP50" s="102" t="s">
        <v>3</v>
      </c>
      <c r="AQ50" s="102" t="s">
        <v>3</v>
      </c>
      <c r="AR50" s="102" t="s">
        <v>3</v>
      </c>
      <c r="AS50" s="102" t="s">
        <v>3</v>
      </c>
      <c r="AT50" s="102" t="s">
        <v>3</v>
      </c>
      <c r="AU50" s="102">
        <v>3</v>
      </c>
      <c r="AV50" s="229" t="s">
        <v>3</v>
      </c>
      <c r="AW50" s="229" t="s">
        <v>3</v>
      </c>
      <c r="AX50" s="229" t="s">
        <v>3</v>
      </c>
      <c r="AY50" s="229" t="s">
        <v>3</v>
      </c>
      <c r="AZ50" s="229" t="s">
        <v>3</v>
      </c>
      <c r="BA50" s="315" t="s">
        <v>3</v>
      </c>
      <c r="BB50" s="315" t="s">
        <v>3</v>
      </c>
      <c r="BC50" s="315" t="s">
        <v>3</v>
      </c>
      <c r="BD50" s="315" t="s">
        <v>3</v>
      </c>
      <c r="BE50" s="315" t="s">
        <v>3</v>
      </c>
      <c r="BF50" s="315" t="s">
        <v>3</v>
      </c>
      <c r="BG50" s="315" t="s">
        <v>3</v>
      </c>
      <c r="BH50" s="315"/>
      <c r="BI50" s="419" t="s">
        <v>9</v>
      </c>
      <c r="BJ50" s="419" t="s">
        <v>9</v>
      </c>
      <c r="BK50" s="419" t="s">
        <v>9</v>
      </c>
      <c r="BL50" s="419" t="s">
        <v>9</v>
      </c>
    </row>
    <row r="51" spans="1:65" ht="11.25" customHeight="1">
      <c r="A51" s="121" t="s">
        <v>94</v>
      </c>
      <c r="B51" s="28">
        <v>7402</v>
      </c>
      <c r="C51" s="28">
        <v>7591</v>
      </c>
      <c r="D51" s="28">
        <v>7999</v>
      </c>
      <c r="E51" s="28">
        <v>8158</v>
      </c>
      <c r="F51" s="28">
        <v>8209</v>
      </c>
      <c r="G51" s="28">
        <v>8334</v>
      </c>
      <c r="H51" s="28">
        <v>8807</v>
      </c>
      <c r="I51" s="28">
        <v>8991</v>
      </c>
      <c r="J51" s="28">
        <v>8784</v>
      </c>
      <c r="K51" s="28">
        <v>8738</v>
      </c>
      <c r="L51" s="102">
        <f>10558+314</f>
        <v>10872</v>
      </c>
      <c r="M51" s="102">
        <f>10270+375+326+14</f>
        <v>10985</v>
      </c>
      <c r="N51" s="102">
        <v>15267</v>
      </c>
      <c r="O51" s="102">
        <v>15255</v>
      </c>
      <c r="P51" s="102">
        <f>12937+438+775+9+387+22</f>
        <v>14568</v>
      </c>
      <c r="Q51" s="102">
        <v>15140</v>
      </c>
      <c r="R51" s="102">
        <v>15530</v>
      </c>
      <c r="S51" s="102">
        <v>15515</v>
      </c>
      <c r="T51" s="102">
        <v>16029</v>
      </c>
      <c r="U51" s="102">
        <v>17968</v>
      </c>
      <c r="V51" s="102">
        <v>15107</v>
      </c>
      <c r="W51" s="102">
        <v>14446</v>
      </c>
      <c r="X51" s="102">
        <v>13999</v>
      </c>
      <c r="Y51" s="102">
        <v>13797</v>
      </c>
      <c r="Z51" s="102">
        <v>14093</v>
      </c>
      <c r="AA51" s="102">
        <v>13746</v>
      </c>
      <c r="AB51" s="102">
        <v>13559</v>
      </c>
      <c r="AC51" s="55">
        <v>14811</v>
      </c>
      <c r="AD51" s="102">
        <v>16160</v>
      </c>
      <c r="AE51" s="102">
        <v>17324</v>
      </c>
      <c r="AF51" s="102">
        <v>17340</v>
      </c>
      <c r="AG51" s="102">
        <v>17178</v>
      </c>
      <c r="AH51" s="102">
        <f>16890+1174+299</f>
        <v>18363</v>
      </c>
      <c r="AI51" s="102">
        <f>17399+1441+322</f>
        <v>19162</v>
      </c>
      <c r="AJ51" s="102">
        <f>16967+1482+323</f>
        <v>18772</v>
      </c>
      <c r="AK51" s="102">
        <f>16441+946+1644+571</f>
        <v>19602</v>
      </c>
      <c r="AL51" s="102">
        <f>16401+959+1755+639</f>
        <v>19754</v>
      </c>
      <c r="AM51" s="102">
        <f>16967+1482</f>
        <v>18449</v>
      </c>
      <c r="AN51" s="56">
        <f>16964+2025</f>
        <v>18989</v>
      </c>
      <c r="AO51" s="55">
        <f>17249+1988</f>
        <v>19237</v>
      </c>
      <c r="AP51" s="102">
        <f>16796+2079</f>
        <v>18875</v>
      </c>
      <c r="AQ51" s="102">
        <f>17140+1988</f>
        <v>19128</v>
      </c>
      <c r="AR51" s="65">
        <f>35272+1392</f>
        <v>36664</v>
      </c>
      <c r="AS51" s="155">
        <v>36477</v>
      </c>
      <c r="AT51" s="74">
        <v>38207</v>
      </c>
      <c r="AU51" s="74">
        <v>40601</v>
      </c>
      <c r="AV51" s="227">
        <v>41136</v>
      </c>
      <c r="AW51" s="229">
        <f>41733+1804</f>
        <v>43537</v>
      </c>
      <c r="AX51" s="233">
        <v>48065</v>
      </c>
      <c r="AY51" s="233">
        <v>53966</v>
      </c>
      <c r="AZ51" s="233">
        <v>56253</v>
      </c>
      <c r="BA51" s="314">
        <v>57495</v>
      </c>
      <c r="BB51" s="314">
        <f>52031+6759</f>
        <v>58790</v>
      </c>
      <c r="BC51" s="314">
        <f>46807+8698</f>
        <v>55505</v>
      </c>
      <c r="BD51" s="314">
        <f>48086+9643</f>
        <v>57729</v>
      </c>
      <c r="BE51" s="314">
        <f>44835+10279</f>
        <v>55114</v>
      </c>
      <c r="BF51" s="314">
        <f>44137+10723</f>
        <v>54860</v>
      </c>
      <c r="BG51" s="314">
        <f>47481+10675</f>
        <v>58156</v>
      </c>
      <c r="BH51" s="314">
        <f>46457+13296</f>
        <v>59753</v>
      </c>
      <c r="BI51" s="385">
        <f t="shared" ref="BI51:BJ56" si="14">(BG51-BF51)/BF51</f>
        <v>6.0080204156033538E-2</v>
      </c>
      <c r="BJ51" s="385">
        <f t="shared" si="14"/>
        <v>2.7460623151523488E-2</v>
      </c>
      <c r="BK51" s="569">
        <f t="shared" ref="BK51:BL56" si="15">BG51-BF51</f>
        <v>3296</v>
      </c>
      <c r="BL51" s="569">
        <f t="shared" si="15"/>
        <v>1597</v>
      </c>
      <c r="BM51" s="123"/>
    </row>
    <row r="52" spans="1:65" ht="11.1" customHeight="1">
      <c r="A52" s="121" t="s">
        <v>95</v>
      </c>
      <c r="B52" s="28">
        <v>4660</v>
      </c>
      <c r="C52" s="28">
        <v>4823</v>
      </c>
      <c r="D52" s="28">
        <v>4838</v>
      </c>
      <c r="E52" s="28">
        <v>4841</v>
      </c>
      <c r="F52" s="28">
        <v>4651</v>
      </c>
      <c r="G52" s="28">
        <v>4715</v>
      </c>
      <c r="H52" s="28">
        <v>4931</v>
      </c>
      <c r="I52" s="28">
        <v>4602</v>
      </c>
      <c r="J52" s="28">
        <v>4860</v>
      </c>
      <c r="K52" s="28">
        <v>4297</v>
      </c>
      <c r="L52" s="102">
        <v>4574</v>
      </c>
      <c r="M52" s="102">
        <v>5274</v>
      </c>
      <c r="N52" s="102">
        <v>5768</v>
      </c>
      <c r="O52" s="102">
        <v>5794</v>
      </c>
      <c r="P52" s="102">
        <v>5455</v>
      </c>
      <c r="Q52" s="102">
        <v>5247</v>
      </c>
      <c r="R52" s="102">
        <v>6021</v>
      </c>
      <c r="S52" s="102">
        <v>8452</v>
      </c>
      <c r="T52" s="102">
        <v>8466</v>
      </c>
      <c r="U52" s="102">
        <v>8513</v>
      </c>
      <c r="V52" s="102">
        <v>8794</v>
      </c>
      <c r="W52" s="102">
        <v>10535</v>
      </c>
      <c r="X52" s="102">
        <v>9972</v>
      </c>
      <c r="Y52" s="102">
        <v>9850</v>
      </c>
      <c r="Z52" s="102">
        <v>9124</v>
      </c>
      <c r="AA52" s="102">
        <v>9569</v>
      </c>
      <c r="AB52" s="102">
        <v>8640</v>
      </c>
      <c r="AC52" s="102">
        <v>10881</v>
      </c>
      <c r="AD52" s="102">
        <v>12805</v>
      </c>
      <c r="AE52" s="102">
        <v>16313</v>
      </c>
      <c r="AF52" s="102">
        <v>15931</v>
      </c>
      <c r="AG52" s="102">
        <v>16348</v>
      </c>
      <c r="AH52" s="102">
        <v>17597</v>
      </c>
      <c r="AI52" s="102">
        <v>19720</v>
      </c>
      <c r="AJ52" s="102">
        <v>18735</v>
      </c>
      <c r="AK52" s="102">
        <v>19356</v>
      </c>
      <c r="AL52" s="102">
        <v>20697</v>
      </c>
      <c r="AM52" s="102">
        <v>18931</v>
      </c>
      <c r="AN52" s="102">
        <v>24371</v>
      </c>
      <c r="AO52" s="102">
        <v>23680</v>
      </c>
      <c r="AP52" s="102">
        <v>24692</v>
      </c>
      <c r="AQ52" s="102">
        <v>22757</v>
      </c>
      <c r="AR52" s="102">
        <f>11261+1959</f>
        <v>13220</v>
      </c>
      <c r="AS52" s="102">
        <v>17323</v>
      </c>
      <c r="AT52" s="102">
        <v>17935</v>
      </c>
      <c r="AU52" s="102">
        <v>14761</v>
      </c>
      <c r="AV52" s="229">
        <v>13241</v>
      </c>
      <c r="AW52" s="243">
        <f>14537+202</f>
        <v>14739</v>
      </c>
      <c r="AX52" s="233">
        <v>16102</v>
      </c>
      <c r="AY52" s="233">
        <v>17632</v>
      </c>
      <c r="AZ52" s="233">
        <v>19029</v>
      </c>
      <c r="BA52" s="314">
        <v>19931</v>
      </c>
      <c r="BB52" s="314">
        <f>20031+140</f>
        <v>20171</v>
      </c>
      <c r="BC52" s="314">
        <f>19480+289</f>
        <v>19769</v>
      </c>
      <c r="BD52" s="314">
        <f>18767+270</f>
        <v>19037</v>
      </c>
      <c r="BE52" s="314">
        <f>18639+380</f>
        <v>19019</v>
      </c>
      <c r="BF52" s="314">
        <f>18410+466</f>
        <v>18876</v>
      </c>
      <c r="BG52" s="314">
        <f>19148+372</f>
        <v>19520</v>
      </c>
      <c r="BH52" s="314">
        <f>20967+322</f>
        <v>21289</v>
      </c>
      <c r="BI52" s="385">
        <f t="shared" si="14"/>
        <v>3.4117397753761387E-2</v>
      </c>
      <c r="BJ52" s="385">
        <f t="shared" si="14"/>
        <v>9.0624999999999997E-2</v>
      </c>
      <c r="BK52" s="569">
        <f t="shared" si="15"/>
        <v>644</v>
      </c>
      <c r="BL52" s="569">
        <f t="shared" si="15"/>
        <v>1769</v>
      </c>
      <c r="BM52" s="123"/>
    </row>
    <row r="53" spans="1:65" s="350" customFormat="1" ht="11.1" customHeight="1">
      <c r="A53" s="426" t="s">
        <v>96</v>
      </c>
      <c r="B53" s="368">
        <v>5452</v>
      </c>
      <c r="C53" s="368">
        <v>5587</v>
      </c>
      <c r="D53" s="368">
        <v>6231</v>
      </c>
      <c r="E53" s="368">
        <v>6276</v>
      </c>
      <c r="F53" s="368">
        <v>6359</v>
      </c>
      <c r="G53" s="368">
        <v>5247</v>
      </c>
      <c r="H53" s="368">
        <v>5369</v>
      </c>
      <c r="I53" s="368">
        <v>4868</v>
      </c>
      <c r="J53" s="368">
        <v>5719</v>
      </c>
      <c r="K53" s="368">
        <v>6274</v>
      </c>
      <c r="L53" s="368">
        <v>7050</v>
      </c>
      <c r="M53" s="368">
        <v>13144</v>
      </c>
      <c r="N53" s="368">
        <v>13313</v>
      </c>
      <c r="O53" s="368">
        <v>13969</v>
      </c>
      <c r="P53" s="368">
        <v>12482</v>
      </c>
      <c r="Q53" s="368">
        <v>10484</v>
      </c>
      <c r="R53" s="368">
        <v>11421</v>
      </c>
      <c r="S53" s="368">
        <v>12723</v>
      </c>
      <c r="T53" s="368">
        <v>11916</v>
      </c>
      <c r="U53" s="368">
        <v>11353</v>
      </c>
      <c r="V53" s="368">
        <v>11432</v>
      </c>
      <c r="W53" s="368">
        <v>12913</v>
      </c>
      <c r="X53" s="368">
        <v>12471</v>
      </c>
      <c r="Y53" s="368">
        <v>9008</v>
      </c>
      <c r="Z53" s="368">
        <v>9310</v>
      </c>
      <c r="AA53" s="368">
        <v>8834</v>
      </c>
      <c r="AB53" s="368">
        <v>8921</v>
      </c>
      <c r="AC53" s="368">
        <v>8252</v>
      </c>
      <c r="AD53" s="368">
        <v>7481</v>
      </c>
      <c r="AE53" s="368">
        <v>8078</v>
      </c>
      <c r="AF53" s="368">
        <v>10887</v>
      </c>
      <c r="AG53" s="368">
        <v>12577</v>
      </c>
      <c r="AH53" s="368">
        <v>14754</v>
      </c>
      <c r="AI53" s="368">
        <v>14957</v>
      </c>
      <c r="AJ53" s="427">
        <v>14919</v>
      </c>
      <c r="AK53" s="427">
        <v>16602</v>
      </c>
      <c r="AL53" s="427">
        <v>17006</v>
      </c>
      <c r="AM53" s="368">
        <v>16468</v>
      </c>
      <c r="AN53" s="368">
        <v>16794</v>
      </c>
      <c r="AO53" s="368">
        <v>16340</v>
      </c>
      <c r="AP53" s="368">
        <v>16847</v>
      </c>
      <c r="AQ53" s="368">
        <v>14812</v>
      </c>
      <c r="AR53" s="368">
        <v>16016</v>
      </c>
      <c r="AS53" s="368">
        <v>12374</v>
      </c>
      <c r="AT53" s="368">
        <v>13083</v>
      </c>
      <c r="AU53" s="368">
        <v>12679</v>
      </c>
      <c r="AV53" s="430">
        <v>13933</v>
      </c>
      <c r="AW53" s="315">
        <v>12997</v>
      </c>
      <c r="AX53" s="314">
        <v>13407</v>
      </c>
      <c r="AY53" s="314">
        <v>13496</v>
      </c>
      <c r="AZ53" s="314">
        <v>14145</v>
      </c>
      <c r="BA53" s="314">
        <v>12321</v>
      </c>
      <c r="BB53" s="314">
        <v>12465</v>
      </c>
      <c r="BC53" s="314">
        <v>13765</v>
      </c>
      <c r="BD53" s="314">
        <v>17090</v>
      </c>
      <c r="BE53" s="314">
        <v>13258</v>
      </c>
      <c r="BF53" s="314">
        <v>14269</v>
      </c>
      <c r="BG53" s="314">
        <v>13568</v>
      </c>
      <c r="BH53" s="314">
        <v>14117</v>
      </c>
      <c r="BI53" s="423">
        <f t="shared" si="14"/>
        <v>-4.912747915060621E-2</v>
      </c>
      <c r="BJ53" s="423">
        <f t="shared" si="14"/>
        <v>4.0462853773584904E-2</v>
      </c>
      <c r="BK53" s="367">
        <f t="shared" si="15"/>
        <v>-701</v>
      </c>
      <c r="BL53" s="367">
        <f t="shared" si="15"/>
        <v>549</v>
      </c>
      <c r="BM53" s="373"/>
    </row>
    <row r="54" spans="1:65" ht="11.1" customHeight="1">
      <c r="A54" s="125" t="s">
        <v>97</v>
      </c>
      <c r="B54" s="18" t="s">
        <v>3</v>
      </c>
      <c r="C54" s="18" t="s">
        <v>3</v>
      </c>
      <c r="D54" s="18" t="s">
        <v>3</v>
      </c>
      <c r="E54" s="18" t="s">
        <v>3</v>
      </c>
      <c r="F54" s="18" t="s">
        <v>3</v>
      </c>
      <c r="G54" s="18" t="s">
        <v>3</v>
      </c>
      <c r="H54" s="18" t="s">
        <v>3</v>
      </c>
      <c r="I54" s="18" t="s">
        <v>3</v>
      </c>
      <c r="J54" s="18" t="s">
        <v>3</v>
      </c>
      <c r="K54" s="18" t="s">
        <v>3</v>
      </c>
      <c r="L54" s="85" t="s">
        <v>3</v>
      </c>
      <c r="M54" s="85" t="s">
        <v>3</v>
      </c>
      <c r="N54" s="85" t="s">
        <v>3</v>
      </c>
      <c r="O54" s="85" t="s">
        <v>3</v>
      </c>
      <c r="P54" s="85" t="s">
        <v>3</v>
      </c>
      <c r="Q54" s="85" t="s">
        <v>3</v>
      </c>
      <c r="R54" s="85" t="s">
        <v>3</v>
      </c>
      <c r="S54" s="85" t="s">
        <v>3</v>
      </c>
      <c r="T54" s="85" t="s">
        <v>3</v>
      </c>
      <c r="U54" s="85" t="s">
        <v>3</v>
      </c>
      <c r="V54" s="85" t="s">
        <v>3</v>
      </c>
      <c r="W54" s="85" t="s">
        <v>3</v>
      </c>
      <c r="X54" s="85" t="s">
        <v>3</v>
      </c>
      <c r="Y54" s="85" t="s">
        <v>3</v>
      </c>
      <c r="Z54" s="85" t="s">
        <v>3</v>
      </c>
      <c r="AA54" s="85" t="s">
        <v>3</v>
      </c>
      <c r="AB54" s="85" t="s">
        <v>3</v>
      </c>
      <c r="AC54" s="85" t="s">
        <v>3</v>
      </c>
      <c r="AD54" s="85" t="s">
        <v>3</v>
      </c>
      <c r="AE54" s="85" t="s">
        <v>3</v>
      </c>
      <c r="AF54" s="85" t="s">
        <v>3</v>
      </c>
      <c r="AG54" s="85" t="s">
        <v>3</v>
      </c>
      <c r="AH54" s="85" t="s">
        <v>3</v>
      </c>
      <c r="AI54" s="85" t="s">
        <v>3</v>
      </c>
      <c r="AJ54" s="85" t="s">
        <v>3</v>
      </c>
      <c r="AK54" s="85" t="s">
        <v>3</v>
      </c>
      <c r="AL54" s="85" t="s">
        <v>3</v>
      </c>
      <c r="AM54" s="85" t="s">
        <v>3</v>
      </c>
      <c r="AN54" s="85" t="s">
        <v>3</v>
      </c>
      <c r="AO54" s="85" t="s">
        <v>3</v>
      </c>
      <c r="AP54" s="85" t="s">
        <v>3</v>
      </c>
      <c r="AQ54" s="85" t="s">
        <v>3</v>
      </c>
      <c r="AR54" s="85" t="s">
        <v>3</v>
      </c>
      <c r="AS54" s="71">
        <v>6</v>
      </c>
      <c r="AT54" s="26">
        <v>14</v>
      </c>
      <c r="AU54" s="71">
        <v>26</v>
      </c>
      <c r="AV54" s="244">
        <v>17</v>
      </c>
      <c r="AW54" s="231">
        <v>20</v>
      </c>
      <c r="AX54" s="233">
        <v>26</v>
      </c>
      <c r="AY54" s="233">
        <v>30</v>
      </c>
      <c r="AZ54" s="233">
        <v>33</v>
      </c>
      <c r="BA54" s="314">
        <v>36</v>
      </c>
      <c r="BB54" s="314">
        <v>37</v>
      </c>
      <c r="BC54" s="314">
        <v>37</v>
      </c>
      <c r="BD54" s="314">
        <v>37</v>
      </c>
      <c r="BE54" s="314">
        <v>37</v>
      </c>
      <c r="BF54" s="314">
        <v>56</v>
      </c>
      <c r="BG54" s="314">
        <v>39</v>
      </c>
      <c r="BH54" s="314">
        <v>37</v>
      </c>
      <c r="BI54" s="385">
        <f t="shared" si="14"/>
        <v>-0.30357142857142855</v>
      </c>
      <c r="BJ54" s="385">
        <f t="shared" si="14"/>
        <v>-5.128205128205128E-2</v>
      </c>
      <c r="BK54" s="569">
        <f t="shared" si="15"/>
        <v>-17</v>
      </c>
      <c r="BL54" s="569">
        <f t="shared" si="15"/>
        <v>-2</v>
      </c>
      <c r="BM54" s="123"/>
    </row>
    <row r="55" spans="1:65" ht="10.5" customHeight="1">
      <c r="A55" s="121" t="s">
        <v>98</v>
      </c>
      <c r="B55" s="18" t="s">
        <v>3</v>
      </c>
      <c r="C55" s="18" t="s">
        <v>3</v>
      </c>
      <c r="D55" s="18" t="s">
        <v>3</v>
      </c>
      <c r="E55" s="18" t="s">
        <v>3</v>
      </c>
      <c r="F55" s="18" t="s">
        <v>3</v>
      </c>
      <c r="G55" s="18" t="s">
        <v>3</v>
      </c>
      <c r="H55" s="18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18" t="s">
        <v>3</v>
      </c>
      <c r="N55" s="18" t="s">
        <v>3</v>
      </c>
      <c r="O55" s="18" t="s">
        <v>3</v>
      </c>
      <c r="P55" s="18" t="s">
        <v>3</v>
      </c>
      <c r="Q55" s="18" t="s">
        <v>3</v>
      </c>
      <c r="R55" s="18" t="s">
        <v>3</v>
      </c>
      <c r="S55" s="18" t="s">
        <v>3</v>
      </c>
      <c r="T55" s="18" t="s">
        <v>3</v>
      </c>
      <c r="U55" s="18" t="s">
        <v>3</v>
      </c>
      <c r="V55" s="18" t="s">
        <v>3</v>
      </c>
      <c r="W55" s="18" t="s">
        <v>3</v>
      </c>
      <c r="X55" s="18" t="s">
        <v>3</v>
      </c>
      <c r="Y55" s="18" t="s">
        <v>3</v>
      </c>
      <c r="Z55" s="18" t="s">
        <v>3</v>
      </c>
      <c r="AA55" s="18" t="s">
        <v>3</v>
      </c>
      <c r="AB55" s="18" t="s">
        <v>3</v>
      </c>
      <c r="AC55" s="18" t="s">
        <v>3</v>
      </c>
      <c r="AD55" s="18" t="s">
        <v>3</v>
      </c>
      <c r="AE55" s="18" t="s">
        <v>3</v>
      </c>
      <c r="AF55" s="18" t="s">
        <v>3</v>
      </c>
      <c r="AG55" s="18" t="s">
        <v>3</v>
      </c>
      <c r="AH55" s="18" t="s">
        <v>3</v>
      </c>
      <c r="AI55" s="18" t="s">
        <v>3</v>
      </c>
      <c r="AJ55" s="18" t="s">
        <v>3</v>
      </c>
      <c r="AK55" s="18" t="s">
        <v>3</v>
      </c>
      <c r="AL55" s="18" t="s">
        <v>3</v>
      </c>
      <c r="AM55" s="18" t="s">
        <v>3</v>
      </c>
      <c r="AN55" s="18" t="s">
        <v>3</v>
      </c>
      <c r="AO55" s="18" t="s">
        <v>3</v>
      </c>
      <c r="AP55" s="18" t="s">
        <v>3</v>
      </c>
      <c r="AQ55" s="18" t="s">
        <v>3</v>
      </c>
      <c r="AR55" s="55">
        <f>3397+37</f>
        <v>3434</v>
      </c>
      <c r="AS55" s="55">
        <v>57324</v>
      </c>
      <c r="AT55" s="55">
        <v>46413</v>
      </c>
      <c r="AU55" s="55">
        <v>50725</v>
      </c>
      <c r="AV55" s="252">
        <v>49469</v>
      </c>
      <c r="AW55" s="233">
        <v>49999</v>
      </c>
      <c r="AX55" s="233">
        <v>52692</v>
      </c>
      <c r="AY55" s="233">
        <v>53421</v>
      </c>
      <c r="AZ55" s="233">
        <v>52644</v>
      </c>
      <c r="BA55" s="314">
        <v>55000</v>
      </c>
      <c r="BB55" s="314">
        <v>56317</v>
      </c>
      <c r="BC55" s="314">
        <v>55658</v>
      </c>
      <c r="BD55" s="314">
        <v>53511</v>
      </c>
      <c r="BE55" s="314">
        <v>51712</v>
      </c>
      <c r="BF55" s="314">
        <v>54901</v>
      </c>
      <c r="BG55" s="314">
        <v>53575</v>
      </c>
      <c r="BH55" s="314">
        <v>52956</v>
      </c>
      <c r="BI55" s="385">
        <f t="shared" si="14"/>
        <v>-2.4152565527039579E-2</v>
      </c>
      <c r="BJ55" s="385">
        <f t="shared" si="14"/>
        <v>-1.1553896406906206E-2</v>
      </c>
      <c r="BK55" s="569">
        <f t="shared" si="15"/>
        <v>-1326</v>
      </c>
      <c r="BL55" s="569">
        <f t="shared" si="15"/>
        <v>-619</v>
      </c>
      <c r="BM55" s="123"/>
    </row>
    <row r="56" spans="1:65" ht="11.25" customHeight="1" thickBot="1">
      <c r="A56" s="404" t="s">
        <v>73</v>
      </c>
      <c r="B56" s="152">
        <f t="shared" ref="B56:K56" si="16">SUM(B50:B55)</f>
        <v>17514</v>
      </c>
      <c r="C56" s="152">
        <f t="shared" si="16"/>
        <v>18001</v>
      </c>
      <c r="D56" s="152">
        <f t="shared" si="16"/>
        <v>19068</v>
      </c>
      <c r="E56" s="152">
        <f t="shared" si="16"/>
        <v>19275</v>
      </c>
      <c r="F56" s="152">
        <f t="shared" si="16"/>
        <v>19219</v>
      </c>
      <c r="G56" s="152">
        <f t="shared" si="16"/>
        <v>18296</v>
      </c>
      <c r="H56" s="152">
        <f t="shared" si="16"/>
        <v>19107</v>
      </c>
      <c r="I56" s="152">
        <f t="shared" si="16"/>
        <v>18461</v>
      </c>
      <c r="J56" s="152">
        <f t="shared" si="16"/>
        <v>19363</v>
      </c>
      <c r="K56" s="152">
        <f t="shared" si="16"/>
        <v>19309</v>
      </c>
      <c r="L56" s="152">
        <f>SUM(L50:L55)</f>
        <v>22496</v>
      </c>
      <c r="M56" s="152">
        <f t="shared" ref="M56:AV56" si="17">SUM(M50:M55)</f>
        <v>29403</v>
      </c>
      <c r="N56" s="152">
        <f t="shared" si="17"/>
        <v>34348</v>
      </c>
      <c r="O56" s="152">
        <f t="shared" si="17"/>
        <v>35018</v>
      </c>
      <c r="P56" s="152">
        <f t="shared" si="17"/>
        <v>32505</v>
      </c>
      <c r="Q56" s="152">
        <f t="shared" si="17"/>
        <v>30871</v>
      </c>
      <c r="R56" s="152">
        <f t="shared" si="17"/>
        <v>32972</v>
      </c>
      <c r="S56" s="152">
        <f t="shared" si="17"/>
        <v>36690</v>
      </c>
      <c r="T56" s="152">
        <f t="shared" si="17"/>
        <v>36411</v>
      </c>
      <c r="U56" s="152">
        <f t="shared" si="17"/>
        <v>37834</v>
      </c>
      <c r="V56" s="152">
        <f t="shared" si="17"/>
        <v>35333</v>
      </c>
      <c r="W56" s="152">
        <f t="shared" si="17"/>
        <v>37894</v>
      </c>
      <c r="X56" s="152">
        <f t="shared" si="17"/>
        <v>36442</v>
      </c>
      <c r="Y56" s="152">
        <f t="shared" si="17"/>
        <v>32655</v>
      </c>
      <c r="Z56" s="152">
        <f t="shared" si="17"/>
        <v>32527</v>
      </c>
      <c r="AA56" s="152">
        <f t="shared" si="17"/>
        <v>32149</v>
      </c>
      <c r="AB56" s="152">
        <f t="shared" si="17"/>
        <v>31120</v>
      </c>
      <c r="AC56" s="152">
        <f t="shared" si="17"/>
        <v>33944</v>
      </c>
      <c r="AD56" s="152">
        <f t="shared" si="17"/>
        <v>36446</v>
      </c>
      <c r="AE56" s="152">
        <f t="shared" si="17"/>
        <v>41715</v>
      </c>
      <c r="AF56" s="152">
        <f t="shared" si="17"/>
        <v>44158</v>
      </c>
      <c r="AG56" s="152">
        <f t="shared" si="17"/>
        <v>46103</v>
      </c>
      <c r="AH56" s="152">
        <f t="shared" si="17"/>
        <v>50714</v>
      </c>
      <c r="AI56" s="152">
        <f t="shared" si="17"/>
        <v>53839</v>
      </c>
      <c r="AJ56" s="152">
        <f t="shared" si="17"/>
        <v>52426</v>
      </c>
      <c r="AK56" s="152">
        <f t="shared" si="17"/>
        <v>55560</v>
      </c>
      <c r="AL56" s="152">
        <f t="shared" si="17"/>
        <v>57457</v>
      </c>
      <c r="AM56" s="152">
        <f t="shared" si="17"/>
        <v>53848</v>
      </c>
      <c r="AN56" s="152">
        <f t="shared" si="17"/>
        <v>60154</v>
      </c>
      <c r="AO56" s="152">
        <f t="shared" si="17"/>
        <v>59257</v>
      </c>
      <c r="AP56" s="152">
        <f t="shared" si="17"/>
        <v>60414</v>
      </c>
      <c r="AQ56" s="152">
        <f t="shared" si="17"/>
        <v>56697</v>
      </c>
      <c r="AR56" s="152">
        <f t="shared" si="17"/>
        <v>69334</v>
      </c>
      <c r="AS56" s="152">
        <f t="shared" si="17"/>
        <v>123504</v>
      </c>
      <c r="AT56" s="152">
        <f t="shared" si="17"/>
        <v>115652</v>
      </c>
      <c r="AU56" s="152">
        <f t="shared" si="17"/>
        <v>118795</v>
      </c>
      <c r="AV56" s="232">
        <f t="shared" si="17"/>
        <v>117796</v>
      </c>
      <c r="AW56" s="232">
        <f t="shared" ref="AW56:BB56" si="18">SUM(AW50:AW55)</f>
        <v>121292</v>
      </c>
      <c r="AX56" s="232">
        <f t="shared" si="18"/>
        <v>130292</v>
      </c>
      <c r="AY56" s="232">
        <f t="shared" si="18"/>
        <v>138545</v>
      </c>
      <c r="AZ56" s="232">
        <f t="shared" si="18"/>
        <v>142104</v>
      </c>
      <c r="BA56" s="395">
        <f t="shared" si="18"/>
        <v>144783</v>
      </c>
      <c r="BB56" s="395">
        <f t="shared" si="18"/>
        <v>147780</v>
      </c>
      <c r="BC56" s="395">
        <f t="shared" ref="BC56:BH56" si="19">SUM(BC50:BC55)</f>
        <v>144734</v>
      </c>
      <c r="BD56" s="395">
        <f t="shared" si="19"/>
        <v>147404</v>
      </c>
      <c r="BE56" s="395">
        <f t="shared" si="19"/>
        <v>139140</v>
      </c>
      <c r="BF56" s="395">
        <f t="shared" si="19"/>
        <v>142962</v>
      </c>
      <c r="BG56" s="395">
        <f t="shared" si="19"/>
        <v>144858</v>
      </c>
      <c r="BH56" s="395">
        <f t="shared" si="19"/>
        <v>148152</v>
      </c>
      <c r="BI56" s="422">
        <f t="shared" si="14"/>
        <v>1.3262265497125111E-2</v>
      </c>
      <c r="BJ56" s="422">
        <f t="shared" si="14"/>
        <v>2.2739510417098124E-2</v>
      </c>
      <c r="BK56" s="574">
        <f t="shared" si="15"/>
        <v>1896</v>
      </c>
      <c r="BL56" s="574">
        <f t="shared" si="15"/>
        <v>3294</v>
      </c>
      <c r="BM56" s="123"/>
    </row>
    <row r="57" spans="1:65" ht="11.1" customHeight="1">
      <c r="A57" s="125"/>
      <c r="L57" s="85"/>
      <c r="M57" s="85"/>
      <c r="N57" s="85"/>
      <c r="O57" s="85"/>
      <c r="P57" s="85"/>
      <c r="Q57" s="85"/>
      <c r="R57" s="85"/>
      <c r="S57" s="85"/>
      <c r="T57" s="26"/>
      <c r="U57" s="12"/>
      <c r="V57" s="12"/>
      <c r="W57" s="12"/>
      <c r="X57" s="12"/>
      <c r="Y57" s="12"/>
      <c r="Z57" s="26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343"/>
      <c r="AM57" s="343"/>
      <c r="AN57" s="343"/>
      <c r="AO57" s="343"/>
      <c r="AP57" s="343"/>
      <c r="AQ57" s="343"/>
      <c r="AR57" s="344"/>
      <c r="AS57" s="343"/>
      <c r="AT57" s="343"/>
      <c r="AU57" s="343"/>
      <c r="AV57" s="346"/>
      <c r="AW57" s="245"/>
      <c r="AX57" s="347"/>
      <c r="AY57" s="245"/>
      <c r="AZ57" s="311"/>
      <c r="BA57" s="379"/>
      <c r="BB57" s="379"/>
      <c r="BC57" s="473"/>
      <c r="BD57" s="311"/>
      <c r="BE57" s="311"/>
      <c r="BF57" s="311"/>
      <c r="BG57" s="311"/>
      <c r="BH57" s="311"/>
      <c r="BI57" s="385"/>
      <c r="BJ57" s="385"/>
      <c r="BK57" s="356"/>
      <c r="BL57" s="356"/>
    </row>
    <row r="58" spans="1:65" ht="15.75" customHeight="1">
      <c r="A58" s="130" t="s">
        <v>99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M58" s="71"/>
      <c r="AN58" s="71"/>
      <c r="AO58" s="71"/>
      <c r="AP58" s="71"/>
      <c r="AQ58" s="71"/>
      <c r="AR58" s="71"/>
      <c r="AS58" s="71"/>
      <c r="AT58" s="71"/>
      <c r="AU58" s="71"/>
      <c r="AV58" s="244"/>
      <c r="AW58" s="245"/>
      <c r="AX58" s="246"/>
      <c r="AY58" s="245"/>
      <c r="AZ58" s="311"/>
      <c r="BA58" s="379"/>
      <c r="BB58" s="379"/>
      <c r="BC58" s="473"/>
      <c r="BD58" s="311"/>
      <c r="BE58" s="311"/>
      <c r="BF58" s="311"/>
      <c r="BG58" s="311"/>
      <c r="BH58" s="311"/>
      <c r="BI58" s="385"/>
      <c r="BJ58" s="385"/>
      <c r="BK58" s="356"/>
      <c r="BL58" s="356"/>
    </row>
    <row r="59" spans="1:65" ht="6" customHeight="1">
      <c r="A59" s="125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M59" s="71"/>
      <c r="AN59" s="71"/>
      <c r="AO59" s="71"/>
      <c r="AP59" s="71"/>
      <c r="AQ59" s="71"/>
      <c r="AR59" s="71"/>
      <c r="AS59" s="71"/>
      <c r="AT59" s="71"/>
      <c r="AU59" s="71"/>
      <c r="AV59" s="244"/>
      <c r="AW59" s="253"/>
      <c r="AX59" s="254"/>
      <c r="AY59" s="253"/>
      <c r="AZ59" s="311"/>
      <c r="BA59" s="379"/>
      <c r="BB59" s="379"/>
      <c r="BC59" s="473"/>
      <c r="BD59" s="311"/>
      <c r="BE59" s="311"/>
      <c r="BF59" s="311"/>
      <c r="BG59" s="311"/>
      <c r="BH59" s="311"/>
      <c r="BI59" s="385"/>
      <c r="BJ59" s="385"/>
      <c r="BK59" s="356"/>
      <c r="BL59" s="356"/>
    </row>
    <row r="60" spans="1:65" ht="11.1" customHeight="1">
      <c r="A60" s="126" t="s">
        <v>36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M60" s="71"/>
      <c r="AN60" s="71"/>
      <c r="AO60" s="71"/>
      <c r="AP60" s="71"/>
      <c r="AQ60" s="71"/>
      <c r="AR60" s="71"/>
      <c r="AS60" s="71"/>
      <c r="AT60" s="71"/>
      <c r="AU60" s="71"/>
      <c r="AV60" s="244"/>
      <c r="AW60" s="253"/>
      <c r="AX60" s="254"/>
      <c r="AY60" s="253"/>
      <c r="AZ60" s="311"/>
      <c r="BA60" s="379"/>
      <c r="BB60" s="379"/>
      <c r="BC60" s="473"/>
      <c r="BD60" s="311"/>
      <c r="BE60" s="311"/>
      <c r="BF60" s="311"/>
      <c r="BG60" s="311"/>
      <c r="BH60" s="311"/>
      <c r="BI60" s="385"/>
      <c r="BJ60" s="385"/>
      <c r="BK60" s="356"/>
      <c r="BL60" s="356"/>
    </row>
    <row r="61" spans="1:65" ht="11.1" customHeight="1">
      <c r="A61" s="125" t="s">
        <v>100</v>
      </c>
      <c r="B61" s="28">
        <v>3928</v>
      </c>
      <c r="C61" s="28">
        <v>6043</v>
      </c>
      <c r="D61" s="28">
        <v>6756</v>
      </c>
      <c r="E61" s="28">
        <v>7254</v>
      </c>
      <c r="F61" s="28">
        <v>7365</v>
      </c>
      <c r="G61" s="28">
        <v>7205</v>
      </c>
      <c r="H61" s="28">
        <v>6841</v>
      </c>
      <c r="I61" s="28">
        <v>6572</v>
      </c>
      <c r="J61" s="28">
        <v>6671</v>
      </c>
      <c r="K61" s="28">
        <v>6736</v>
      </c>
      <c r="L61" s="12">
        <v>6447</v>
      </c>
      <c r="M61" s="12">
        <v>7350</v>
      </c>
      <c r="N61" s="12">
        <v>6814</v>
      </c>
      <c r="O61" s="12">
        <v>6990</v>
      </c>
      <c r="P61" s="12">
        <v>6805</v>
      </c>
      <c r="Q61" s="12">
        <v>6534</v>
      </c>
      <c r="R61" s="12">
        <v>6573</v>
      </c>
      <c r="S61" s="12">
        <v>6316</v>
      </c>
      <c r="T61" s="12">
        <v>6297</v>
      </c>
      <c r="U61" s="12">
        <v>6334</v>
      </c>
      <c r="V61" s="12">
        <v>6251</v>
      </c>
      <c r="W61" s="12">
        <v>5559</v>
      </c>
      <c r="X61" s="12">
        <v>4843</v>
      </c>
      <c r="Y61" s="12">
        <v>4487</v>
      </c>
      <c r="Z61" s="12">
        <v>4502</v>
      </c>
      <c r="AA61" s="12">
        <v>4403</v>
      </c>
      <c r="AB61" s="12">
        <v>4570</v>
      </c>
      <c r="AC61" s="12">
        <v>4784</v>
      </c>
      <c r="AD61" s="12">
        <v>5054</v>
      </c>
      <c r="AE61" s="12">
        <v>5276</v>
      </c>
      <c r="AF61" s="12">
        <v>5640</v>
      </c>
      <c r="AG61" s="12">
        <v>5683</v>
      </c>
      <c r="AH61" s="12">
        <v>6154</v>
      </c>
      <c r="AI61" s="12">
        <v>6165</v>
      </c>
      <c r="AJ61" s="12">
        <v>5904</v>
      </c>
      <c r="AK61" s="12">
        <v>5467</v>
      </c>
      <c r="AL61" s="12">
        <v>6331</v>
      </c>
      <c r="AM61" s="71">
        <v>6095</v>
      </c>
      <c r="AN61" s="71">
        <v>6335</v>
      </c>
      <c r="AO61" s="71">
        <v>6584</v>
      </c>
      <c r="AP61" s="71">
        <v>6318.8085608358615</v>
      </c>
      <c r="AQ61" s="71">
        <v>6106.8227571115967</v>
      </c>
      <c r="AR61" s="71">
        <v>6569.4853825709897</v>
      </c>
      <c r="AS61" s="71">
        <v>5757</v>
      </c>
      <c r="AT61" s="71">
        <v>5475</v>
      </c>
      <c r="AU61" s="71">
        <v>5324</v>
      </c>
      <c r="AV61" s="231">
        <v>5460</v>
      </c>
      <c r="AW61" s="231">
        <v>5351</v>
      </c>
      <c r="AX61" s="233">
        <v>5772</v>
      </c>
      <c r="AY61" s="233">
        <v>6177</v>
      </c>
      <c r="AZ61" s="318">
        <v>6424</v>
      </c>
      <c r="BA61" s="314">
        <v>6387</v>
      </c>
      <c r="BB61" s="314">
        <v>6243</v>
      </c>
      <c r="BC61" s="314">
        <v>6127</v>
      </c>
      <c r="BD61" s="314">
        <v>5633</v>
      </c>
      <c r="BE61" s="314">
        <v>5736</v>
      </c>
      <c r="BF61" s="314">
        <v>5757</v>
      </c>
      <c r="BG61" s="314">
        <v>5762</v>
      </c>
      <c r="BH61" s="314">
        <v>5742</v>
      </c>
      <c r="BI61" s="385">
        <f>(BG61-BF61)/BF61</f>
        <v>8.6850790342192117E-4</v>
      </c>
      <c r="BJ61" s="385">
        <f>(BH61-BG61)/BG61</f>
        <v>-3.4710170079833391E-3</v>
      </c>
      <c r="BK61" s="569">
        <f>BG61-BF61</f>
        <v>5</v>
      </c>
      <c r="BL61" s="569">
        <f>BH61-BG61</f>
        <v>-20</v>
      </c>
    </row>
    <row r="62" spans="1:65" ht="11.1" customHeight="1">
      <c r="A62" s="125" t="s">
        <v>101</v>
      </c>
      <c r="B62" s="30" t="s">
        <v>3</v>
      </c>
      <c r="C62" s="30" t="s">
        <v>3</v>
      </c>
      <c r="D62" s="30" t="s">
        <v>3</v>
      </c>
      <c r="E62" s="30" t="s">
        <v>3</v>
      </c>
      <c r="F62" s="30" t="s">
        <v>3</v>
      </c>
      <c r="G62" s="30" t="s">
        <v>3</v>
      </c>
      <c r="H62" s="28">
        <v>57</v>
      </c>
      <c r="I62" s="28">
        <v>189</v>
      </c>
      <c r="J62" s="28">
        <v>188</v>
      </c>
      <c r="K62" s="28">
        <v>198</v>
      </c>
      <c r="L62" s="12">
        <v>201</v>
      </c>
      <c r="M62" s="12">
        <v>161</v>
      </c>
      <c r="N62" s="12">
        <v>175</v>
      </c>
      <c r="O62" s="12">
        <v>246</v>
      </c>
      <c r="P62" s="12">
        <v>168</v>
      </c>
      <c r="Q62" s="12">
        <v>235</v>
      </c>
      <c r="R62" s="12">
        <v>233</v>
      </c>
      <c r="S62" s="12">
        <v>224</v>
      </c>
      <c r="T62" s="12">
        <v>235</v>
      </c>
      <c r="U62" s="12">
        <v>226</v>
      </c>
      <c r="V62" s="12">
        <v>239</v>
      </c>
      <c r="W62" s="12">
        <v>274</v>
      </c>
      <c r="X62" s="12">
        <v>278</v>
      </c>
      <c r="Y62" s="12">
        <v>262</v>
      </c>
      <c r="Z62" s="12">
        <v>252</v>
      </c>
      <c r="AA62" s="12">
        <v>248</v>
      </c>
      <c r="AB62" s="12">
        <v>266</v>
      </c>
      <c r="AC62" s="12">
        <v>405</v>
      </c>
      <c r="AD62" s="12">
        <v>432</v>
      </c>
      <c r="AE62" s="12">
        <v>458</v>
      </c>
      <c r="AF62" s="12">
        <v>495</v>
      </c>
      <c r="AG62" s="12">
        <v>603</v>
      </c>
      <c r="AH62" s="12">
        <v>645</v>
      </c>
      <c r="AI62" s="12">
        <v>694</v>
      </c>
      <c r="AJ62" s="12">
        <v>664</v>
      </c>
      <c r="AK62" s="12">
        <v>621</v>
      </c>
      <c r="AL62" s="12">
        <v>630</v>
      </c>
      <c r="AM62" s="71">
        <v>636</v>
      </c>
      <c r="AN62" s="71">
        <v>618</v>
      </c>
      <c r="AO62" s="71">
        <v>592</v>
      </c>
      <c r="AP62" s="70">
        <v>66</v>
      </c>
      <c r="AQ62" s="82">
        <v>92.054237288135582</v>
      </c>
      <c r="AR62" s="82">
        <v>126.64406779661016</v>
      </c>
      <c r="AS62" s="82">
        <v>128.53918495297805</v>
      </c>
      <c r="AT62" s="82">
        <v>128.37383177570092</v>
      </c>
      <c r="AU62" s="85" t="s">
        <v>3</v>
      </c>
      <c r="AV62" s="230" t="s">
        <v>3</v>
      </c>
      <c r="AW62" s="230" t="s">
        <v>3</v>
      </c>
      <c r="AX62" s="230" t="s">
        <v>3</v>
      </c>
      <c r="AY62" s="230" t="s">
        <v>3</v>
      </c>
      <c r="AZ62" s="215" t="s">
        <v>3</v>
      </c>
      <c r="BA62" s="396" t="s">
        <v>3</v>
      </c>
      <c r="BB62" s="396" t="s">
        <v>3</v>
      </c>
      <c r="BC62" s="396" t="s">
        <v>3</v>
      </c>
      <c r="BD62" s="522" t="s">
        <v>3</v>
      </c>
      <c r="BE62" s="522" t="s">
        <v>3</v>
      </c>
      <c r="BF62" s="522" t="s">
        <v>3</v>
      </c>
      <c r="BG62" s="522" t="s">
        <v>3</v>
      </c>
      <c r="BH62" s="522" t="s">
        <v>3</v>
      </c>
      <c r="BI62" s="419" t="s">
        <v>9</v>
      </c>
      <c r="BJ62" s="419" t="s">
        <v>9</v>
      </c>
      <c r="BK62" s="573" t="s">
        <v>9</v>
      </c>
      <c r="BL62" s="573" t="s">
        <v>9</v>
      </c>
    </row>
    <row r="63" spans="1:65" ht="11.1" customHeight="1">
      <c r="A63" s="125" t="s">
        <v>102</v>
      </c>
      <c r="B63" s="18" t="s">
        <v>3</v>
      </c>
      <c r="C63" s="18" t="s">
        <v>3</v>
      </c>
      <c r="D63" s="18" t="s">
        <v>3</v>
      </c>
      <c r="E63" s="18" t="s">
        <v>3</v>
      </c>
      <c r="F63" s="18" t="s">
        <v>3</v>
      </c>
      <c r="G63" s="18" t="s">
        <v>3</v>
      </c>
      <c r="H63" s="18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18" t="s">
        <v>3</v>
      </c>
      <c r="N63" s="18" t="s">
        <v>3</v>
      </c>
      <c r="O63" s="18" t="s">
        <v>3</v>
      </c>
      <c r="P63" s="18" t="s">
        <v>3</v>
      </c>
      <c r="Q63" s="18" t="s">
        <v>3</v>
      </c>
      <c r="R63" s="18" t="s">
        <v>3</v>
      </c>
      <c r="S63" s="18" t="s">
        <v>3</v>
      </c>
      <c r="T63" s="18" t="s">
        <v>3</v>
      </c>
      <c r="U63" s="18" t="s">
        <v>3</v>
      </c>
      <c r="V63" s="18" t="s">
        <v>3</v>
      </c>
      <c r="W63" s="18" t="s">
        <v>3</v>
      </c>
      <c r="X63" s="18" t="s">
        <v>3</v>
      </c>
      <c r="Y63" s="18" t="s">
        <v>3</v>
      </c>
      <c r="Z63" s="18" t="s">
        <v>3</v>
      </c>
      <c r="AA63" s="18" t="s">
        <v>3</v>
      </c>
      <c r="AB63" s="18" t="s">
        <v>3</v>
      </c>
      <c r="AC63" s="18" t="s">
        <v>3</v>
      </c>
      <c r="AD63" s="18" t="s">
        <v>3</v>
      </c>
      <c r="AE63" s="18" t="s">
        <v>3</v>
      </c>
      <c r="AF63" s="18" t="s">
        <v>3</v>
      </c>
      <c r="AG63" s="18" t="s">
        <v>3</v>
      </c>
      <c r="AH63" s="18" t="s">
        <v>3</v>
      </c>
      <c r="AI63" s="18" t="s">
        <v>3</v>
      </c>
      <c r="AJ63" s="18" t="s">
        <v>3</v>
      </c>
      <c r="AK63" s="18" t="s">
        <v>3</v>
      </c>
      <c r="AL63" s="18" t="s">
        <v>3</v>
      </c>
      <c r="AM63" s="18" t="s">
        <v>3</v>
      </c>
      <c r="AN63" s="18" t="s">
        <v>3</v>
      </c>
      <c r="AO63" s="18" t="s">
        <v>3</v>
      </c>
      <c r="AP63" s="26">
        <v>673</v>
      </c>
      <c r="AQ63" s="55">
        <v>715</v>
      </c>
      <c r="AR63" s="104">
        <v>864</v>
      </c>
      <c r="AS63" s="104">
        <v>1007</v>
      </c>
      <c r="AT63" s="104">
        <v>1006</v>
      </c>
      <c r="AU63" s="104">
        <v>1031</v>
      </c>
      <c r="AV63" s="170">
        <v>1007</v>
      </c>
      <c r="AW63" s="216">
        <v>1011</v>
      </c>
      <c r="AX63" s="68">
        <v>1018</v>
      </c>
      <c r="AY63" s="68">
        <v>1048</v>
      </c>
      <c r="AZ63" s="68">
        <v>1026</v>
      </c>
      <c r="BA63" s="293">
        <v>1079</v>
      </c>
      <c r="BB63" s="293">
        <v>1092</v>
      </c>
      <c r="BC63" s="293">
        <v>1101</v>
      </c>
      <c r="BD63" s="314">
        <v>1100</v>
      </c>
      <c r="BE63" s="314">
        <v>1111</v>
      </c>
      <c r="BF63" s="314">
        <v>1136</v>
      </c>
      <c r="BG63" s="314">
        <v>1202</v>
      </c>
      <c r="BH63" s="314">
        <v>1202</v>
      </c>
      <c r="BI63" s="385">
        <f t="shared" ref="BI63:BJ67" si="20">(BG63-BF63)/BF63</f>
        <v>5.8098591549295774E-2</v>
      </c>
      <c r="BJ63" s="385">
        <f t="shared" si="20"/>
        <v>0</v>
      </c>
      <c r="BK63" s="569">
        <f t="shared" ref="BK63:BL67" si="21">BG63-BF63</f>
        <v>66</v>
      </c>
      <c r="BL63" s="569">
        <f t="shared" si="21"/>
        <v>0</v>
      </c>
    </row>
    <row r="64" spans="1:65" ht="11.1" customHeight="1">
      <c r="A64" s="125" t="s">
        <v>13</v>
      </c>
      <c r="B64" s="18" t="s">
        <v>3</v>
      </c>
      <c r="C64" s="18" t="s">
        <v>3</v>
      </c>
      <c r="D64" s="18" t="s">
        <v>3</v>
      </c>
      <c r="E64" s="18" t="s">
        <v>3</v>
      </c>
      <c r="F64" s="18" t="s">
        <v>3</v>
      </c>
      <c r="G64" s="18" t="s">
        <v>3</v>
      </c>
      <c r="H64" s="28">
        <v>34</v>
      </c>
      <c r="I64" s="28">
        <v>289</v>
      </c>
      <c r="J64" s="28">
        <v>287</v>
      </c>
      <c r="K64" s="28">
        <v>287</v>
      </c>
      <c r="L64" s="12">
        <v>299</v>
      </c>
      <c r="M64" s="12">
        <v>286</v>
      </c>
      <c r="N64" s="12">
        <v>318</v>
      </c>
      <c r="O64" s="12">
        <v>452</v>
      </c>
      <c r="P64" s="12">
        <v>345</v>
      </c>
      <c r="Q64" s="12">
        <v>412</v>
      </c>
      <c r="R64" s="12">
        <v>455</v>
      </c>
      <c r="S64" s="12">
        <v>545</v>
      </c>
      <c r="T64" s="12">
        <v>556</v>
      </c>
      <c r="U64" s="12">
        <v>573</v>
      </c>
      <c r="V64" s="12">
        <v>607</v>
      </c>
      <c r="W64" s="12">
        <v>578</v>
      </c>
      <c r="X64" s="12">
        <v>409</v>
      </c>
      <c r="Y64" s="12">
        <v>425</v>
      </c>
      <c r="Z64" s="12">
        <v>432</v>
      </c>
      <c r="AA64" s="12">
        <v>448</v>
      </c>
      <c r="AB64" s="12">
        <v>447</v>
      </c>
      <c r="AC64" s="12">
        <v>438</v>
      </c>
      <c r="AD64" s="12">
        <v>430</v>
      </c>
      <c r="AE64" s="12">
        <v>412</v>
      </c>
      <c r="AF64" s="12">
        <v>435</v>
      </c>
      <c r="AG64" s="12">
        <v>466</v>
      </c>
      <c r="AH64" s="12">
        <v>498</v>
      </c>
      <c r="AI64" s="12">
        <v>524</v>
      </c>
      <c r="AJ64" s="12">
        <v>535</v>
      </c>
      <c r="AK64" s="12">
        <v>544</v>
      </c>
      <c r="AL64" s="12">
        <v>547</v>
      </c>
      <c r="AM64" s="71">
        <v>540</v>
      </c>
      <c r="AN64" s="71">
        <v>688</v>
      </c>
      <c r="AO64" s="71">
        <v>701</v>
      </c>
      <c r="AP64" s="26">
        <v>718</v>
      </c>
      <c r="AQ64" s="26">
        <v>742</v>
      </c>
      <c r="AR64" s="26">
        <v>754</v>
      </c>
      <c r="AS64" s="26">
        <v>768</v>
      </c>
      <c r="AT64" s="26">
        <v>783</v>
      </c>
      <c r="AU64" s="161">
        <v>791</v>
      </c>
      <c r="AV64" s="162">
        <v>808</v>
      </c>
      <c r="AW64" s="162">
        <v>811</v>
      </c>
      <c r="AX64" s="68">
        <v>812</v>
      </c>
      <c r="AY64" s="162">
        <v>817</v>
      </c>
      <c r="AZ64" s="162">
        <v>840</v>
      </c>
      <c r="BA64" s="292">
        <v>856</v>
      </c>
      <c r="BB64" s="292">
        <v>859</v>
      </c>
      <c r="BC64" s="292">
        <v>881</v>
      </c>
      <c r="BD64" s="379">
        <v>847</v>
      </c>
      <c r="BE64" s="379">
        <v>836</v>
      </c>
      <c r="BF64" s="379">
        <v>903</v>
      </c>
      <c r="BG64" s="379">
        <v>920</v>
      </c>
      <c r="BH64" s="379">
        <v>920</v>
      </c>
      <c r="BI64" s="385">
        <f t="shared" si="20"/>
        <v>1.8826135105204873E-2</v>
      </c>
      <c r="BJ64" s="385">
        <f t="shared" si="20"/>
        <v>0</v>
      </c>
      <c r="BK64" s="569">
        <f t="shared" si="21"/>
        <v>17</v>
      </c>
      <c r="BL64" s="569">
        <f t="shared" si="21"/>
        <v>0</v>
      </c>
    </row>
    <row r="65" spans="1:66" ht="11.1" customHeight="1">
      <c r="A65" s="125" t="s">
        <v>62</v>
      </c>
      <c r="B65" s="18" t="s">
        <v>3</v>
      </c>
      <c r="C65" s="18" t="s">
        <v>3</v>
      </c>
      <c r="D65" s="18" t="s">
        <v>3</v>
      </c>
      <c r="E65" s="18" t="s">
        <v>3</v>
      </c>
      <c r="F65" s="18" t="s">
        <v>3</v>
      </c>
      <c r="G65" s="18" t="s">
        <v>3</v>
      </c>
      <c r="H65" s="28">
        <v>18</v>
      </c>
      <c r="I65" s="28">
        <v>30</v>
      </c>
      <c r="J65" s="28">
        <v>650</v>
      </c>
      <c r="K65" s="28">
        <v>583</v>
      </c>
      <c r="L65" s="83">
        <v>562</v>
      </c>
      <c r="M65" s="83">
        <v>607</v>
      </c>
      <c r="N65" s="83">
        <v>745</v>
      </c>
      <c r="O65" s="83">
        <v>761</v>
      </c>
      <c r="P65" s="83">
        <v>784</v>
      </c>
      <c r="Q65" s="83">
        <v>802</v>
      </c>
      <c r="R65" s="83">
        <v>816</v>
      </c>
      <c r="S65" s="83">
        <v>861</v>
      </c>
      <c r="T65" s="83">
        <v>892</v>
      </c>
      <c r="U65" s="83">
        <v>895</v>
      </c>
      <c r="V65" s="83">
        <v>917</v>
      </c>
      <c r="W65" s="83">
        <v>841</v>
      </c>
      <c r="X65" s="83">
        <v>749</v>
      </c>
      <c r="Y65" s="83">
        <v>673</v>
      </c>
      <c r="Z65" s="83">
        <v>656</v>
      </c>
      <c r="AA65" s="83">
        <v>664</v>
      </c>
      <c r="AB65" s="83">
        <v>641</v>
      </c>
      <c r="AC65" s="83">
        <v>648</v>
      </c>
      <c r="AD65" s="83">
        <v>672</v>
      </c>
      <c r="AE65" s="83">
        <v>1033</v>
      </c>
      <c r="AF65" s="83">
        <v>605</v>
      </c>
      <c r="AG65" s="83">
        <v>458</v>
      </c>
      <c r="AH65" s="83">
        <v>730</v>
      </c>
      <c r="AI65" s="83">
        <v>726</v>
      </c>
      <c r="AJ65" s="83">
        <v>679</v>
      </c>
      <c r="AK65" s="83">
        <v>642</v>
      </c>
      <c r="AL65" s="83">
        <v>618</v>
      </c>
      <c r="AM65" s="74">
        <v>597</v>
      </c>
      <c r="AN65" s="74">
        <v>625</v>
      </c>
      <c r="AO65" s="74">
        <v>600</v>
      </c>
      <c r="AP65" s="74">
        <v>612</v>
      </c>
      <c r="AQ65" s="26">
        <v>633</v>
      </c>
      <c r="AR65" s="26">
        <v>661</v>
      </c>
      <c r="AS65" s="55">
        <v>669</v>
      </c>
      <c r="AT65" s="26">
        <f>249+374</f>
        <v>623</v>
      </c>
      <c r="AU65" s="161">
        <v>600</v>
      </c>
      <c r="AV65" s="162">
        <v>605</v>
      </c>
      <c r="AW65" s="162">
        <v>578</v>
      </c>
      <c r="AX65" s="68">
        <v>572</v>
      </c>
      <c r="AY65" s="162">
        <v>562</v>
      </c>
      <c r="AZ65" s="162">
        <v>545</v>
      </c>
      <c r="BA65" s="292">
        <v>546</v>
      </c>
      <c r="BB65" s="292">
        <v>536</v>
      </c>
      <c r="BC65" s="292">
        <v>522</v>
      </c>
      <c r="BD65" s="379">
        <v>531</v>
      </c>
      <c r="BE65" s="379">
        <v>507</v>
      </c>
      <c r="BF65" s="379">
        <v>484</v>
      </c>
      <c r="BG65" s="379">
        <v>506</v>
      </c>
      <c r="BH65" s="379">
        <v>571</v>
      </c>
      <c r="BI65" s="385">
        <f t="shared" si="20"/>
        <v>4.5454545454545456E-2</v>
      </c>
      <c r="BJ65" s="385">
        <f t="shared" si="20"/>
        <v>0.12845849802371542</v>
      </c>
      <c r="BK65" s="569">
        <f t="shared" si="21"/>
        <v>22</v>
      </c>
      <c r="BL65" s="569">
        <f t="shared" si="21"/>
        <v>65</v>
      </c>
    </row>
    <row r="66" spans="1:66" ht="11.1" customHeight="1">
      <c r="A66" s="129" t="s">
        <v>119</v>
      </c>
      <c r="B66" s="18" t="s">
        <v>3</v>
      </c>
      <c r="C66" s="18" t="s">
        <v>3</v>
      </c>
      <c r="D66" s="18" t="s">
        <v>3</v>
      </c>
      <c r="E66" s="18" t="s">
        <v>3</v>
      </c>
      <c r="F66" s="18" t="s">
        <v>3</v>
      </c>
      <c r="G66" s="18" t="s">
        <v>3</v>
      </c>
      <c r="H66" s="18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18" t="s">
        <v>3</v>
      </c>
      <c r="N66" s="18" t="s">
        <v>3</v>
      </c>
      <c r="O66" s="18" t="s">
        <v>3</v>
      </c>
      <c r="P66" s="18" t="s">
        <v>3</v>
      </c>
      <c r="Q66" s="18" t="s">
        <v>3</v>
      </c>
      <c r="R66" s="18" t="s">
        <v>3</v>
      </c>
      <c r="S66" s="18" t="s">
        <v>3</v>
      </c>
      <c r="T66" s="18" t="s">
        <v>3</v>
      </c>
      <c r="U66" s="18" t="s">
        <v>3</v>
      </c>
      <c r="V66" s="18" t="s">
        <v>3</v>
      </c>
      <c r="W66" s="18" t="s">
        <v>3</v>
      </c>
      <c r="X66" s="18" t="s">
        <v>3</v>
      </c>
      <c r="Y66" s="18" t="s">
        <v>3</v>
      </c>
      <c r="Z66" s="18" t="s">
        <v>3</v>
      </c>
      <c r="AA66" s="18" t="s">
        <v>3</v>
      </c>
      <c r="AB66" s="18" t="s">
        <v>3</v>
      </c>
      <c r="AC66" s="18" t="s">
        <v>3</v>
      </c>
      <c r="AD66" s="83">
        <v>47</v>
      </c>
      <c r="AE66" s="83">
        <v>48</v>
      </c>
      <c r="AF66" s="83">
        <v>50</v>
      </c>
      <c r="AG66" s="83">
        <v>58</v>
      </c>
      <c r="AH66" s="83">
        <v>57</v>
      </c>
      <c r="AI66" s="83">
        <v>60</v>
      </c>
      <c r="AJ66" s="83">
        <v>62</v>
      </c>
      <c r="AK66" s="83">
        <v>71</v>
      </c>
      <c r="AL66" s="83">
        <v>84</v>
      </c>
      <c r="AM66" s="74">
        <v>92</v>
      </c>
      <c r="AN66" s="74">
        <v>97</v>
      </c>
      <c r="AO66" s="74">
        <v>93</v>
      </c>
      <c r="AP66" s="74">
        <v>97</v>
      </c>
      <c r="AQ66" s="26">
        <v>96</v>
      </c>
      <c r="AR66" s="26">
        <v>100</v>
      </c>
      <c r="AS66" s="55">
        <v>111</v>
      </c>
      <c r="AT66" s="26">
        <v>125</v>
      </c>
      <c r="AU66" s="161">
        <v>154</v>
      </c>
      <c r="AV66" s="162">
        <v>139</v>
      </c>
      <c r="AW66" s="162">
        <v>146</v>
      </c>
      <c r="AX66" s="68">
        <v>147</v>
      </c>
      <c r="AY66" s="162">
        <v>162</v>
      </c>
      <c r="AZ66" s="162">
        <v>175</v>
      </c>
      <c r="BA66" s="292">
        <v>193</v>
      </c>
      <c r="BB66" s="292">
        <v>195</v>
      </c>
      <c r="BC66" s="292">
        <v>197</v>
      </c>
      <c r="BD66" s="379">
        <v>198</v>
      </c>
      <c r="BE66" s="379">
        <v>215</v>
      </c>
      <c r="BF66" s="379">
        <v>258</v>
      </c>
      <c r="BG66" s="379">
        <v>292</v>
      </c>
      <c r="BH66" s="379">
        <v>305</v>
      </c>
      <c r="BI66" s="385">
        <f t="shared" si="20"/>
        <v>0.13178294573643412</v>
      </c>
      <c r="BJ66" s="385">
        <f t="shared" si="20"/>
        <v>4.4520547945205477E-2</v>
      </c>
      <c r="BK66" s="569">
        <f t="shared" si="21"/>
        <v>34</v>
      </c>
      <c r="BL66" s="569">
        <f t="shared" si="21"/>
        <v>13</v>
      </c>
    </row>
    <row r="67" spans="1:66" ht="11.1" customHeight="1">
      <c r="A67" s="404" t="s">
        <v>37</v>
      </c>
      <c r="B67" s="395">
        <f t="shared" ref="B67:BD67" si="22">SUM(B61:B66)</f>
        <v>3928</v>
      </c>
      <c r="C67" s="395">
        <f t="shared" si="22"/>
        <v>6043</v>
      </c>
      <c r="D67" s="395">
        <f t="shared" si="22"/>
        <v>6756</v>
      </c>
      <c r="E67" s="395">
        <f t="shared" si="22"/>
        <v>7254</v>
      </c>
      <c r="F67" s="395">
        <f t="shared" si="22"/>
        <v>7365</v>
      </c>
      <c r="G67" s="395">
        <f t="shared" si="22"/>
        <v>7205</v>
      </c>
      <c r="H67" s="395">
        <f t="shared" si="22"/>
        <v>6950</v>
      </c>
      <c r="I67" s="395">
        <f t="shared" si="22"/>
        <v>7080</v>
      </c>
      <c r="J67" s="395">
        <f t="shared" si="22"/>
        <v>7796</v>
      </c>
      <c r="K67" s="395">
        <f t="shared" si="22"/>
        <v>7804</v>
      </c>
      <c r="L67" s="395">
        <f t="shared" si="22"/>
        <v>7509</v>
      </c>
      <c r="M67" s="395">
        <f t="shared" si="22"/>
        <v>8404</v>
      </c>
      <c r="N67" s="395">
        <f t="shared" si="22"/>
        <v>8052</v>
      </c>
      <c r="O67" s="395">
        <f t="shared" si="22"/>
        <v>8449</v>
      </c>
      <c r="P67" s="395">
        <f t="shared" si="22"/>
        <v>8102</v>
      </c>
      <c r="Q67" s="395">
        <f t="shared" si="22"/>
        <v>7983</v>
      </c>
      <c r="R67" s="395">
        <f t="shared" si="22"/>
        <v>8077</v>
      </c>
      <c r="S67" s="395">
        <f t="shared" si="22"/>
        <v>7946</v>
      </c>
      <c r="T67" s="395">
        <f t="shared" si="22"/>
        <v>7980</v>
      </c>
      <c r="U67" s="395">
        <f t="shared" si="22"/>
        <v>8028</v>
      </c>
      <c r="V67" s="395">
        <f t="shared" si="22"/>
        <v>8014</v>
      </c>
      <c r="W67" s="395">
        <f t="shared" si="22"/>
        <v>7252</v>
      </c>
      <c r="X67" s="395">
        <f t="shared" si="22"/>
        <v>6279</v>
      </c>
      <c r="Y67" s="395">
        <f t="shared" si="22"/>
        <v>5847</v>
      </c>
      <c r="Z67" s="395">
        <f t="shared" si="22"/>
        <v>5842</v>
      </c>
      <c r="AA67" s="395">
        <f t="shared" si="22"/>
        <v>5763</v>
      </c>
      <c r="AB67" s="395">
        <f t="shared" si="22"/>
        <v>5924</v>
      </c>
      <c r="AC67" s="395">
        <f t="shared" si="22"/>
        <v>6275</v>
      </c>
      <c r="AD67" s="395">
        <f t="shared" si="22"/>
        <v>6635</v>
      </c>
      <c r="AE67" s="395">
        <f t="shared" si="22"/>
        <v>7227</v>
      </c>
      <c r="AF67" s="395">
        <f t="shared" si="22"/>
        <v>7225</v>
      </c>
      <c r="AG67" s="395">
        <f t="shared" si="22"/>
        <v>7268</v>
      </c>
      <c r="AH67" s="395">
        <f t="shared" si="22"/>
        <v>8084</v>
      </c>
      <c r="AI67" s="395">
        <f t="shared" si="22"/>
        <v>8169</v>
      </c>
      <c r="AJ67" s="395">
        <f t="shared" si="22"/>
        <v>7844</v>
      </c>
      <c r="AK67" s="395">
        <f t="shared" si="22"/>
        <v>7345</v>
      </c>
      <c r="AL67" s="395">
        <f t="shared" si="22"/>
        <v>8210</v>
      </c>
      <c r="AM67" s="395">
        <f t="shared" si="22"/>
        <v>7960</v>
      </c>
      <c r="AN67" s="395">
        <f t="shared" si="22"/>
        <v>8363</v>
      </c>
      <c r="AO67" s="395">
        <f t="shared" si="22"/>
        <v>8570</v>
      </c>
      <c r="AP67" s="395">
        <f t="shared" si="22"/>
        <v>8484.8085608358615</v>
      </c>
      <c r="AQ67" s="395">
        <f t="shared" si="22"/>
        <v>8384.8769943997322</v>
      </c>
      <c r="AR67" s="395">
        <f t="shared" si="22"/>
        <v>9075.1294503675999</v>
      </c>
      <c r="AS67" s="395">
        <f t="shared" si="22"/>
        <v>8440.5391849529769</v>
      </c>
      <c r="AT67" s="395">
        <f t="shared" si="22"/>
        <v>8140.3738317757006</v>
      </c>
      <c r="AU67" s="395">
        <f t="shared" si="22"/>
        <v>7900</v>
      </c>
      <c r="AV67" s="395">
        <f t="shared" si="22"/>
        <v>8019</v>
      </c>
      <c r="AW67" s="395">
        <f t="shared" si="22"/>
        <v>7897</v>
      </c>
      <c r="AX67" s="395">
        <f t="shared" si="22"/>
        <v>8321</v>
      </c>
      <c r="AY67" s="395">
        <f t="shared" si="22"/>
        <v>8766</v>
      </c>
      <c r="AZ67" s="395">
        <f t="shared" si="22"/>
        <v>9010</v>
      </c>
      <c r="BA67" s="395">
        <f t="shared" si="22"/>
        <v>9061</v>
      </c>
      <c r="BB67" s="395">
        <f t="shared" si="22"/>
        <v>8925</v>
      </c>
      <c r="BC67" s="395">
        <f t="shared" si="22"/>
        <v>8828</v>
      </c>
      <c r="BD67" s="395">
        <f t="shared" si="22"/>
        <v>8309</v>
      </c>
      <c r="BE67" s="395">
        <f>SUM(BE61:BE66)</f>
        <v>8405</v>
      </c>
      <c r="BF67" s="395">
        <f>SUM(BF61:BF66)</f>
        <v>8538</v>
      </c>
      <c r="BG67" s="395">
        <f>SUM(BG61:BG66)</f>
        <v>8682</v>
      </c>
      <c r="BH67" s="395">
        <f>SUM(BH61:BH66)</f>
        <v>8740</v>
      </c>
      <c r="BI67" s="415">
        <f t="shared" si="20"/>
        <v>1.6865776528460996E-2</v>
      </c>
      <c r="BJ67" s="415">
        <f t="shared" si="20"/>
        <v>6.6804883667357755E-3</v>
      </c>
      <c r="BK67" s="572">
        <f t="shared" si="21"/>
        <v>144</v>
      </c>
      <c r="BL67" s="572">
        <f t="shared" si="21"/>
        <v>58</v>
      </c>
    </row>
    <row r="68" spans="1:66" ht="13.5" customHeight="1">
      <c r="A68" s="125"/>
      <c r="G68" s="321"/>
      <c r="H68" s="321"/>
      <c r="I68" s="321"/>
      <c r="J68" s="321"/>
      <c r="K68" s="321"/>
      <c r="L68" s="321"/>
      <c r="M68" s="321"/>
      <c r="N68" s="321"/>
      <c r="O68" s="321"/>
      <c r="P68" s="321"/>
      <c r="Q68" s="321"/>
      <c r="R68" s="321"/>
      <c r="S68" s="321"/>
      <c r="T68" s="321"/>
      <c r="U68" s="321"/>
      <c r="V68" s="321"/>
      <c r="W68" s="321"/>
      <c r="X68" s="321"/>
      <c r="Y68" s="321"/>
      <c r="Z68" s="321"/>
      <c r="AA68" s="321"/>
      <c r="AB68" s="321"/>
      <c r="AC68" s="321"/>
      <c r="AD68" s="321"/>
      <c r="AE68" s="321"/>
      <c r="AF68" s="321"/>
      <c r="AG68" s="321"/>
      <c r="AH68" s="321"/>
      <c r="AI68" s="321"/>
      <c r="AJ68" s="321"/>
      <c r="AK68" s="321"/>
      <c r="AL68" s="321"/>
      <c r="AM68" s="321"/>
      <c r="AN68" s="321"/>
      <c r="AO68" s="321"/>
      <c r="AP68" s="321"/>
      <c r="AQ68" s="321"/>
      <c r="AR68" s="321"/>
      <c r="AS68" s="321"/>
      <c r="AT68" s="321"/>
      <c r="AU68" s="321"/>
      <c r="AV68" s="321"/>
      <c r="AW68" s="321"/>
      <c r="AX68" s="321"/>
      <c r="AY68" s="321"/>
      <c r="AZ68" s="321"/>
      <c r="BA68" s="321"/>
      <c r="BB68" s="321"/>
      <c r="BC68" s="321"/>
      <c r="BD68" s="321"/>
      <c r="BE68" s="321"/>
      <c r="BF68" s="560"/>
      <c r="BG68" s="560"/>
      <c r="BH68" s="560"/>
      <c r="BI68" s="385"/>
      <c r="BJ68" s="385"/>
      <c r="BK68" s="356"/>
      <c r="BL68" s="356"/>
      <c r="BM68" s="331"/>
      <c r="BN68" s="331"/>
    </row>
    <row r="69" spans="1:66" ht="11.1" customHeight="1">
      <c r="A69" s="129" t="s">
        <v>163</v>
      </c>
      <c r="B69" s="18" t="s">
        <v>3</v>
      </c>
      <c r="C69" s="18" t="s">
        <v>3</v>
      </c>
      <c r="D69" s="18" t="s">
        <v>3</v>
      </c>
      <c r="E69" s="18" t="s">
        <v>3</v>
      </c>
      <c r="F69" s="18" t="s">
        <v>3</v>
      </c>
      <c r="G69" s="18" t="s">
        <v>3</v>
      </c>
      <c r="H69" s="18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18" t="s">
        <v>3</v>
      </c>
      <c r="N69" s="18" t="s">
        <v>3</v>
      </c>
      <c r="O69" s="18" t="s">
        <v>3</v>
      </c>
      <c r="P69" s="18" t="s">
        <v>3</v>
      </c>
      <c r="Q69" s="18" t="s">
        <v>3</v>
      </c>
      <c r="R69" s="18" t="s">
        <v>3</v>
      </c>
      <c r="S69" s="18" t="s">
        <v>3</v>
      </c>
      <c r="T69" s="18" t="s">
        <v>3</v>
      </c>
      <c r="U69" s="18" t="s">
        <v>3</v>
      </c>
      <c r="V69" s="18" t="s">
        <v>3</v>
      </c>
      <c r="W69" s="18" t="s">
        <v>3</v>
      </c>
      <c r="X69" s="18" t="s">
        <v>3</v>
      </c>
      <c r="Y69" s="18" t="s">
        <v>3</v>
      </c>
      <c r="Z69" s="18" t="s">
        <v>3</v>
      </c>
      <c r="AA69" s="18" t="s">
        <v>3</v>
      </c>
      <c r="AB69" s="18" t="s">
        <v>3</v>
      </c>
      <c r="AC69" s="18" t="s">
        <v>3</v>
      </c>
      <c r="AD69" s="18" t="s">
        <v>3</v>
      </c>
      <c r="AE69" s="18" t="s">
        <v>3</v>
      </c>
      <c r="AF69" s="18" t="s">
        <v>3</v>
      </c>
      <c r="AG69" s="18" t="s">
        <v>3</v>
      </c>
      <c r="AH69" s="18" t="s">
        <v>3</v>
      </c>
      <c r="AI69" s="18" t="s">
        <v>3</v>
      </c>
      <c r="AJ69" s="18" t="s">
        <v>3</v>
      </c>
      <c r="AK69" s="18" t="s">
        <v>3</v>
      </c>
      <c r="AL69" s="26">
        <v>105</v>
      </c>
      <c r="AM69" s="71">
        <v>130</v>
      </c>
      <c r="AN69" s="71">
        <v>129</v>
      </c>
      <c r="AO69" s="71">
        <v>131</v>
      </c>
      <c r="AP69" s="71">
        <f>126+9</f>
        <v>135</v>
      </c>
      <c r="AQ69" s="71">
        <f>126+9</f>
        <v>135</v>
      </c>
      <c r="AR69" s="71">
        <v>143</v>
      </c>
      <c r="AS69" s="71">
        <v>137</v>
      </c>
      <c r="AT69" s="71">
        <v>135</v>
      </c>
      <c r="AU69" s="28">
        <v>134</v>
      </c>
      <c r="AV69" s="30">
        <v>137</v>
      </c>
      <c r="AW69" s="30">
        <v>136</v>
      </c>
      <c r="AX69" s="68">
        <v>138</v>
      </c>
      <c r="AY69" s="162">
        <v>141</v>
      </c>
      <c r="AZ69" s="162">
        <v>149</v>
      </c>
      <c r="BA69" s="292">
        <v>140</v>
      </c>
      <c r="BB69" s="292">
        <v>134</v>
      </c>
      <c r="BC69" s="292">
        <f>131+5</f>
        <v>136</v>
      </c>
      <c r="BD69" s="379">
        <v>131</v>
      </c>
      <c r="BE69" s="379">
        <v>137</v>
      </c>
      <c r="BF69" s="379">
        <v>136</v>
      </c>
      <c r="BG69" s="379">
        <v>134</v>
      </c>
      <c r="BH69" s="379">
        <v>142</v>
      </c>
      <c r="BI69" s="385">
        <f>(BG69-BF69)/BF69</f>
        <v>-1.4705882352941176E-2</v>
      </c>
      <c r="BJ69" s="385">
        <f>(BH69-BG69)/BG69</f>
        <v>5.9701492537313432E-2</v>
      </c>
      <c r="BK69" s="569">
        <f>BG69-BF69</f>
        <v>-2</v>
      </c>
      <c r="BL69" s="569">
        <f>BH69-BG69</f>
        <v>8</v>
      </c>
      <c r="BM69" s="331"/>
      <c r="BN69" s="331"/>
    </row>
    <row r="70" spans="1:66" ht="6" customHeight="1">
      <c r="A70" s="125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M70" s="71"/>
      <c r="AN70" s="71"/>
      <c r="AO70" s="71"/>
      <c r="AP70" s="71"/>
      <c r="AQ70" s="71"/>
      <c r="AR70" s="55"/>
      <c r="AS70" s="71"/>
      <c r="AT70" s="71"/>
      <c r="AU70" s="71"/>
      <c r="AV70" s="158"/>
      <c r="AW70" s="205"/>
      <c r="AX70" s="237"/>
      <c r="AY70" s="205"/>
      <c r="AZ70" s="310"/>
      <c r="BA70" s="292"/>
      <c r="BB70" s="292"/>
      <c r="BC70" s="292"/>
      <c r="BD70" s="311"/>
      <c r="BE70" s="311"/>
      <c r="BF70" s="311"/>
      <c r="BG70" s="311"/>
      <c r="BH70" s="311"/>
      <c r="BI70" s="385"/>
      <c r="BJ70" s="385"/>
      <c r="BK70" s="571"/>
      <c r="BL70" s="571"/>
      <c r="BM70" s="331"/>
      <c r="BN70" s="331"/>
    </row>
    <row r="71" spans="1:66" ht="11.1" customHeight="1">
      <c r="A71" s="125" t="s">
        <v>21</v>
      </c>
      <c r="B71" s="162" t="s">
        <v>3</v>
      </c>
      <c r="C71" s="162" t="s">
        <v>3</v>
      </c>
      <c r="D71" s="162" t="s">
        <v>3</v>
      </c>
      <c r="E71" s="162" t="s">
        <v>3</v>
      </c>
      <c r="F71" s="162" t="s">
        <v>3</v>
      </c>
      <c r="G71" s="162" t="s">
        <v>3</v>
      </c>
      <c r="H71" s="162" t="s">
        <v>3</v>
      </c>
      <c r="I71" s="162" t="s">
        <v>3</v>
      </c>
      <c r="J71" s="162" t="s">
        <v>3</v>
      </c>
      <c r="K71" s="162" t="s">
        <v>3</v>
      </c>
      <c r="L71" s="14">
        <v>279</v>
      </c>
      <c r="M71" s="14">
        <v>272</v>
      </c>
      <c r="N71" s="14">
        <v>281</v>
      </c>
      <c r="O71" s="14">
        <v>275</v>
      </c>
      <c r="P71" s="14">
        <v>277</v>
      </c>
      <c r="Q71" s="14">
        <v>288</v>
      </c>
      <c r="R71" s="14">
        <v>303</v>
      </c>
      <c r="S71" s="14">
        <v>357</v>
      </c>
      <c r="T71" s="14">
        <v>388</v>
      </c>
      <c r="U71" s="14">
        <v>375</v>
      </c>
      <c r="V71" s="14">
        <v>387</v>
      </c>
      <c r="W71" s="14">
        <v>370</v>
      </c>
      <c r="X71" s="14">
        <v>305</v>
      </c>
      <c r="Y71" s="14">
        <v>314</v>
      </c>
      <c r="Z71" s="14">
        <v>331</v>
      </c>
      <c r="AA71" s="14">
        <v>336</v>
      </c>
      <c r="AB71" s="14">
        <v>323</v>
      </c>
      <c r="AC71" s="14">
        <v>324</v>
      </c>
      <c r="AD71" s="14">
        <v>324</v>
      </c>
      <c r="AE71" s="14">
        <v>324</v>
      </c>
      <c r="AF71" s="14">
        <v>325</v>
      </c>
      <c r="AG71" s="14">
        <v>344</v>
      </c>
      <c r="AH71" s="14">
        <v>352</v>
      </c>
      <c r="AI71" s="14">
        <v>373</v>
      </c>
      <c r="AJ71" s="14">
        <v>356</v>
      </c>
      <c r="AK71" s="14">
        <v>354</v>
      </c>
      <c r="AL71" s="14">
        <v>360</v>
      </c>
      <c r="AM71" s="75">
        <v>368</v>
      </c>
      <c r="AN71" s="75">
        <v>414</v>
      </c>
      <c r="AO71" s="75">
        <v>439</v>
      </c>
      <c r="AP71" s="75">
        <v>421</v>
      </c>
      <c r="AQ71" s="75">
        <v>418</v>
      </c>
      <c r="AR71" s="44">
        <v>424</v>
      </c>
      <c r="AS71" s="75">
        <v>422</v>
      </c>
      <c r="AT71" s="75">
        <v>418</v>
      </c>
      <c r="AU71" s="32">
        <v>417</v>
      </c>
      <c r="AV71" s="47">
        <v>387</v>
      </c>
      <c r="AW71" s="229">
        <v>377</v>
      </c>
      <c r="AX71" s="233">
        <v>388</v>
      </c>
      <c r="AY71" s="243">
        <v>393</v>
      </c>
      <c r="AZ71" s="243">
        <v>384</v>
      </c>
      <c r="BA71" s="379">
        <v>403</v>
      </c>
      <c r="BB71" s="379">
        <v>412</v>
      </c>
      <c r="BC71" s="379">
        <v>412</v>
      </c>
      <c r="BD71" s="379">
        <v>402</v>
      </c>
      <c r="BE71" s="379">
        <v>418</v>
      </c>
      <c r="BF71" s="379">
        <v>419</v>
      </c>
      <c r="BG71" s="379">
        <v>423</v>
      </c>
      <c r="BH71" s="379">
        <v>418</v>
      </c>
      <c r="BI71" s="385">
        <f>(BG71-BF71)/BF71</f>
        <v>9.5465393794749408E-3</v>
      </c>
      <c r="BJ71" s="385">
        <f>(BH71-BG71)/BG71</f>
        <v>-1.1820330969267139E-2</v>
      </c>
      <c r="BK71" s="569">
        <f>BG71-BF71</f>
        <v>4</v>
      </c>
      <c r="BL71" s="569">
        <f>BH71-BG71</f>
        <v>-5</v>
      </c>
      <c r="BM71" s="331"/>
      <c r="BN71" s="331"/>
    </row>
    <row r="72" spans="1:66" ht="16.2" thickBot="1">
      <c r="A72" s="404" t="s">
        <v>61</v>
      </c>
      <c r="B72" s="150">
        <f t="shared" ref="B72:K72" si="23">SUM(B67:B71)</f>
        <v>3928</v>
      </c>
      <c r="C72" s="150">
        <f t="shared" si="23"/>
        <v>6043</v>
      </c>
      <c r="D72" s="150">
        <f t="shared" si="23"/>
        <v>6756</v>
      </c>
      <c r="E72" s="150">
        <f t="shared" si="23"/>
        <v>7254</v>
      </c>
      <c r="F72" s="150">
        <f t="shared" si="23"/>
        <v>7365</v>
      </c>
      <c r="G72" s="150">
        <f t="shared" si="23"/>
        <v>7205</v>
      </c>
      <c r="H72" s="150">
        <f t="shared" si="23"/>
        <v>6950</v>
      </c>
      <c r="I72" s="150">
        <f t="shared" si="23"/>
        <v>7080</v>
      </c>
      <c r="J72" s="150">
        <f t="shared" si="23"/>
        <v>7796</v>
      </c>
      <c r="K72" s="150">
        <f t="shared" si="23"/>
        <v>7804</v>
      </c>
      <c r="L72" s="150">
        <f>SUM(L67:L71)</f>
        <v>7788</v>
      </c>
      <c r="M72" s="150">
        <f t="shared" ref="M72:AT72" si="24">SUM(M67:M71)</f>
        <v>8676</v>
      </c>
      <c r="N72" s="150">
        <f t="shared" si="24"/>
        <v>8333</v>
      </c>
      <c r="O72" s="150">
        <f t="shared" si="24"/>
        <v>8724</v>
      </c>
      <c r="P72" s="150">
        <f t="shared" si="24"/>
        <v>8379</v>
      </c>
      <c r="Q72" s="150">
        <f t="shared" si="24"/>
        <v>8271</v>
      </c>
      <c r="R72" s="150">
        <f t="shared" si="24"/>
        <v>8380</v>
      </c>
      <c r="S72" s="150">
        <f t="shared" si="24"/>
        <v>8303</v>
      </c>
      <c r="T72" s="150">
        <f t="shared" si="24"/>
        <v>8368</v>
      </c>
      <c r="U72" s="150">
        <f t="shared" si="24"/>
        <v>8403</v>
      </c>
      <c r="V72" s="150">
        <f t="shared" si="24"/>
        <v>8401</v>
      </c>
      <c r="W72" s="150">
        <f t="shared" si="24"/>
        <v>7622</v>
      </c>
      <c r="X72" s="150">
        <f t="shared" si="24"/>
        <v>6584</v>
      </c>
      <c r="Y72" s="150">
        <f t="shared" si="24"/>
        <v>6161</v>
      </c>
      <c r="Z72" s="150">
        <f t="shared" si="24"/>
        <v>6173</v>
      </c>
      <c r="AA72" s="150">
        <f t="shared" si="24"/>
        <v>6099</v>
      </c>
      <c r="AB72" s="150">
        <f t="shared" si="24"/>
        <v>6247</v>
      </c>
      <c r="AC72" s="150">
        <f t="shared" si="24"/>
        <v>6599</v>
      </c>
      <c r="AD72" s="150">
        <f t="shared" si="24"/>
        <v>6959</v>
      </c>
      <c r="AE72" s="150">
        <f t="shared" si="24"/>
        <v>7551</v>
      </c>
      <c r="AF72" s="150">
        <f t="shared" si="24"/>
        <v>7550</v>
      </c>
      <c r="AG72" s="150">
        <f t="shared" si="24"/>
        <v>7612</v>
      </c>
      <c r="AH72" s="150">
        <f t="shared" si="24"/>
        <v>8436</v>
      </c>
      <c r="AI72" s="150">
        <f t="shared" si="24"/>
        <v>8542</v>
      </c>
      <c r="AJ72" s="150">
        <f t="shared" si="24"/>
        <v>8200</v>
      </c>
      <c r="AK72" s="150">
        <f t="shared" si="24"/>
        <v>7699</v>
      </c>
      <c r="AL72" s="150">
        <f t="shared" si="24"/>
        <v>8675</v>
      </c>
      <c r="AM72" s="150">
        <f t="shared" si="24"/>
        <v>8458</v>
      </c>
      <c r="AN72" s="150">
        <f t="shared" si="24"/>
        <v>8906</v>
      </c>
      <c r="AO72" s="150">
        <f t="shared" si="24"/>
        <v>9140</v>
      </c>
      <c r="AP72" s="150">
        <f t="shared" si="24"/>
        <v>9040.8085608358615</v>
      </c>
      <c r="AQ72" s="150">
        <f t="shared" si="24"/>
        <v>8937.8769943997322</v>
      </c>
      <c r="AR72" s="150">
        <f t="shared" si="24"/>
        <v>9642.1294503675999</v>
      </c>
      <c r="AS72" s="150">
        <f t="shared" si="24"/>
        <v>8999.5391849529769</v>
      </c>
      <c r="AT72" s="150">
        <f t="shared" si="24"/>
        <v>8693.3738317757015</v>
      </c>
      <c r="AU72" s="150">
        <f t="shared" ref="AU72:BA72" si="25">SUM(AU67:AU71)</f>
        <v>8451</v>
      </c>
      <c r="AV72" s="255">
        <f t="shared" si="25"/>
        <v>8543</v>
      </c>
      <c r="AW72" s="255">
        <f t="shared" si="25"/>
        <v>8410</v>
      </c>
      <c r="AX72" s="255">
        <f t="shared" si="25"/>
        <v>8847</v>
      </c>
      <c r="AY72" s="255">
        <f t="shared" si="25"/>
        <v>9300</v>
      </c>
      <c r="AZ72" s="261">
        <f t="shared" si="25"/>
        <v>9543</v>
      </c>
      <c r="BA72" s="397">
        <f t="shared" si="25"/>
        <v>9604</v>
      </c>
      <c r="BB72" s="397">
        <f t="shared" ref="BB72:BH72" si="26">SUM(BB67:BB71)</f>
        <v>9471</v>
      </c>
      <c r="BC72" s="397">
        <f t="shared" si="26"/>
        <v>9376</v>
      </c>
      <c r="BD72" s="523">
        <f t="shared" si="26"/>
        <v>8842</v>
      </c>
      <c r="BE72" s="523">
        <f t="shared" si="26"/>
        <v>8960</v>
      </c>
      <c r="BF72" s="523">
        <f t="shared" si="26"/>
        <v>9093</v>
      </c>
      <c r="BG72" s="523">
        <f t="shared" si="26"/>
        <v>9239</v>
      </c>
      <c r="BH72" s="523">
        <f t="shared" si="26"/>
        <v>9300</v>
      </c>
      <c r="BI72" s="422">
        <f>(BG72-BF72)/BF72</f>
        <v>1.6056307049378642E-2</v>
      </c>
      <c r="BJ72" s="422">
        <f>(BH72-BG72)/BG72</f>
        <v>6.6024461521809723E-3</v>
      </c>
      <c r="BK72" s="574">
        <f>BG72-BF72</f>
        <v>146</v>
      </c>
      <c r="BL72" s="574">
        <f>BH72-BG72</f>
        <v>61</v>
      </c>
      <c r="BM72" s="331"/>
      <c r="BN72" s="331"/>
    </row>
    <row r="73" spans="1:66" ht="11.1" customHeight="1">
      <c r="A73" s="125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M73" s="71"/>
      <c r="AN73" s="71"/>
      <c r="AO73" s="71"/>
      <c r="AP73" s="71"/>
      <c r="AQ73" s="71"/>
      <c r="AR73" s="71"/>
      <c r="AS73" s="71"/>
      <c r="AT73" s="71"/>
      <c r="AU73" s="71"/>
      <c r="AV73" s="158"/>
      <c r="AW73" s="256"/>
      <c r="AX73" s="237"/>
      <c r="AY73" s="205"/>
      <c r="AZ73" s="310"/>
      <c r="BA73" s="292"/>
      <c r="BB73" s="292"/>
      <c r="BC73" s="292"/>
      <c r="BD73" s="311"/>
      <c r="BE73" s="311"/>
      <c r="BF73" s="311"/>
      <c r="BG73" s="311"/>
      <c r="BH73" s="311"/>
      <c r="BI73" s="419"/>
      <c r="BJ73" s="419"/>
      <c r="BM73" s="331"/>
      <c r="BN73" s="331"/>
    </row>
    <row r="74" spans="1:66" ht="15.75" customHeight="1">
      <c r="A74" s="167" t="s">
        <v>83</v>
      </c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X74"/>
      <c r="BA74"/>
      <c r="BB74"/>
      <c r="BC74"/>
      <c r="BD74"/>
      <c r="BE74"/>
      <c r="BF74" s="182"/>
      <c r="BG74" s="182"/>
      <c r="BH74" s="182"/>
      <c r="BI74" s="419"/>
      <c r="BJ74" s="419"/>
      <c r="BM74" s="331"/>
      <c r="BN74" s="331"/>
    </row>
    <row r="75" spans="1:66" ht="6" customHeight="1">
      <c r="A75" s="125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M75" s="71"/>
      <c r="AN75" s="71"/>
      <c r="AO75" s="71"/>
      <c r="AP75" s="71"/>
      <c r="AQ75" s="71"/>
      <c r="AR75" s="71"/>
      <c r="AS75" s="71"/>
      <c r="AT75" s="71"/>
      <c r="AU75" s="71"/>
      <c r="AV75" s="158"/>
      <c r="AW75" s="256"/>
      <c r="AX75" s="237"/>
      <c r="AY75" s="205"/>
      <c r="AZ75" s="310"/>
      <c r="BA75" s="292"/>
      <c r="BB75" s="292"/>
      <c r="BC75" s="475"/>
      <c r="BD75" s="311"/>
      <c r="BE75" s="311"/>
      <c r="BF75" s="311"/>
      <c r="BG75" s="311"/>
      <c r="BH75" s="311"/>
      <c r="BI75" s="419"/>
      <c r="BJ75" s="419"/>
      <c r="BM75" s="331"/>
      <c r="BN75" s="331"/>
    </row>
    <row r="76" spans="1:66" ht="11.1" customHeight="1">
      <c r="A76" s="126" t="s">
        <v>39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M76" s="71"/>
      <c r="AN76" s="71"/>
      <c r="AO76" s="71"/>
      <c r="AP76" s="71"/>
      <c r="AQ76" s="71"/>
      <c r="AR76" s="71"/>
      <c r="AS76" s="71"/>
      <c r="AT76" s="28"/>
      <c r="AU76" s="28"/>
      <c r="AV76" s="30"/>
      <c r="AW76" s="257"/>
      <c r="AX76" s="68"/>
      <c r="AY76" s="162"/>
      <c r="AZ76" s="310"/>
      <c r="BA76" s="292"/>
      <c r="BB76" s="292"/>
      <c r="BC76" s="475"/>
      <c r="BD76" s="311"/>
      <c r="BE76" s="311"/>
      <c r="BF76" s="311"/>
      <c r="BG76" s="311"/>
      <c r="BH76" s="311"/>
      <c r="BI76" s="419"/>
      <c r="BJ76" s="419"/>
      <c r="BM76" s="331"/>
      <c r="BN76" s="331"/>
    </row>
    <row r="77" spans="1:66" ht="11.1" customHeight="1">
      <c r="A77" s="129" t="s">
        <v>120</v>
      </c>
      <c r="B77" s="28">
        <v>1685</v>
      </c>
      <c r="C77" s="28">
        <v>1679</v>
      </c>
      <c r="D77" s="28">
        <v>2139</v>
      </c>
      <c r="E77" s="28">
        <v>2211</v>
      </c>
      <c r="F77" s="28">
        <v>2189</v>
      </c>
      <c r="G77" s="28">
        <v>2184</v>
      </c>
      <c r="H77" s="28">
        <v>2163</v>
      </c>
      <c r="I77" s="28">
        <v>2258</v>
      </c>
      <c r="J77" s="28">
        <v>2439</v>
      </c>
      <c r="K77" s="28">
        <v>2631</v>
      </c>
      <c r="L77" s="12">
        <v>2135</v>
      </c>
      <c r="M77" s="12">
        <v>1426</v>
      </c>
      <c r="N77" s="12">
        <v>1922</v>
      </c>
      <c r="O77" s="12">
        <v>1443</v>
      </c>
      <c r="P77" s="12">
        <v>1609</v>
      </c>
      <c r="Q77" s="12">
        <v>1715</v>
      </c>
      <c r="R77" s="12">
        <v>1831</v>
      </c>
      <c r="S77" s="12">
        <v>1933</v>
      </c>
      <c r="T77" s="12">
        <v>2168</v>
      </c>
      <c r="U77" s="12">
        <v>3417</v>
      </c>
      <c r="V77" s="12">
        <v>3372</v>
      </c>
      <c r="W77" s="12">
        <v>2963</v>
      </c>
      <c r="X77" s="12">
        <v>2375</v>
      </c>
      <c r="Y77" s="12">
        <v>2404</v>
      </c>
      <c r="Z77" s="12">
        <v>2232</v>
      </c>
      <c r="AA77" s="12">
        <v>2307</v>
      </c>
      <c r="AB77" s="12">
        <v>2377</v>
      </c>
      <c r="AC77" s="12">
        <v>2294</v>
      </c>
      <c r="AD77" s="12">
        <v>2341</v>
      </c>
      <c r="AE77" s="12">
        <v>2410</v>
      </c>
      <c r="AF77" s="12">
        <v>2335</v>
      </c>
      <c r="AG77" s="12">
        <v>2208</v>
      </c>
      <c r="AH77" s="12">
        <v>2139</v>
      </c>
      <c r="AI77" s="12">
        <v>2070</v>
      </c>
      <c r="AJ77" s="12">
        <v>2035</v>
      </c>
      <c r="AK77" s="12">
        <v>2148</v>
      </c>
      <c r="AL77" s="12">
        <v>2352</v>
      </c>
      <c r="AM77" s="71">
        <v>2444</v>
      </c>
      <c r="AN77" s="71">
        <v>2131</v>
      </c>
      <c r="AO77" s="71">
        <v>2125</v>
      </c>
      <c r="AP77" s="71">
        <v>2210.5026737967914</v>
      </c>
      <c r="AQ77" s="71">
        <v>2219.168246445498</v>
      </c>
      <c r="AR77" s="93">
        <v>2211</v>
      </c>
      <c r="AS77" s="93">
        <v>2111</v>
      </c>
      <c r="AT77" s="93">
        <v>2018</v>
      </c>
      <c r="AU77" s="93">
        <v>1919</v>
      </c>
      <c r="AV77" s="258">
        <v>1901</v>
      </c>
      <c r="AW77" s="259">
        <v>1899.8815489749429</v>
      </c>
      <c r="AX77" s="233">
        <v>1926.520738081213</v>
      </c>
      <c r="AY77" s="233">
        <v>1968</v>
      </c>
      <c r="AZ77" s="233">
        <v>2500</v>
      </c>
      <c r="BA77" s="369">
        <v>2152</v>
      </c>
      <c r="BB77" s="369" t="s">
        <v>3</v>
      </c>
      <c r="BC77" s="369" t="s">
        <v>3</v>
      </c>
      <c r="BD77" s="430" t="s">
        <v>3</v>
      </c>
      <c r="BE77" s="430" t="s">
        <v>3</v>
      </c>
      <c r="BF77" s="315" t="s">
        <v>3</v>
      </c>
      <c r="BG77" s="315" t="s">
        <v>3</v>
      </c>
      <c r="BH77" s="315"/>
      <c r="BI77" s="419" t="s">
        <v>9</v>
      </c>
      <c r="BJ77" s="419" t="s">
        <v>9</v>
      </c>
      <c r="BK77" s="419" t="s">
        <v>9</v>
      </c>
      <c r="BL77" s="419" t="s">
        <v>9</v>
      </c>
      <c r="BM77" s="331"/>
      <c r="BN77" s="331"/>
    </row>
    <row r="78" spans="1:66" ht="11.1" customHeight="1">
      <c r="A78" s="295" t="s">
        <v>108</v>
      </c>
      <c r="B78" s="30" t="s">
        <v>3</v>
      </c>
      <c r="C78" s="30" t="s">
        <v>3</v>
      </c>
      <c r="D78" s="30" t="s">
        <v>3</v>
      </c>
      <c r="E78" s="30" t="s">
        <v>3</v>
      </c>
      <c r="F78" s="30" t="s">
        <v>3</v>
      </c>
      <c r="G78" s="30" t="s">
        <v>3</v>
      </c>
      <c r="H78" s="30" t="s">
        <v>3</v>
      </c>
      <c r="I78" s="30" t="s">
        <v>3</v>
      </c>
      <c r="J78" s="30" t="s">
        <v>3</v>
      </c>
      <c r="K78" s="30" t="s">
        <v>3</v>
      </c>
      <c r="L78" s="30" t="s">
        <v>3</v>
      </c>
      <c r="M78" s="30" t="s">
        <v>3</v>
      </c>
      <c r="N78" s="30" t="s">
        <v>3</v>
      </c>
      <c r="O78" s="30" t="s">
        <v>3</v>
      </c>
      <c r="P78" s="30" t="s">
        <v>3</v>
      </c>
      <c r="Q78" s="30" t="s">
        <v>3</v>
      </c>
      <c r="R78" s="30" t="s">
        <v>3</v>
      </c>
      <c r="S78" s="30" t="s">
        <v>3</v>
      </c>
      <c r="T78" s="30" t="s">
        <v>3</v>
      </c>
      <c r="U78" s="30" t="s">
        <v>3</v>
      </c>
      <c r="V78" s="30" t="s">
        <v>3</v>
      </c>
      <c r="W78" s="30" t="s">
        <v>3</v>
      </c>
      <c r="X78" s="30" t="s">
        <v>3</v>
      </c>
      <c r="Y78" s="30" t="s">
        <v>3</v>
      </c>
      <c r="Z78" s="30" t="s">
        <v>3</v>
      </c>
      <c r="AA78" s="30" t="s">
        <v>3</v>
      </c>
      <c r="AB78" s="30" t="s">
        <v>3</v>
      </c>
      <c r="AC78" s="30" t="s">
        <v>3</v>
      </c>
      <c r="AD78" s="30" t="s">
        <v>3</v>
      </c>
      <c r="AE78" s="30" t="s">
        <v>3</v>
      </c>
      <c r="AF78" s="30" t="s">
        <v>3</v>
      </c>
      <c r="AG78" s="30" t="s">
        <v>3</v>
      </c>
      <c r="AH78" s="30" t="s">
        <v>3</v>
      </c>
      <c r="AI78" s="30" t="s">
        <v>3</v>
      </c>
      <c r="AJ78" s="30" t="s">
        <v>3</v>
      </c>
      <c r="AK78" s="30" t="s">
        <v>3</v>
      </c>
      <c r="AL78" s="30" t="s">
        <v>3</v>
      </c>
      <c r="AM78" s="30" t="s">
        <v>3</v>
      </c>
      <c r="AN78" s="30" t="s">
        <v>3</v>
      </c>
      <c r="AO78" s="30" t="s">
        <v>3</v>
      </c>
      <c r="AP78" s="30" t="s">
        <v>3</v>
      </c>
      <c r="AQ78" s="30" t="s">
        <v>3</v>
      </c>
      <c r="AR78" s="30" t="s">
        <v>3</v>
      </c>
      <c r="AS78" s="30" t="s">
        <v>3</v>
      </c>
      <c r="AT78" s="30" t="s">
        <v>3</v>
      </c>
      <c r="AU78" s="30" t="s">
        <v>3</v>
      </c>
      <c r="AV78" s="30" t="s">
        <v>3</v>
      </c>
      <c r="AW78" s="30" t="s">
        <v>3</v>
      </c>
      <c r="AX78" s="30" t="s">
        <v>3</v>
      </c>
      <c r="AY78" s="30" t="s">
        <v>3</v>
      </c>
      <c r="AZ78" s="30" t="s">
        <v>3</v>
      </c>
      <c r="BA78" s="314" t="s">
        <v>3</v>
      </c>
      <c r="BB78" s="345">
        <v>1809</v>
      </c>
      <c r="BC78" s="345">
        <v>1799</v>
      </c>
      <c r="BD78" s="314">
        <f>1332+395</f>
        <v>1727</v>
      </c>
      <c r="BE78" s="314">
        <f>1367+376</f>
        <v>1743</v>
      </c>
      <c r="BF78" s="401">
        <v>1359</v>
      </c>
      <c r="BG78" s="401">
        <v>1404</v>
      </c>
      <c r="BH78" s="401">
        <v>1393</v>
      </c>
      <c r="BI78" s="385">
        <f>(BG78-BF78)/BF78</f>
        <v>3.3112582781456956E-2</v>
      </c>
      <c r="BJ78" s="385">
        <f>(BH78-BG78)/BG78</f>
        <v>-7.8347578347578353E-3</v>
      </c>
      <c r="BK78" s="569">
        <f>BG78-BF78</f>
        <v>45</v>
      </c>
      <c r="BL78" s="569">
        <f>BH78-BG78</f>
        <v>-11</v>
      </c>
      <c r="BM78" s="331"/>
      <c r="BN78" s="331"/>
    </row>
    <row r="79" spans="1:66" ht="11.1" customHeight="1">
      <c r="A79" s="129" t="s">
        <v>107</v>
      </c>
      <c r="B79" s="30" t="s">
        <v>3</v>
      </c>
      <c r="C79" s="30" t="s">
        <v>3</v>
      </c>
      <c r="D79" s="30" t="s">
        <v>3</v>
      </c>
      <c r="E79" s="30" t="s">
        <v>3</v>
      </c>
      <c r="F79" s="30" t="s">
        <v>3</v>
      </c>
      <c r="G79" s="30" t="s">
        <v>3</v>
      </c>
      <c r="H79" s="30" t="s">
        <v>3</v>
      </c>
      <c r="I79" s="30" t="s">
        <v>3</v>
      </c>
      <c r="J79" s="30" t="s">
        <v>3</v>
      </c>
      <c r="K79" s="30" t="s">
        <v>3</v>
      </c>
      <c r="L79" s="30" t="s">
        <v>3</v>
      </c>
      <c r="M79" s="30" t="s">
        <v>3</v>
      </c>
      <c r="N79" s="30" t="s">
        <v>3</v>
      </c>
      <c r="O79" s="30" t="s">
        <v>3</v>
      </c>
      <c r="P79" s="30" t="s">
        <v>3</v>
      </c>
      <c r="Q79" s="30" t="s">
        <v>3</v>
      </c>
      <c r="R79" s="30" t="s">
        <v>3</v>
      </c>
      <c r="S79" s="30" t="s">
        <v>3</v>
      </c>
      <c r="T79" s="30" t="s">
        <v>3</v>
      </c>
      <c r="U79" s="30" t="s">
        <v>3</v>
      </c>
      <c r="V79" s="30" t="s">
        <v>3</v>
      </c>
      <c r="W79" s="30" t="s">
        <v>3</v>
      </c>
      <c r="X79" s="30" t="s">
        <v>3</v>
      </c>
      <c r="Y79" s="30" t="s">
        <v>3</v>
      </c>
      <c r="Z79" s="30" t="s">
        <v>3</v>
      </c>
      <c r="AA79" s="30" t="s">
        <v>3</v>
      </c>
      <c r="AB79" s="30" t="s">
        <v>3</v>
      </c>
      <c r="AC79" s="30" t="s">
        <v>3</v>
      </c>
      <c r="AD79" s="30" t="s">
        <v>3</v>
      </c>
      <c r="AE79" s="30" t="s">
        <v>3</v>
      </c>
      <c r="AF79" s="30" t="s">
        <v>3</v>
      </c>
      <c r="AG79" s="30" t="s">
        <v>3</v>
      </c>
      <c r="AH79" s="30" t="s">
        <v>3</v>
      </c>
      <c r="AI79" s="30" t="s">
        <v>3</v>
      </c>
      <c r="AJ79" s="30" t="s">
        <v>3</v>
      </c>
      <c r="AK79" s="30" t="s">
        <v>3</v>
      </c>
      <c r="AL79" s="30" t="s">
        <v>3</v>
      </c>
      <c r="AM79" s="30" t="s">
        <v>3</v>
      </c>
      <c r="AN79" s="30" t="s">
        <v>3</v>
      </c>
      <c r="AO79" s="30" t="s">
        <v>3</v>
      </c>
      <c r="AP79" s="30" t="s">
        <v>3</v>
      </c>
      <c r="AQ79" s="30" t="s">
        <v>3</v>
      </c>
      <c r="AR79" s="30" t="s">
        <v>3</v>
      </c>
      <c r="AS79" s="30" t="s">
        <v>3</v>
      </c>
      <c r="AT79" s="30" t="s">
        <v>3</v>
      </c>
      <c r="AU79" s="30" t="s">
        <v>3</v>
      </c>
      <c r="AV79" s="30" t="s">
        <v>3</v>
      </c>
      <c r="AW79" s="30" t="s">
        <v>3</v>
      </c>
      <c r="AX79" s="30" t="s">
        <v>3</v>
      </c>
      <c r="AY79" s="30" t="s">
        <v>3</v>
      </c>
      <c r="AZ79" s="30" t="s">
        <v>3</v>
      </c>
      <c r="BA79" s="314" t="s">
        <v>3</v>
      </c>
      <c r="BB79" s="314">
        <v>743</v>
      </c>
      <c r="BC79" s="314">
        <v>726</v>
      </c>
      <c r="BD79" s="314">
        <v>683</v>
      </c>
      <c r="BE79" s="314">
        <v>620</v>
      </c>
      <c r="BF79" s="314">
        <v>581</v>
      </c>
      <c r="BG79" s="314">
        <v>571</v>
      </c>
      <c r="BH79" s="314">
        <v>440</v>
      </c>
      <c r="BI79" s="385">
        <f>(BG79-BF79)/BF79</f>
        <v>-1.7211703958691909E-2</v>
      </c>
      <c r="BJ79" s="385">
        <f>(BH79-BG79)/BG79</f>
        <v>-0.22942206654991243</v>
      </c>
      <c r="BK79" s="569">
        <f>BG79-BF79</f>
        <v>-10</v>
      </c>
      <c r="BL79" s="569">
        <f>BH79-BG79</f>
        <v>-131</v>
      </c>
      <c r="BM79" s="331"/>
      <c r="BN79" s="331"/>
    </row>
    <row r="80" spans="1:66" ht="11.1" customHeight="1">
      <c r="A80" s="129" t="s">
        <v>106</v>
      </c>
      <c r="B80" s="30" t="s">
        <v>3</v>
      </c>
      <c r="C80" s="30" t="s">
        <v>3</v>
      </c>
      <c r="D80" s="30" t="s">
        <v>3</v>
      </c>
      <c r="E80" s="28">
        <v>744</v>
      </c>
      <c r="F80" s="28">
        <v>743</v>
      </c>
      <c r="G80" s="28">
        <v>721</v>
      </c>
      <c r="H80" s="28">
        <v>701</v>
      </c>
      <c r="I80" s="28">
        <v>682</v>
      </c>
      <c r="J80" s="28">
        <v>664</v>
      </c>
      <c r="K80" s="28">
        <v>680</v>
      </c>
      <c r="L80" s="12">
        <v>877</v>
      </c>
      <c r="M80" s="12">
        <v>866</v>
      </c>
      <c r="N80" s="12">
        <v>1030</v>
      </c>
      <c r="O80" s="12">
        <v>1011</v>
      </c>
      <c r="P80" s="12">
        <v>964</v>
      </c>
      <c r="Q80" s="12">
        <v>1102</v>
      </c>
      <c r="R80" s="12">
        <v>1246</v>
      </c>
      <c r="S80" s="12">
        <v>1484</v>
      </c>
      <c r="T80" s="12">
        <v>1345</v>
      </c>
      <c r="U80" s="12">
        <v>1403</v>
      </c>
      <c r="V80" s="12">
        <v>1330</v>
      </c>
      <c r="W80" s="12">
        <v>1224</v>
      </c>
      <c r="X80" s="12">
        <v>1062</v>
      </c>
      <c r="Y80" s="12">
        <v>1022</v>
      </c>
      <c r="Z80" s="12">
        <v>1027</v>
      </c>
      <c r="AA80" s="12">
        <v>979</v>
      </c>
      <c r="AB80" s="12">
        <v>934</v>
      </c>
      <c r="AC80" s="12">
        <v>955</v>
      </c>
      <c r="AD80" s="12">
        <v>975</v>
      </c>
      <c r="AE80" s="12">
        <v>975</v>
      </c>
      <c r="AF80" s="12">
        <v>980</v>
      </c>
      <c r="AG80" s="12">
        <v>460</v>
      </c>
      <c r="AH80" s="12">
        <v>430</v>
      </c>
      <c r="AI80" s="12">
        <v>381</v>
      </c>
      <c r="AJ80" s="12">
        <v>391</v>
      </c>
      <c r="AK80" s="12">
        <v>358</v>
      </c>
      <c r="AL80" s="12">
        <v>12</v>
      </c>
      <c r="AM80" s="85" t="s">
        <v>3</v>
      </c>
      <c r="AN80" s="85" t="s">
        <v>3</v>
      </c>
      <c r="AO80" s="85" t="s">
        <v>3</v>
      </c>
      <c r="AP80" s="85" t="s">
        <v>3</v>
      </c>
      <c r="AQ80" s="85" t="s">
        <v>3</v>
      </c>
      <c r="AR80" s="85" t="s">
        <v>3</v>
      </c>
      <c r="AS80" s="85" t="s">
        <v>3</v>
      </c>
      <c r="AT80" s="215" t="s">
        <v>3</v>
      </c>
      <c r="AU80" s="215" t="s">
        <v>3</v>
      </c>
      <c r="AV80" s="215" t="s">
        <v>3</v>
      </c>
      <c r="AW80" s="30" t="s">
        <v>3</v>
      </c>
      <c r="AX80" s="68" t="s">
        <v>3</v>
      </c>
      <c r="AY80" s="68" t="s">
        <v>3</v>
      </c>
      <c r="AZ80" s="68" t="s">
        <v>3</v>
      </c>
      <c r="BA80" s="293" t="s">
        <v>3</v>
      </c>
      <c r="BB80" s="293" t="s">
        <v>3</v>
      </c>
      <c r="BC80" s="369" t="s">
        <v>3</v>
      </c>
      <c r="BD80" s="430" t="s">
        <v>3</v>
      </c>
      <c r="BE80" s="430" t="s">
        <v>3</v>
      </c>
      <c r="BF80" s="430" t="s">
        <v>3</v>
      </c>
      <c r="BG80" s="430" t="s">
        <v>3</v>
      </c>
      <c r="BH80" s="430"/>
      <c r="BI80" s="419" t="s">
        <v>9</v>
      </c>
      <c r="BJ80" s="419" t="s">
        <v>9</v>
      </c>
      <c r="BK80" s="571"/>
      <c r="BL80" s="571"/>
      <c r="BM80" s="331"/>
      <c r="BN80" s="331"/>
    </row>
    <row r="81" spans="1:255" ht="11.1" customHeight="1">
      <c r="A81" s="129" t="s">
        <v>109</v>
      </c>
      <c r="B81" s="18" t="s">
        <v>3</v>
      </c>
      <c r="C81" s="18" t="s">
        <v>3</v>
      </c>
      <c r="D81" s="18" t="s">
        <v>3</v>
      </c>
      <c r="E81" s="18" t="s">
        <v>3</v>
      </c>
      <c r="F81" s="18" t="s">
        <v>3</v>
      </c>
      <c r="G81" s="18" t="s">
        <v>3</v>
      </c>
      <c r="H81" s="18" t="s">
        <v>3</v>
      </c>
      <c r="I81" s="18" t="s">
        <v>3</v>
      </c>
      <c r="J81" s="18" t="s">
        <v>3</v>
      </c>
      <c r="K81" s="18" t="s">
        <v>3</v>
      </c>
      <c r="L81" s="18" t="s">
        <v>3</v>
      </c>
      <c r="M81" s="18" t="s">
        <v>3</v>
      </c>
      <c r="N81" s="18" t="s">
        <v>3</v>
      </c>
      <c r="O81" s="18" t="s">
        <v>3</v>
      </c>
      <c r="P81" s="18" t="s">
        <v>3</v>
      </c>
      <c r="Q81" s="18" t="s">
        <v>3</v>
      </c>
      <c r="R81" s="18" t="s">
        <v>3</v>
      </c>
      <c r="S81" s="18" t="s">
        <v>3</v>
      </c>
      <c r="T81" s="18" t="s">
        <v>3</v>
      </c>
      <c r="U81" s="18" t="s">
        <v>3</v>
      </c>
      <c r="V81" s="18" t="s">
        <v>3</v>
      </c>
      <c r="W81" s="18" t="s">
        <v>3</v>
      </c>
      <c r="X81" s="18" t="s">
        <v>3</v>
      </c>
      <c r="Y81" s="18" t="s">
        <v>3</v>
      </c>
      <c r="Z81" s="18" t="s">
        <v>3</v>
      </c>
      <c r="AA81" s="18" t="s">
        <v>3</v>
      </c>
      <c r="AB81" s="18" t="s">
        <v>3</v>
      </c>
      <c r="AC81" s="18" t="s">
        <v>3</v>
      </c>
      <c r="AD81" s="18" t="s">
        <v>3</v>
      </c>
      <c r="AE81" s="18" t="s">
        <v>3</v>
      </c>
      <c r="AF81" s="18" t="s">
        <v>3</v>
      </c>
      <c r="AG81" s="12">
        <v>552</v>
      </c>
      <c r="AH81" s="12">
        <v>580</v>
      </c>
      <c r="AI81" s="12">
        <v>582</v>
      </c>
      <c r="AJ81" s="12">
        <v>575</v>
      </c>
      <c r="AK81" s="12">
        <v>571</v>
      </c>
      <c r="AL81" s="12">
        <v>566</v>
      </c>
      <c r="AM81" s="71">
        <v>606</v>
      </c>
      <c r="AN81" s="71">
        <v>664</v>
      </c>
      <c r="AO81" s="71">
        <v>703</v>
      </c>
      <c r="AP81" s="71">
        <v>747</v>
      </c>
      <c r="AQ81" s="71">
        <v>773</v>
      </c>
      <c r="AR81" s="71">
        <v>848</v>
      </c>
      <c r="AS81" s="71">
        <v>878</v>
      </c>
      <c r="AT81" s="28">
        <v>841</v>
      </c>
      <c r="AU81" s="28">
        <v>827</v>
      </c>
      <c r="AV81" s="30">
        <v>840</v>
      </c>
      <c r="AW81" s="30">
        <v>829</v>
      </c>
      <c r="AX81" s="68">
        <v>837</v>
      </c>
      <c r="AY81" s="68">
        <v>852</v>
      </c>
      <c r="AZ81" s="68">
        <v>921</v>
      </c>
      <c r="BA81" s="293">
        <v>912</v>
      </c>
      <c r="BB81" s="293">
        <v>931</v>
      </c>
      <c r="BC81" s="293">
        <v>977</v>
      </c>
      <c r="BD81" s="314">
        <v>963</v>
      </c>
      <c r="BE81" s="314">
        <v>962</v>
      </c>
      <c r="BF81" s="314">
        <v>946</v>
      </c>
      <c r="BG81" s="314">
        <v>925</v>
      </c>
      <c r="BH81" s="314">
        <v>908</v>
      </c>
      <c r="BI81" s="385">
        <f t="shared" ref="BI81:BJ84" si="27">(BG81-BF81)/BF81</f>
        <v>-2.2198731501057084E-2</v>
      </c>
      <c r="BJ81" s="385">
        <f t="shared" si="27"/>
        <v>-1.8378378378378378E-2</v>
      </c>
      <c r="BK81" s="569">
        <f t="shared" ref="BK81:BL84" si="28">BG81-BF81</f>
        <v>-21</v>
      </c>
      <c r="BL81" s="569">
        <f t="shared" si="28"/>
        <v>-17</v>
      </c>
      <c r="BM81" s="331"/>
      <c r="BN81" s="331"/>
    </row>
    <row r="82" spans="1:255" ht="11.1" customHeight="1">
      <c r="A82" s="129" t="s">
        <v>110</v>
      </c>
      <c r="B82" s="28">
        <v>690</v>
      </c>
      <c r="C82" s="28">
        <v>763</v>
      </c>
      <c r="D82" s="28">
        <v>755</v>
      </c>
      <c r="E82" s="28">
        <v>788</v>
      </c>
      <c r="F82" s="28">
        <v>788</v>
      </c>
      <c r="G82" s="28">
        <v>814</v>
      </c>
      <c r="H82" s="28">
        <v>784</v>
      </c>
      <c r="I82" s="28">
        <v>797</v>
      </c>
      <c r="J82" s="28">
        <v>830</v>
      </c>
      <c r="K82" s="18">
        <v>857</v>
      </c>
      <c r="L82" s="12">
        <v>1401</v>
      </c>
      <c r="M82" s="12">
        <v>1869</v>
      </c>
      <c r="N82" s="12">
        <v>3450</v>
      </c>
      <c r="O82" s="12">
        <v>2444</v>
      </c>
      <c r="P82" s="12">
        <v>2548</v>
      </c>
      <c r="Q82" s="12">
        <v>2800</v>
      </c>
      <c r="R82" s="12">
        <v>3053</v>
      </c>
      <c r="S82" s="12">
        <v>3312</v>
      </c>
      <c r="T82" s="12">
        <v>3502</v>
      </c>
      <c r="U82" s="12">
        <v>3811</v>
      </c>
      <c r="V82" s="12">
        <v>3700</v>
      </c>
      <c r="W82" s="12">
        <v>3570</v>
      </c>
      <c r="X82" s="12">
        <v>3128</v>
      </c>
      <c r="Y82" s="12">
        <v>3172</v>
      </c>
      <c r="Z82" s="12">
        <v>3090</v>
      </c>
      <c r="AA82" s="12">
        <v>2964</v>
      </c>
      <c r="AB82" s="12">
        <v>2807</v>
      </c>
      <c r="AC82" s="12">
        <v>2764</v>
      </c>
      <c r="AD82" s="12">
        <v>2799</v>
      </c>
      <c r="AE82" s="12">
        <v>2671</v>
      </c>
      <c r="AF82" s="12">
        <v>2679</v>
      </c>
      <c r="AG82" s="12">
        <v>2532</v>
      </c>
      <c r="AH82" s="12">
        <v>2563</v>
      </c>
      <c r="AI82" s="12">
        <v>2365</v>
      </c>
      <c r="AJ82" s="12">
        <v>2518</v>
      </c>
      <c r="AK82" s="12">
        <v>2378</v>
      </c>
      <c r="AL82" s="12">
        <v>2258</v>
      </c>
      <c r="AM82" s="71">
        <v>2182</v>
      </c>
      <c r="AN82" s="71">
        <v>2145</v>
      </c>
      <c r="AO82" s="71">
        <v>2202</v>
      </c>
      <c r="AP82" s="71">
        <v>2202</v>
      </c>
      <c r="AQ82" s="71">
        <v>2254</v>
      </c>
      <c r="AR82" s="71">
        <v>2205</v>
      </c>
      <c r="AS82" s="71">
        <v>2197</v>
      </c>
      <c r="AT82" s="28">
        <v>2172</v>
      </c>
      <c r="AU82" s="28">
        <v>2109</v>
      </c>
      <c r="AV82" s="30">
        <v>2078</v>
      </c>
      <c r="AW82" s="30">
        <v>2161</v>
      </c>
      <c r="AX82" s="233">
        <v>2271</v>
      </c>
      <c r="AY82" s="233">
        <v>2374</v>
      </c>
      <c r="AZ82" s="233">
        <v>2362</v>
      </c>
      <c r="BA82" s="314">
        <v>2308</v>
      </c>
      <c r="BB82" s="314">
        <v>2357</v>
      </c>
      <c r="BC82" s="314">
        <v>2374</v>
      </c>
      <c r="BD82" s="314">
        <v>2286</v>
      </c>
      <c r="BE82" s="314">
        <v>2257</v>
      </c>
      <c r="BF82" s="314">
        <v>2250</v>
      </c>
      <c r="BG82" s="314">
        <v>2152</v>
      </c>
      <c r="BH82" s="314">
        <v>2110</v>
      </c>
      <c r="BI82" s="385">
        <f t="shared" si="27"/>
        <v>-4.3555555555555556E-2</v>
      </c>
      <c r="BJ82" s="385">
        <f t="shared" si="27"/>
        <v>-1.9516728624535316E-2</v>
      </c>
      <c r="BK82" s="569">
        <f t="shared" si="28"/>
        <v>-98</v>
      </c>
      <c r="BL82" s="569">
        <f t="shared" si="28"/>
        <v>-42</v>
      </c>
      <c r="BM82" s="331"/>
      <c r="BN82" s="331"/>
    </row>
    <row r="83" spans="1:255" ht="11.1" customHeight="1">
      <c r="A83" s="125" t="s">
        <v>16</v>
      </c>
      <c r="B83" s="18" t="s">
        <v>3</v>
      </c>
      <c r="C83" s="18" t="s">
        <v>3</v>
      </c>
      <c r="D83" s="18" t="s">
        <v>3</v>
      </c>
      <c r="E83" s="18" t="s">
        <v>3</v>
      </c>
      <c r="F83" s="18" t="s">
        <v>3</v>
      </c>
      <c r="G83" s="18" t="s">
        <v>3</v>
      </c>
      <c r="H83" s="18" t="s">
        <v>3</v>
      </c>
      <c r="I83" s="18" t="s">
        <v>3</v>
      </c>
      <c r="J83" s="18" t="s">
        <v>3</v>
      </c>
      <c r="K83" s="18" t="s">
        <v>3</v>
      </c>
      <c r="L83" s="86" t="s">
        <v>3</v>
      </c>
      <c r="M83" s="86" t="s">
        <v>3</v>
      </c>
      <c r="N83" s="86" t="s">
        <v>3</v>
      </c>
      <c r="O83" s="14">
        <v>1502</v>
      </c>
      <c r="P83" s="14">
        <v>1613</v>
      </c>
      <c r="Q83" s="14">
        <v>1910</v>
      </c>
      <c r="R83" s="14">
        <v>2240</v>
      </c>
      <c r="S83" s="14">
        <v>2555</v>
      </c>
      <c r="T83" s="14">
        <v>2831</v>
      </c>
      <c r="U83" s="14">
        <v>2911</v>
      </c>
      <c r="V83" s="14">
        <v>2950</v>
      </c>
      <c r="W83" s="14">
        <v>2734</v>
      </c>
      <c r="X83" s="14">
        <v>2314</v>
      </c>
      <c r="Y83" s="14">
        <v>2238</v>
      </c>
      <c r="Z83" s="14">
        <v>2289</v>
      </c>
      <c r="AA83" s="14">
        <v>2205</v>
      </c>
      <c r="AB83" s="14">
        <v>2199</v>
      </c>
      <c r="AC83" s="14">
        <v>2167</v>
      </c>
      <c r="AD83" s="14">
        <v>2344</v>
      </c>
      <c r="AE83" s="14">
        <v>2410</v>
      </c>
      <c r="AF83" s="14">
        <v>2431</v>
      </c>
      <c r="AG83" s="14">
        <v>2472</v>
      </c>
      <c r="AH83" s="14">
        <v>2473</v>
      </c>
      <c r="AI83" s="14">
        <v>2571</v>
      </c>
      <c r="AJ83" s="14">
        <v>2295</v>
      </c>
      <c r="AK83" s="14">
        <v>2196</v>
      </c>
      <c r="AL83" s="14">
        <v>2069</v>
      </c>
      <c r="AM83" s="71">
        <v>2118</v>
      </c>
      <c r="AN83" s="75">
        <v>2171</v>
      </c>
      <c r="AO83" s="75">
        <v>2154</v>
      </c>
      <c r="AP83" s="75">
        <f>2148+12</f>
        <v>2160</v>
      </c>
      <c r="AQ83" s="75">
        <f>2167+10</f>
        <v>2177</v>
      </c>
      <c r="AR83" s="75">
        <v>2257</v>
      </c>
      <c r="AS83" s="75">
        <v>2286</v>
      </c>
      <c r="AT83" s="32">
        <v>2227</v>
      </c>
      <c r="AU83" s="32">
        <v>2155</v>
      </c>
      <c r="AV83" s="47">
        <v>2096</v>
      </c>
      <c r="AW83" s="229">
        <f>(2055+3+1)</f>
        <v>2059</v>
      </c>
      <c r="AX83" s="68">
        <v>2089</v>
      </c>
      <c r="AY83" s="68">
        <v>2055</v>
      </c>
      <c r="AZ83" s="68">
        <v>2189</v>
      </c>
      <c r="BA83" s="293">
        <v>2273</v>
      </c>
      <c r="BB83" s="293">
        <v>2242</v>
      </c>
      <c r="BC83" s="293">
        <f>2223+3</f>
        <v>2226</v>
      </c>
      <c r="BD83" s="314">
        <v>2170</v>
      </c>
      <c r="BE83" s="314">
        <v>2135</v>
      </c>
      <c r="BF83" s="314">
        <v>2049</v>
      </c>
      <c r="BG83" s="314">
        <v>1999</v>
      </c>
      <c r="BH83" s="314">
        <v>1973</v>
      </c>
      <c r="BI83" s="385">
        <f t="shared" si="27"/>
        <v>-2.440214738897023E-2</v>
      </c>
      <c r="BJ83" s="385">
        <f t="shared" si="27"/>
        <v>-1.3006503251625813E-2</v>
      </c>
      <c r="BK83" s="569">
        <f t="shared" si="28"/>
        <v>-50</v>
      </c>
      <c r="BL83" s="569">
        <f t="shared" si="28"/>
        <v>-26</v>
      </c>
      <c r="BM83" s="331"/>
      <c r="BN83" s="331"/>
    </row>
    <row r="84" spans="1:255" ht="11.1" customHeight="1">
      <c r="A84" s="128" t="s">
        <v>32</v>
      </c>
      <c r="B84" s="95">
        <f t="shared" ref="B84:K84" si="29">SUM(B77:B83)</f>
        <v>2375</v>
      </c>
      <c r="C84" s="95">
        <f t="shared" si="29"/>
        <v>2442</v>
      </c>
      <c r="D84" s="95">
        <f t="shared" si="29"/>
        <v>2894</v>
      </c>
      <c r="E84" s="95">
        <f t="shared" si="29"/>
        <v>3743</v>
      </c>
      <c r="F84" s="95">
        <f t="shared" si="29"/>
        <v>3720</v>
      </c>
      <c r="G84" s="95">
        <f t="shared" si="29"/>
        <v>3719</v>
      </c>
      <c r="H84" s="95">
        <f t="shared" si="29"/>
        <v>3648</v>
      </c>
      <c r="I84" s="95">
        <f t="shared" si="29"/>
        <v>3737</v>
      </c>
      <c r="J84" s="95">
        <f t="shared" si="29"/>
        <v>3933</v>
      </c>
      <c r="K84" s="95">
        <f t="shared" si="29"/>
        <v>4168</v>
      </c>
      <c r="L84" s="95">
        <f>SUM(L77:L83)</f>
        <v>4413</v>
      </c>
      <c r="M84" s="95">
        <f t="shared" ref="M84:U84" si="30">SUM(M77:M83)</f>
        <v>4161</v>
      </c>
      <c r="N84" s="95">
        <f t="shared" si="30"/>
        <v>6402</v>
      </c>
      <c r="O84" s="95">
        <f t="shared" si="30"/>
        <v>6400</v>
      </c>
      <c r="P84" s="95">
        <f t="shared" si="30"/>
        <v>6734</v>
      </c>
      <c r="Q84" s="95">
        <f t="shared" si="30"/>
        <v>7527</v>
      </c>
      <c r="R84" s="95">
        <f t="shared" si="30"/>
        <v>8370</v>
      </c>
      <c r="S84" s="95">
        <f t="shared" si="30"/>
        <v>9284</v>
      </c>
      <c r="T84" s="95">
        <f t="shared" si="30"/>
        <v>9846</v>
      </c>
      <c r="U84" s="95">
        <f t="shared" si="30"/>
        <v>11542</v>
      </c>
      <c r="V84" s="95">
        <f t="shared" ref="V84:AE84" si="31">SUM(V77:V83)</f>
        <v>11352</v>
      </c>
      <c r="W84" s="95">
        <f t="shared" si="31"/>
        <v>10491</v>
      </c>
      <c r="X84" s="95">
        <f t="shared" si="31"/>
        <v>8879</v>
      </c>
      <c r="Y84" s="95">
        <f t="shared" si="31"/>
        <v>8836</v>
      </c>
      <c r="Z84" s="95">
        <f t="shared" si="31"/>
        <v>8638</v>
      </c>
      <c r="AA84" s="95">
        <f t="shared" si="31"/>
        <v>8455</v>
      </c>
      <c r="AB84" s="95">
        <f t="shared" si="31"/>
        <v>8317</v>
      </c>
      <c r="AC84" s="95">
        <f t="shared" si="31"/>
        <v>8180</v>
      </c>
      <c r="AD84" s="95">
        <f t="shared" si="31"/>
        <v>8459</v>
      </c>
      <c r="AE84" s="95">
        <f t="shared" si="31"/>
        <v>8466</v>
      </c>
      <c r="AF84" s="95">
        <f t="shared" ref="AF84:AS84" si="32">SUM(AF77:AF83)</f>
        <v>8425</v>
      </c>
      <c r="AG84" s="95">
        <f t="shared" si="32"/>
        <v>8224</v>
      </c>
      <c r="AH84" s="95">
        <f t="shared" si="32"/>
        <v>8185</v>
      </c>
      <c r="AI84" s="95">
        <f t="shared" si="32"/>
        <v>7969</v>
      </c>
      <c r="AJ84" s="95">
        <f t="shared" si="32"/>
        <v>7814</v>
      </c>
      <c r="AK84" s="95">
        <f t="shared" si="32"/>
        <v>7651</v>
      </c>
      <c r="AL84" s="95">
        <f t="shared" si="32"/>
        <v>7257</v>
      </c>
      <c r="AM84" s="95">
        <f t="shared" si="32"/>
        <v>7350</v>
      </c>
      <c r="AN84" s="95">
        <f t="shared" si="32"/>
        <v>7111</v>
      </c>
      <c r="AO84" s="95">
        <f t="shared" si="32"/>
        <v>7184</v>
      </c>
      <c r="AP84" s="95">
        <f t="shared" si="32"/>
        <v>7319.502673796791</v>
      </c>
      <c r="AQ84" s="95">
        <f t="shared" si="32"/>
        <v>7423.168246445498</v>
      </c>
      <c r="AR84" s="95">
        <f t="shared" si="32"/>
        <v>7521</v>
      </c>
      <c r="AS84" s="95">
        <f t="shared" si="32"/>
        <v>7472</v>
      </c>
      <c r="AT84" s="175">
        <f>SUM(AT76:AT83)</f>
        <v>7258</v>
      </c>
      <c r="AU84" s="175">
        <f t="shared" ref="AU84:BA84" si="33">SUM(AU77:AU83)</f>
        <v>7010</v>
      </c>
      <c r="AV84" s="152">
        <f t="shared" si="33"/>
        <v>6915</v>
      </c>
      <c r="AW84" s="152">
        <f t="shared" si="33"/>
        <v>6948.8815489749431</v>
      </c>
      <c r="AX84" s="152">
        <f t="shared" si="33"/>
        <v>7123.5207380812135</v>
      </c>
      <c r="AY84" s="193">
        <f t="shared" si="33"/>
        <v>7249</v>
      </c>
      <c r="AZ84" s="193">
        <f t="shared" si="33"/>
        <v>7972</v>
      </c>
      <c r="BA84" s="398">
        <f t="shared" si="33"/>
        <v>7645</v>
      </c>
      <c r="BB84" s="398">
        <f t="shared" ref="BB84:BH84" si="34">SUM(BB77:BB83)</f>
        <v>8082</v>
      </c>
      <c r="BC84" s="398">
        <f t="shared" si="34"/>
        <v>8102</v>
      </c>
      <c r="BD84" s="524">
        <f t="shared" si="34"/>
        <v>7829</v>
      </c>
      <c r="BE84" s="524">
        <f t="shared" si="34"/>
        <v>7717</v>
      </c>
      <c r="BF84" s="524">
        <f t="shared" si="34"/>
        <v>7185</v>
      </c>
      <c r="BG84" s="524">
        <f t="shared" si="34"/>
        <v>7051</v>
      </c>
      <c r="BH84" s="524">
        <f t="shared" si="34"/>
        <v>6824</v>
      </c>
      <c r="BI84" s="415">
        <f t="shared" si="27"/>
        <v>-1.8649965205288797E-2</v>
      </c>
      <c r="BJ84" s="415">
        <f t="shared" si="27"/>
        <v>-3.2194015033328603E-2</v>
      </c>
      <c r="BK84" s="572">
        <f t="shared" si="28"/>
        <v>-134</v>
      </c>
      <c r="BL84" s="572">
        <f t="shared" si="28"/>
        <v>-227</v>
      </c>
      <c r="BM84" s="331"/>
      <c r="BN84" s="331"/>
    </row>
    <row r="85" spans="1:255" ht="6" customHeight="1">
      <c r="A85" s="125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M85" s="71"/>
      <c r="AN85" s="71"/>
      <c r="AO85" s="71"/>
      <c r="AP85" s="71"/>
      <c r="AQ85" s="71"/>
      <c r="AR85" s="71"/>
      <c r="AS85" s="71"/>
      <c r="AT85" s="71"/>
      <c r="AU85" s="71"/>
      <c r="AV85" s="158"/>
      <c r="AW85" s="256"/>
      <c r="AX85" s="237"/>
      <c r="AY85" s="205"/>
      <c r="AZ85" s="310"/>
      <c r="BA85" s="292"/>
      <c r="BB85" s="292"/>
      <c r="BC85" s="475"/>
      <c r="BD85" s="311"/>
      <c r="BE85" s="311"/>
      <c r="BF85" s="311"/>
      <c r="BG85" s="311"/>
      <c r="BH85" s="311"/>
      <c r="BI85" s="385"/>
      <c r="BJ85" s="385"/>
      <c r="BK85" s="356"/>
      <c r="BL85" s="356"/>
      <c r="BM85" s="331"/>
      <c r="BN85" s="331"/>
    </row>
    <row r="86" spans="1:255" ht="11.25" customHeight="1">
      <c r="A86" s="129" t="s">
        <v>103</v>
      </c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  <c r="AA86" s="321"/>
      <c r="AB86" s="321"/>
      <c r="AC86" s="321"/>
      <c r="AD86" s="321"/>
      <c r="AE86" s="321"/>
      <c r="AF86" s="321"/>
      <c r="AG86" s="321"/>
      <c r="AH86" s="321"/>
      <c r="AI86" s="321"/>
      <c r="AJ86" s="321"/>
      <c r="AK86" s="321"/>
      <c r="AL86" s="321"/>
      <c r="AM86" s="321"/>
      <c r="AN86" s="321"/>
      <c r="AO86" s="321"/>
      <c r="AP86" s="321"/>
      <c r="AQ86" s="321"/>
      <c r="AR86" s="321"/>
      <c r="AS86" s="321"/>
      <c r="AT86" s="321"/>
      <c r="AU86" s="321"/>
      <c r="AV86" s="321"/>
      <c r="AW86" s="321"/>
      <c r="AX86" s="321"/>
      <c r="AY86" s="321"/>
      <c r="AZ86" s="321"/>
      <c r="BA86" s="321"/>
      <c r="BB86" s="321"/>
      <c r="BC86" s="321"/>
      <c r="BD86" s="321"/>
      <c r="BE86" s="321"/>
      <c r="BF86" s="560"/>
      <c r="BG86" s="560"/>
      <c r="BH86" s="560"/>
      <c r="BI86" s="385"/>
      <c r="BJ86" s="385"/>
      <c r="BK86" s="356"/>
      <c r="BL86" s="356"/>
      <c r="BM86" s="331"/>
      <c r="BN86" s="331"/>
    </row>
    <row r="87" spans="1:255" ht="10.5" customHeight="1">
      <c r="A87" s="129" t="s">
        <v>104</v>
      </c>
      <c r="B87" s="18" t="s">
        <v>3</v>
      </c>
      <c r="C87" s="18" t="s">
        <v>3</v>
      </c>
      <c r="D87" s="18" t="s">
        <v>3</v>
      </c>
      <c r="E87" s="18" t="s">
        <v>3</v>
      </c>
      <c r="F87" s="18" t="s">
        <v>3</v>
      </c>
      <c r="G87" s="18" t="s">
        <v>3</v>
      </c>
      <c r="H87" s="18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18" t="s">
        <v>3</v>
      </c>
      <c r="N87" s="18" t="s">
        <v>3</v>
      </c>
      <c r="O87" s="18" t="s">
        <v>3</v>
      </c>
      <c r="P87" s="18" t="s">
        <v>3</v>
      </c>
      <c r="Q87" s="18" t="s">
        <v>3</v>
      </c>
      <c r="R87" s="18" t="s">
        <v>3</v>
      </c>
      <c r="S87" s="18" t="s">
        <v>3</v>
      </c>
      <c r="T87" s="18" t="s">
        <v>3</v>
      </c>
      <c r="U87" s="18" t="s">
        <v>3</v>
      </c>
      <c r="V87" s="18" t="s">
        <v>3</v>
      </c>
      <c r="W87" s="18" t="s">
        <v>3</v>
      </c>
      <c r="X87" s="18" t="s">
        <v>3</v>
      </c>
      <c r="Y87" s="18" t="s">
        <v>3</v>
      </c>
      <c r="Z87" s="18" t="s">
        <v>3</v>
      </c>
      <c r="AA87" s="18" t="s">
        <v>3</v>
      </c>
      <c r="AB87" s="18" t="s">
        <v>3</v>
      </c>
      <c r="AC87" s="18" t="s">
        <v>3</v>
      </c>
      <c r="AD87" s="18" t="s">
        <v>3</v>
      </c>
      <c r="AE87" s="18" t="s">
        <v>3</v>
      </c>
      <c r="AF87" s="18" t="s">
        <v>3</v>
      </c>
      <c r="AG87" s="18" t="s">
        <v>3</v>
      </c>
      <c r="AH87" s="18" t="s">
        <v>3</v>
      </c>
      <c r="AI87" s="18" t="s">
        <v>3</v>
      </c>
      <c r="AJ87" s="18" t="s">
        <v>3</v>
      </c>
      <c r="AK87" s="18" t="s">
        <v>3</v>
      </c>
      <c r="AL87" s="6">
        <v>79</v>
      </c>
      <c r="AM87" s="12">
        <v>72</v>
      </c>
      <c r="AN87" s="12">
        <v>61</v>
      </c>
      <c r="AO87" s="12">
        <v>62</v>
      </c>
      <c r="AP87" s="12">
        <v>63</v>
      </c>
      <c r="AQ87" s="12">
        <v>65</v>
      </c>
      <c r="AR87" s="12">
        <v>59</v>
      </c>
      <c r="AS87" s="12">
        <v>57</v>
      </c>
      <c r="AT87" s="12">
        <v>58</v>
      </c>
      <c r="AU87" s="12">
        <v>59</v>
      </c>
      <c r="AV87" s="18">
        <v>53</v>
      </c>
      <c r="AW87" s="292">
        <v>46</v>
      </c>
      <c r="AX87" s="293">
        <v>42</v>
      </c>
      <c r="AY87" s="292">
        <v>43</v>
      </c>
      <c r="AZ87" s="162">
        <v>42</v>
      </c>
      <c r="BA87" s="292">
        <v>40</v>
      </c>
      <c r="BB87" s="292">
        <v>41</v>
      </c>
      <c r="BC87" s="292">
        <v>41</v>
      </c>
      <c r="BD87" s="379">
        <v>39</v>
      </c>
      <c r="BE87" s="379">
        <v>39</v>
      </c>
      <c r="BF87" s="379">
        <v>43</v>
      </c>
      <c r="BG87" s="379">
        <v>45</v>
      </c>
      <c r="BH87" s="379">
        <v>52</v>
      </c>
      <c r="BI87" s="385">
        <f>(BG87-BF87)/BF87</f>
        <v>4.6511627906976744E-2</v>
      </c>
      <c r="BJ87" s="385">
        <f>(BH87-BG87)/BG87</f>
        <v>0.15555555555555556</v>
      </c>
      <c r="BK87" s="569">
        <f>BG87-BF87</f>
        <v>2</v>
      </c>
      <c r="BL87" s="569">
        <f>BH87-BG87</f>
        <v>7</v>
      </c>
      <c r="BM87" s="457"/>
      <c r="BN87" s="331"/>
    </row>
    <row r="88" spans="1:255" ht="8.25" customHeight="1">
      <c r="A88" s="125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M88" s="71"/>
      <c r="AN88" s="71"/>
      <c r="AO88" s="71"/>
      <c r="AP88" s="71"/>
      <c r="AQ88" s="71"/>
      <c r="AR88" s="71"/>
      <c r="AS88" s="71"/>
      <c r="AT88" s="71"/>
      <c r="AU88" s="71"/>
      <c r="AV88" s="158"/>
      <c r="AW88" s="256"/>
      <c r="AX88" s="237"/>
      <c r="AY88" s="205"/>
      <c r="AZ88" s="310"/>
      <c r="BA88" s="292"/>
      <c r="BB88" s="292"/>
      <c r="BC88" s="475"/>
      <c r="BD88" s="311"/>
      <c r="BE88" s="311"/>
      <c r="BF88" s="311"/>
      <c r="BG88" s="311"/>
      <c r="BH88" s="311"/>
      <c r="BI88" s="385"/>
      <c r="BJ88" s="385"/>
      <c r="BK88" s="571"/>
      <c r="BL88" s="571"/>
      <c r="BM88" s="331"/>
      <c r="BN88" s="331"/>
    </row>
    <row r="89" spans="1:255" ht="11.1" customHeight="1">
      <c r="A89" s="129" t="s">
        <v>126</v>
      </c>
      <c r="B89" s="18" t="s">
        <v>3</v>
      </c>
      <c r="C89" s="18" t="s">
        <v>3</v>
      </c>
      <c r="D89" s="18" t="s">
        <v>3</v>
      </c>
      <c r="E89" s="18" t="s">
        <v>3</v>
      </c>
      <c r="F89" s="18" t="s">
        <v>3</v>
      </c>
      <c r="G89" s="18" t="s">
        <v>3</v>
      </c>
      <c r="H89" s="18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18" t="s">
        <v>3</v>
      </c>
      <c r="N89" s="18" t="s">
        <v>3</v>
      </c>
      <c r="O89" s="18" t="s">
        <v>3</v>
      </c>
      <c r="P89" s="18" t="s">
        <v>3</v>
      </c>
      <c r="Q89" s="18" t="s">
        <v>3</v>
      </c>
      <c r="R89" s="18" t="s">
        <v>3</v>
      </c>
      <c r="S89" s="18" t="s">
        <v>3</v>
      </c>
      <c r="T89" s="18" t="s">
        <v>3</v>
      </c>
      <c r="U89" s="18" t="s">
        <v>3</v>
      </c>
      <c r="V89" s="18" t="s">
        <v>3</v>
      </c>
      <c r="W89" s="18" t="s">
        <v>3</v>
      </c>
      <c r="X89" s="12">
        <v>24</v>
      </c>
      <c r="Y89" s="12">
        <v>25</v>
      </c>
      <c r="Z89" s="12">
        <v>25</v>
      </c>
      <c r="AA89" s="12">
        <v>26</v>
      </c>
      <c r="AB89" s="12">
        <v>26</v>
      </c>
      <c r="AC89" s="12">
        <v>25</v>
      </c>
      <c r="AD89" s="12">
        <v>26</v>
      </c>
      <c r="AE89" s="12">
        <v>27</v>
      </c>
      <c r="AF89" s="12">
        <v>27</v>
      </c>
      <c r="AG89" s="12">
        <v>29</v>
      </c>
      <c r="AH89" s="12">
        <v>31</v>
      </c>
      <c r="AI89" s="12">
        <v>36</v>
      </c>
      <c r="AJ89" s="12">
        <v>35</v>
      </c>
      <c r="AK89" s="12">
        <v>30</v>
      </c>
      <c r="AL89" s="12">
        <v>29</v>
      </c>
      <c r="AM89" s="71">
        <v>30</v>
      </c>
      <c r="AN89" s="71">
        <v>30</v>
      </c>
      <c r="AO89" s="71">
        <v>31</v>
      </c>
      <c r="AP89" s="71">
        <v>30</v>
      </c>
      <c r="AQ89" s="71">
        <v>31</v>
      </c>
      <c r="AR89" s="71">
        <v>30</v>
      </c>
      <c r="AS89" s="71">
        <v>29</v>
      </c>
      <c r="AT89" s="71">
        <v>28</v>
      </c>
      <c r="AU89" s="71">
        <v>27</v>
      </c>
      <c r="AV89" s="158">
        <v>27</v>
      </c>
      <c r="AW89" s="30">
        <v>27</v>
      </c>
      <c r="AX89" s="68">
        <v>29</v>
      </c>
      <c r="AY89" s="162">
        <v>28</v>
      </c>
      <c r="AZ89" s="162">
        <v>28</v>
      </c>
      <c r="BA89" s="292">
        <v>27</v>
      </c>
      <c r="BB89" s="292">
        <v>29</v>
      </c>
      <c r="BC89" s="292">
        <v>30</v>
      </c>
      <c r="BD89" s="379">
        <v>29</v>
      </c>
      <c r="BE89" s="379">
        <v>29</v>
      </c>
      <c r="BF89" s="379">
        <v>29</v>
      </c>
      <c r="BG89" s="379">
        <v>34</v>
      </c>
      <c r="BH89" s="379">
        <v>34</v>
      </c>
      <c r="BI89" s="385">
        <f>(BG89-BF89)/BF89</f>
        <v>0.17241379310344829</v>
      </c>
      <c r="BJ89" s="385">
        <f>(BH89-BG89)/BG89</f>
        <v>0</v>
      </c>
      <c r="BK89" s="569">
        <f>BG89-BF89</f>
        <v>5</v>
      </c>
      <c r="BL89" s="569">
        <f>BH89-BG89</f>
        <v>0</v>
      </c>
      <c r="BM89" s="331"/>
      <c r="BN89" s="331"/>
    </row>
    <row r="90" spans="1:255" ht="6" customHeight="1">
      <c r="A90" s="125"/>
      <c r="B90" s="159"/>
      <c r="C90" s="159"/>
      <c r="D90" s="159"/>
      <c r="E90" s="159"/>
      <c r="F90" s="18"/>
      <c r="G90" s="159"/>
      <c r="H90" s="159"/>
      <c r="I90" s="159"/>
      <c r="J90" s="159"/>
      <c r="K90" s="159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M90" s="71"/>
      <c r="AN90" s="71"/>
      <c r="AO90" s="71"/>
      <c r="AP90" s="71"/>
      <c r="AQ90" s="71"/>
      <c r="AR90" s="71"/>
      <c r="AS90" s="71"/>
      <c r="AT90" s="71"/>
      <c r="AU90" s="71"/>
      <c r="AV90" s="158"/>
      <c r="AW90" s="257"/>
      <c r="AX90" s="68"/>
      <c r="AY90" s="162"/>
      <c r="AZ90" s="310"/>
      <c r="BA90" s="292"/>
      <c r="BB90" s="292"/>
      <c r="BC90" s="475"/>
      <c r="BD90" s="311"/>
      <c r="BE90" s="311"/>
      <c r="BF90" s="311"/>
      <c r="BG90" s="311"/>
      <c r="BH90" s="311"/>
      <c r="BI90" s="329"/>
      <c r="BJ90" s="329"/>
      <c r="BK90" s="570"/>
      <c r="BL90" s="570"/>
      <c r="BM90" s="331"/>
      <c r="BN90" s="331"/>
    </row>
    <row r="91" spans="1:255" ht="11.1" customHeight="1">
      <c r="A91" s="129" t="s">
        <v>15</v>
      </c>
      <c r="B91" s="18" t="s">
        <v>3</v>
      </c>
      <c r="C91" s="18" t="s">
        <v>3</v>
      </c>
      <c r="D91" s="18" t="s">
        <v>3</v>
      </c>
      <c r="E91" s="18" t="s">
        <v>3</v>
      </c>
      <c r="F91" s="18" t="s">
        <v>3</v>
      </c>
      <c r="G91" s="28">
        <v>190</v>
      </c>
      <c r="H91" s="28">
        <v>330</v>
      </c>
      <c r="I91" s="28">
        <v>376</v>
      </c>
      <c r="J91" s="28">
        <v>459</v>
      </c>
      <c r="K91" s="28">
        <v>649</v>
      </c>
      <c r="L91" s="12">
        <v>845</v>
      </c>
      <c r="M91" s="12">
        <v>787</v>
      </c>
      <c r="N91" s="12">
        <v>1059</v>
      </c>
      <c r="O91" s="12">
        <v>1434</v>
      </c>
      <c r="P91" s="12">
        <v>1870</v>
      </c>
      <c r="Q91" s="12">
        <v>2218</v>
      </c>
      <c r="R91" s="12">
        <v>2189</v>
      </c>
      <c r="S91" s="12">
        <v>2400</v>
      </c>
      <c r="T91" s="12">
        <v>2409</v>
      </c>
      <c r="U91" s="12">
        <v>2819</v>
      </c>
      <c r="V91" s="12">
        <v>3496</v>
      </c>
      <c r="W91" s="12">
        <v>3358</v>
      </c>
      <c r="X91" s="12">
        <v>3166</v>
      </c>
      <c r="Y91" s="12">
        <v>3084</v>
      </c>
      <c r="Z91" s="12">
        <v>3044</v>
      </c>
      <c r="AA91" s="12">
        <v>3097</v>
      </c>
      <c r="AB91" s="12">
        <v>3017</v>
      </c>
      <c r="AC91" s="12">
        <v>2941</v>
      </c>
      <c r="AD91" s="12">
        <v>3168</v>
      </c>
      <c r="AE91" s="12">
        <v>2970</v>
      </c>
      <c r="AF91" s="12">
        <v>2853</v>
      </c>
      <c r="AG91" s="12">
        <v>2796</v>
      </c>
      <c r="AH91" s="12">
        <v>2791</v>
      </c>
      <c r="AI91" s="12">
        <v>2831</v>
      </c>
      <c r="AJ91" s="12">
        <v>2832</v>
      </c>
      <c r="AK91" s="12">
        <v>2813</v>
      </c>
      <c r="AL91" s="12">
        <v>2676</v>
      </c>
      <c r="AM91" s="71">
        <v>2586</v>
      </c>
      <c r="AN91" s="71">
        <v>2554</v>
      </c>
      <c r="AO91" s="71">
        <v>2593</v>
      </c>
      <c r="AP91" s="71">
        <v>2852</v>
      </c>
      <c r="AQ91" s="71">
        <v>2704</v>
      </c>
      <c r="AR91" s="71">
        <v>2783</v>
      </c>
      <c r="AS91" s="71">
        <v>2617</v>
      </c>
      <c r="AT91" s="71">
        <v>2442</v>
      </c>
      <c r="AU91" s="71">
        <v>2361</v>
      </c>
      <c r="AV91" s="158">
        <v>2226</v>
      </c>
      <c r="AW91" s="30">
        <v>2137</v>
      </c>
      <c r="AX91" s="68">
        <v>2159</v>
      </c>
      <c r="AY91" s="68">
        <v>2178</v>
      </c>
      <c r="AZ91" s="68">
        <v>2371</v>
      </c>
      <c r="BA91" s="293">
        <v>2491</v>
      </c>
      <c r="BB91" s="293">
        <v>2332</v>
      </c>
      <c r="BC91" s="293">
        <v>2133</v>
      </c>
      <c r="BD91" s="314">
        <v>2084</v>
      </c>
      <c r="BE91" s="314">
        <v>2177</v>
      </c>
      <c r="BF91" s="314">
        <v>2188</v>
      </c>
      <c r="BG91" s="314">
        <v>2069</v>
      </c>
      <c r="BH91" s="314">
        <v>1939</v>
      </c>
      <c r="BI91" s="385">
        <f>(BG91-BF91)/BF91</f>
        <v>-5.4387568555758686E-2</v>
      </c>
      <c r="BJ91" s="385">
        <f>(BH91-BG91)/BG91</f>
        <v>-6.2832286128564521E-2</v>
      </c>
      <c r="BK91" s="569">
        <f>BG91-BF91</f>
        <v>-119</v>
      </c>
      <c r="BL91" s="569">
        <f>BH91-BG91</f>
        <v>-130</v>
      </c>
      <c r="BM91" s="331"/>
      <c r="BN91" s="331"/>
    </row>
    <row r="92" spans="1:255" ht="6" customHeight="1">
      <c r="A92" s="125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M92" s="71"/>
      <c r="AN92" s="71"/>
      <c r="AO92" s="71"/>
      <c r="AP92" s="71"/>
      <c r="AQ92" s="71"/>
      <c r="AR92" s="71"/>
      <c r="AS92" s="71"/>
      <c r="AT92" s="71"/>
      <c r="AU92" s="71"/>
      <c r="AV92" s="158"/>
      <c r="AW92" s="257"/>
      <c r="AX92" s="68"/>
      <c r="AY92" s="162"/>
      <c r="AZ92" s="310"/>
      <c r="BA92" s="292"/>
      <c r="BB92" s="292"/>
      <c r="BC92" s="475"/>
      <c r="BD92" s="311"/>
      <c r="BE92" s="311"/>
      <c r="BF92" s="311"/>
      <c r="BG92" s="311"/>
      <c r="BH92" s="311"/>
      <c r="BI92" s="385"/>
      <c r="BJ92" s="385"/>
      <c r="BK92" s="571"/>
      <c r="BL92" s="571"/>
      <c r="BM92" s="331"/>
      <c r="BN92" s="331"/>
    </row>
    <row r="93" spans="1:255" ht="11.1" customHeight="1">
      <c r="A93" s="125" t="s">
        <v>12</v>
      </c>
      <c r="B93" s="28">
        <v>1776</v>
      </c>
      <c r="C93" s="28">
        <v>1816</v>
      </c>
      <c r="D93" s="28">
        <v>1991</v>
      </c>
      <c r="E93" s="28">
        <v>2061</v>
      </c>
      <c r="F93" s="28">
        <v>2069</v>
      </c>
      <c r="G93" s="28">
        <v>2254</v>
      </c>
      <c r="H93" s="28">
        <v>2310</v>
      </c>
      <c r="I93" s="28">
        <v>2338</v>
      </c>
      <c r="J93" s="28">
        <v>2452</v>
      </c>
      <c r="K93" s="28">
        <v>2396</v>
      </c>
      <c r="L93" s="12">
        <v>2313</v>
      </c>
      <c r="M93" s="12">
        <v>2168</v>
      </c>
      <c r="N93" s="12">
        <v>2385</v>
      </c>
      <c r="O93" s="12">
        <v>2388</v>
      </c>
      <c r="P93" s="12">
        <v>2428</v>
      </c>
      <c r="Q93" s="12">
        <v>2427</v>
      </c>
      <c r="R93" s="12">
        <v>2520</v>
      </c>
      <c r="S93" s="12">
        <v>2750</v>
      </c>
      <c r="T93" s="12">
        <v>2875</v>
      </c>
      <c r="U93" s="12">
        <v>2953</v>
      </c>
      <c r="V93" s="12">
        <v>2898</v>
      </c>
      <c r="W93" s="12">
        <v>2828</v>
      </c>
      <c r="X93" s="12">
        <v>2680</v>
      </c>
      <c r="Y93" s="12">
        <v>2677</v>
      </c>
      <c r="Z93" s="12">
        <v>2694</v>
      </c>
      <c r="AA93" s="12">
        <v>2571</v>
      </c>
      <c r="AB93" s="12">
        <v>2421</v>
      </c>
      <c r="AC93" s="12">
        <v>2256</v>
      </c>
      <c r="AD93" s="12">
        <v>2271</v>
      </c>
      <c r="AE93" s="12">
        <v>2273</v>
      </c>
      <c r="AF93" s="12">
        <v>2227</v>
      </c>
      <c r="AG93" s="12">
        <v>2138</v>
      </c>
      <c r="AH93" s="12">
        <v>2123</v>
      </c>
      <c r="AI93" s="12">
        <v>2086</v>
      </c>
      <c r="AJ93" s="12">
        <v>2063</v>
      </c>
      <c r="AK93" s="12">
        <v>2025</v>
      </c>
      <c r="AL93" s="12">
        <v>1925</v>
      </c>
      <c r="AM93" s="71">
        <v>1930</v>
      </c>
      <c r="AN93" s="71">
        <v>1880</v>
      </c>
      <c r="AO93" s="71">
        <v>1823</v>
      </c>
      <c r="AP93" s="71">
        <v>1876</v>
      </c>
      <c r="AQ93" s="71">
        <v>1993</v>
      </c>
      <c r="AR93" s="71">
        <v>1946</v>
      </c>
      <c r="AS93" s="71">
        <v>1873</v>
      </c>
      <c r="AT93" s="71">
        <v>1888</v>
      </c>
      <c r="AU93" s="71">
        <v>1826</v>
      </c>
      <c r="AV93" s="158">
        <v>1788</v>
      </c>
      <c r="AW93" s="30">
        <v>1729</v>
      </c>
      <c r="AX93" s="68">
        <v>1628</v>
      </c>
      <c r="AY93" s="68">
        <v>1592</v>
      </c>
      <c r="AZ93" s="68">
        <v>1632</v>
      </c>
      <c r="BA93" s="293">
        <v>1679</v>
      </c>
      <c r="BB93" s="293">
        <v>1640</v>
      </c>
      <c r="BC93" s="293">
        <v>1597</v>
      </c>
      <c r="BD93" s="314">
        <v>1543</v>
      </c>
      <c r="BE93" s="314">
        <v>1587</v>
      </c>
      <c r="BF93" s="314">
        <v>1526</v>
      </c>
      <c r="BG93" s="314">
        <v>1596</v>
      </c>
      <c r="BH93" s="314">
        <v>1320</v>
      </c>
      <c r="BI93" s="385">
        <f>(BG93-BF93)/BF93</f>
        <v>4.5871559633027525E-2</v>
      </c>
      <c r="BJ93" s="385">
        <f>(BH93-BG93)/BG93</f>
        <v>-0.17293233082706766</v>
      </c>
      <c r="BK93" s="569">
        <f>BG93-BF93</f>
        <v>70</v>
      </c>
      <c r="BL93" s="569">
        <f>BH93-BG93</f>
        <v>-276</v>
      </c>
      <c r="BM93" s="331"/>
      <c r="BN93" s="331"/>
      <c r="IU93">
        <v>175</v>
      </c>
    </row>
    <row r="94" spans="1:255" ht="6" customHeight="1">
      <c r="A94" s="125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M94" s="71"/>
      <c r="AN94" s="71"/>
      <c r="AO94" s="71"/>
      <c r="AP94" s="71"/>
      <c r="AQ94" s="71"/>
      <c r="AR94" s="71"/>
      <c r="AS94" s="71"/>
      <c r="AT94" s="71"/>
      <c r="AU94" s="71"/>
      <c r="AV94" s="158"/>
      <c r="AW94" s="257"/>
      <c r="AX94" s="68"/>
      <c r="AY94" s="162"/>
      <c r="AZ94" s="310"/>
      <c r="BA94" s="292"/>
      <c r="BB94" s="292"/>
      <c r="BC94" s="475"/>
      <c r="BD94" s="311"/>
      <c r="BE94" s="311"/>
      <c r="BF94" s="311"/>
      <c r="BG94" s="311"/>
      <c r="BH94" s="311"/>
      <c r="BI94" s="329"/>
      <c r="BJ94" s="329"/>
      <c r="BK94" s="570"/>
      <c r="BL94" s="570"/>
      <c r="BM94" s="331"/>
      <c r="BN94" s="331"/>
    </row>
    <row r="95" spans="1:255" ht="11.1" customHeight="1">
      <c r="A95" s="125" t="s">
        <v>63</v>
      </c>
      <c r="B95" s="84" t="s">
        <v>3</v>
      </c>
      <c r="C95" s="84" t="s">
        <v>3</v>
      </c>
      <c r="D95" s="84" t="s">
        <v>3</v>
      </c>
      <c r="E95" s="84" t="s">
        <v>3</v>
      </c>
      <c r="F95" s="84" t="s">
        <v>3</v>
      </c>
      <c r="G95" s="84" t="s">
        <v>3</v>
      </c>
      <c r="H95" s="84" t="s">
        <v>3</v>
      </c>
      <c r="I95" s="84" t="s">
        <v>3</v>
      </c>
      <c r="J95" s="84" t="s">
        <v>3</v>
      </c>
      <c r="K95" s="84" t="s">
        <v>3</v>
      </c>
      <c r="L95" s="84" t="s">
        <v>3</v>
      </c>
      <c r="M95" s="83">
        <v>1</v>
      </c>
      <c r="N95" s="83">
        <v>33</v>
      </c>
      <c r="O95" s="83">
        <v>0</v>
      </c>
      <c r="P95" s="83">
        <v>161</v>
      </c>
      <c r="Q95" s="83">
        <v>162</v>
      </c>
      <c r="R95" s="83">
        <v>180</v>
      </c>
      <c r="S95" s="83">
        <v>180</v>
      </c>
      <c r="T95" s="83">
        <v>183</v>
      </c>
      <c r="U95" s="83">
        <v>181</v>
      </c>
      <c r="V95" s="83">
        <v>148</v>
      </c>
      <c r="W95" s="83">
        <v>168</v>
      </c>
      <c r="X95" s="83">
        <v>126</v>
      </c>
      <c r="Y95" s="83">
        <v>109</v>
      </c>
      <c r="Z95" s="83">
        <v>92</v>
      </c>
      <c r="AA95" s="83">
        <v>80</v>
      </c>
      <c r="AB95" s="83">
        <v>78</v>
      </c>
      <c r="AC95" s="83">
        <v>73</v>
      </c>
      <c r="AD95" s="83">
        <v>69</v>
      </c>
      <c r="AE95" s="83">
        <v>74</v>
      </c>
      <c r="AF95" s="83">
        <v>78</v>
      </c>
      <c r="AG95" s="83">
        <v>76</v>
      </c>
      <c r="AH95" s="83">
        <v>77</v>
      </c>
      <c r="AI95" s="83">
        <v>74</v>
      </c>
      <c r="AJ95" s="83">
        <v>73</v>
      </c>
      <c r="AK95" s="83">
        <v>73</v>
      </c>
      <c r="AL95" s="83">
        <v>69</v>
      </c>
      <c r="AM95" s="74">
        <v>67</v>
      </c>
      <c r="AN95" s="74">
        <v>63</v>
      </c>
      <c r="AO95" s="74">
        <v>65</v>
      </c>
      <c r="AP95" s="74">
        <v>63</v>
      </c>
      <c r="AQ95" s="74">
        <v>67</v>
      </c>
      <c r="AR95" s="74">
        <v>60</v>
      </c>
      <c r="AS95" s="74">
        <v>61</v>
      </c>
      <c r="AT95" s="74">
        <v>57</v>
      </c>
      <c r="AU95" s="74">
        <v>55</v>
      </c>
      <c r="AV95" s="195">
        <v>58</v>
      </c>
      <c r="AW95" s="229">
        <v>60</v>
      </c>
      <c r="AX95" s="68">
        <v>58</v>
      </c>
      <c r="AY95" s="162">
        <v>54</v>
      </c>
      <c r="AZ95" s="162">
        <v>60</v>
      </c>
      <c r="BA95" s="292">
        <v>58</v>
      </c>
      <c r="BB95" s="292">
        <v>59</v>
      </c>
      <c r="BC95" s="292">
        <v>56</v>
      </c>
      <c r="BD95" s="379">
        <v>56</v>
      </c>
      <c r="BE95" s="379">
        <v>53</v>
      </c>
      <c r="BF95" s="379">
        <v>55</v>
      </c>
      <c r="BG95" s="379">
        <v>62</v>
      </c>
      <c r="BH95" s="379">
        <v>62</v>
      </c>
      <c r="BI95" s="385">
        <f>(BG95-BF95)/BF95</f>
        <v>0.12727272727272726</v>
      </c>
      <c r="BJ95" s="385">
        <f>(BH95-BG95)/BG95</f>
        <v>0</v>
      </c>
      <c r="BK95" s="569">
        <f>BG95-BF95</f>
        <v>7</v>
      </c>
      <c r="BL95" s="569">
        <f>BH95-BG95</f>
        <v>0</v>
      </c>
      <c r="BM95" s="331"/>
      <c r="BN95" s="331"/>
    </row>
    <row r="96" spans="1:255" ht="4.5" customHeight="1">
      <c r="A96" s="125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M96" s="74"/>
      <c r="AN96" s="74"/>
      <c r="AO96" s="74"/>
      <c r="AP96" s="74"/>
      <c r="AQ96" s="74"/>
      <c r="AR96" s="74"/>
      <c r="AS96" s="74"/>
      <c r="AT96" s="74"/>
      <c r="AU96" s="74"/>
      <c r="AV96" s="195"/>
      <c r="AW96" s="257"/>
      <c r="AX96" s="68"/>
      <c r="AY96" s="162"/>
      <c r="AZ96" s="162"/>
      <c r="BA96" s="292"/>
      <c r="BB96" s="292"/>
      <c r="BC96" s="292"/>
      <c r="BD96" s="379"/>
      <c r="BE96" s="379"/>
      <c r="BF96" s="379"/>
      <c r="BG96" s="379"/>
      <c r="BH96" s="379"/>
      <c r="BI96" s="385"/>
      <c r="BJ96" s="385"/>
      <c r="BK96" s="569"/>
      <c r="BL96" s="569"/>
      <c r="BM96" s="331"/>
      <c r="BN96" s="331"/>
    </row>
    <row r="97" spans="1:66" ht="12" customHeight="1" thickBot="1">
      <c r="A97" s="128" t="s">
        <v>82</v>
      </c>
      <c r="B97" s="150">
        <f t="shared" ref="B97:AU97" si="35">SUM(B84:B95)</f>
        <v>4151</v>
      </c>
      <c r="C97" s="150">
        <f t="shared" si="35"/>
        <v>4258</v>
      </c>
      <c r="D97" s="150">
        <f t="shared" si="35"/>
        <v>4885</v>
      </c>
      <c r="E97" s="150">
        <f t="shared" si="35"/>
        <v>5804</v>
      </c>
      <c r="F97" s="150">
        <f t="shared" si="35"/>
        <v>5789</v>
      </c>
      <c r="G97" s="150">
        <f t="shared" si="35"/>
        <v>6163</v>
      </c>
      <c r="H97" s="150">
        <f t="shared" si="35"/>
        <v>6288</v>
      </c>
      <c r="I97" s="150">
        <f t="shared" si="35"/>
        <v>6451</v>
      </c>
      <c r="J97" s="150">
        <f t="shared" si="35"/>
        <v>6844</v>
      </c>
      <c r="K97" s="150">
        <f t="shared" si="35"/>
        <v>7213</v>
      </c>
      <c r="L97" s="150">
        <f t="shared" si="35"/>
        <v>7571</v>
      </c>
      <c r="M97" s="150">
        <f t="shared" si="35"/>
        <v>7117</v>
      </c>
      <c r="N97" s="150">
        <f t="shared" si="35"/>
        <v>9879</v>
      </c>
      <c r="O97" s="150">
        <f t="shared" si="35"/>
        <v>10222</v>
      </c>
      <c r="P97" s="150">
        <f t="shared" si="35"/>
        <v>11193</v>
      </c>
      <c r="Q97" s="150">
        <f t="shared" si="35"/>
        <v>12334</v>
      </c>
      <c r="R97" s="150">
        <f t="shared" si="35"/>
        <v>13259</v>
      </c>
      <c r="S97" s="150">
        <f t="shared" si="35"/>
        <v>14614</v>
      </c>
      <c r="T97" s="150">
        <f t="shared" si="35"/>
        <v>15313</v>
      </c>
      <c r="U97" s="150">
        <f t="shared" si="35"/>
        <v>17495</v>
      </c>
      <c r="V97" s="150">
        <f t="shared" si="35"/>
        <v>17894</v>
      </c>
      <c r="W97" s="150">
        <f t="shared" si="35"/>
        <v>16845</v>
      </c>
      <c r="X97" s="150">
        <f t="shared" si="35"/>
        <v>14875</v>
      </c>
      <c r="Y97" s="150">
        <f t="shared" si="35"/>
        <v>14731</v>
      </c>
      <c r="Z97" s="150">
        <f t="shared" si="35"/>
        <v>14493</v>
      </c>
      <c r="AA97" s="150">
        <f t="shared" si="35"/>
        <v>14229</v>
      </c>
      <c r="AB97" s="150">
        <f t="shared" si="35"/>
        <v>13859</v>
      </c>
      <c r="AC97" s="150">
        <f t="shared" si="35"/>
        <v>13475</v>
      </c>
      <c r="AD97" s="150">
        <f t="shared" si="35"/>
        <v>13993</v>
      </c>
      <c r="AE97" s="150">
        <f t="shared" si="35"/>
        <v>13810</v>
      </c>
      <c r="AF97" s="150">
        <f t="shared" si="35"/>
        <v>13610</v>
      </c>
      <c r="AG97" s="150">
        <f t="shared" si="35"/>
        <v>13263</v>
      </c>
      <c r="AH97" s="150">
        <f t="shared" si="35"/>
        <v>13207</v>
      </c>
      <c r="AI97" s="150">
        <f t="shared" si="35"/>
        <v>12996</v>
      </c>
      <c r="AJ97" s="150">
        <f t="shared" si="35"/>
        <v>12817</v>
      </c>
      <c r="AK97" s="150">
        <f t="shared" si="35"/>
        <v>12592</v>
      </c>
      <c r="AL97" s="150">
        <f t="shared" si="35"/>
        <v>12035</v>
      </c>
      <c r="AM97" s="150">
        <f t="shared" si="35"/>
        <v>12035</v>
      </c>
      <c r="AN97" s="150">
        <f t="shared" si="35"/>
        <v>11699</v>
      </c>
      <c r="AO97" s="150">
        <f t="shared" si="35"/>
        <v>11758</v>
      </c>
      <c r="AP97" s="150">
        <f t="shared" si="35"/>
        <v>12203.502673796791</v>
      </c>
      <c r="AQ97" s="150">
        <f t="shared" si="35"/>
        <v>12283.168246445497</v>
      </c>
      <c r="AR97" s="150">
        <f t="shared" si="35"/>
        <v>12399</v>
      </c>
      <c r="AS97" s="150">
        <f t="shared" si="35"/>
        <v>12109</v>
      </c>
      <c r="AT97" s="150">
        <f t="shared" si="35"/>
        <v>11731</v>
      </c>
      <c r="AU97" s="150">
        <f t="shared" si="35"/>
        <v>11338</v>
      </c>
      <c r="AV97" s="260">
        <f t="shared" ref="AV97:BH97" si="36">SUM(AV84:AV96)</f>
        <v>11067</v>
      </c>
      <c r="AW97" s="261">
        <f t="shared" si="36"/>
        <v>10947.881548974943</v>
      </c>
      <c r="AX97" s="261">
        <f t="shared" si="36"/>
        <v>11039.520738081213</v>
      </c>
      <c r="AY97" s="238">
        <f t="shared" si="36"/>
        <v>11144</v>
      </c>
      <c r="AZ97" s="238">
        <f t="shared" si="36"/>
        <v>12105</v>
      </c>
      <c r="BA97" s="399">
        <f t="shared" si="36"/>
        <v>11940</v>
      </c>
      <c r="BB97" s="399">
        <f t="shared" si="36"/>
        <v>12183</v>
      </c>
      <c r="BC97" s="399">
        <f t="shared" si="36"/>
        <v>11959</v>
      </c>
      <c r="BD97" s="477">
        <f t="shared" si="36"/>
        <v>11580</v>
      </c>
      <c r="BE97" s="477">
        <f t="shared" si="36"/>
        <v>11602</v>
      </c>
      <c r="BF97" s="477">
        <f t="shared" si="36"/>
        <v>11026</v>
      </c>
      <c r="BG97" s="477">
        <f t="shared" si="36"/>
        <v>10857</v>
      </c>
      <c r="BH97" s="477">
        <f t="shared" si="36"/>
        <v>10231</v>
      </c>
      <c r="BI97" s="422">
        <f>(BG97-BF97)/BF97</f>
        <v>-1.532740794485761E-2</v>
      </c>
      <c r="BJ97" s="422">
        <f>(BH97-BG97)/BG97</f>
        <v>-5.7658653403334252E-2</v>
      </c>
      <c r="BK97" s="574">
        <f>BG97-BF97</f>
        <v>-169</v>
      </c>
      <c r="BL97" s="574">
        <f>BH97-BG97</f>
        <v>-626</v>
      </c>
      <c r="BM97" s="331"/>
      <c r="BN97" s="331"/>
    </row>
    <row r="98" spans="1:66" ht="11.1" customHeight="1"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M98" s="71"/>
      <c r="AN98" s="71"/>
      <c r="AO98" s="71"/>
      <c r="AP98" s="71"/>
      <c r="AQ98" s="71"/>
      <c r="AR98" s="71"/>
      <c r="AS98" s="71"/>
      <c r="AT98" s="71"/>
      <c r="AU98" s="71"/>
      <c r="AV98" s="158"/>
      <c r="AW98" s="257"/>
      <c r="AX98" s="68"/>
      <c r="AY98" s="162"/>
      <c r="AZ98" s="310"/>
      <c r="BA98" s="292"/>
      <c r="BB98" s="292"/>
      <c r="BC98" s="475"/>
      <c r="BD98" s="311"/>
      <c r="BE98" s="311"/>
      <c r="BF98" s="311"/>
      <c r="BG98" s="311"/>
      <c r="BH98" s="311"/>
      <c r="BI98" s="385"/>
      <c r="BJ98" s="385"/>
      <c r="BK98" s="356"/>
      <c r="BL98" s="356"/>
      <c r="BM98" s="331"/>
      <c r="BN98" s="331"/>
    </row>
    <row r="99" spans="1:66" ht="15.75" customHeight="1">
      <c r="A99" s="130" t="s">
        <v>115</v>
      </c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X99"/>
      <c r="BA99"/>
      <c r="BB99"/>
      <c r="BC99"/>
      <c r="BD99"/>
      <c r="BE99"/>
      <c r="BF99" s="182"/>
      <c r="BG99" s="182"/>
      <c r="BH99" s="182"/>
      <c r="BI99"/>
      <c r="BJ99"/>
      <c r="BK99"/>
      <c r="BL99"/>
      <c r="BM99" s="331"/>
      <c r="BN99" s="331"/>
    </row>
    <row r="100" spans="1:66" ht="6" customHeight="1">
      <c r="A100" s="125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M100" s="71"/>
      <c r="AN100" s="71"/>
      <c r="AO100" s="71"/>
      <c r="AP100" s="71"/>
      <c r="AQ100" s="71"/>
      <c r="AR100" s="71"/>
      <c r="AS100" s="71"/>
      <c r="AT100" s="71"/>
      <c r="AU100" s="71"/>
      <c r="AV100" s="158"/>
      <c r="AW100" s="257"/>
      <c r="AX100" s="68"/>
      <c r="AY100" s="162"/>
      <c r="AZ100" s="310"/>
      <c r="BA100" s="292"/>
      <c r="BB100" s="292"/>
      <c r="BC100" s="475"/>
      <c r="BD100" s="311"/>
      <c r="BE100" s="311"/>
      <c r="BF100" s="311"/>
      <c r="BG100" s="311"/>
      <c r="BH100" s="311"/>
      <c r="BI100" s="385"/>
      <c r="BJ100" s="385"/>
      <c r="BK100" s="356"/>
      <c r="BL100" s="356"/>
      <c r="BM100" s="331"/>
      <c r="BN100" s="331"/>
    </row>
    <row r="101" spans="1:66" ht="11.1" customHeight="1">
      <c r="A101" s="125" t="s">
        <v>17</v>
      </c>
      <c r="B101" s="18" t="s">
        <v>60</v>
      </c>
      <c r="C101" s="18" t="s">
        <v>60</v>
      </c>
      <c r="D101" s="18" t="s">
        <v>60</v>
      </c>
      <c r="E101" s="18" t="s">
        <v>60</v>
      </c>
      <c r="F101" s="18" t="s">
        <v>60</v>
      </c>
      <c r="G101" s="18" t="s">
        <v>60</v>
      </c>
      <c r="H101" s="18" t="s">
        <v>60</v>
      </c>
      <c r="I101" s="18" t="s">
        <v>60</v>
      </c>
      <c r="J101" s="18" t="s">
        <v>60</v>
      </c>
      <c r="K101" s="18" t="s">
        <v>60</v>
      </c>
      <c r="L101" s="18" t="s">
        <v>60</v>
      </c>
      <c r="M101" s="12">
        <v>43</v>
      </c>
      <c r="N101" s="12">
        <v>63</v>
      </c>
      <c r="O101" s="12">
        <v>68</v>
      </c>
      <c r="P101" s="12">
        <v>54</v>
      </c>
      <c r="Q101" s="12">
        <v>60</v>
      </c>
      <c r="R101" s="12">
        <v>56</v>
      </c>
      <c r="S101" s="12">
        <v>57</v>
      </c>
      <c r="T101" s="12">
        <v>53</v>
      </c>
      <c r="U101" s="12">
        <v>49</v>
      </c>
      <c r="V101" s="12">
        <v>49</v>
      </c>
      <c r="W101" s="12">
        <v>25</v>
      </c>
      <c r="X101" s="12">
        <v>15</v>
      </c>
      <c r="Y101" s="12">
        <v>13</v>
      </c>
      <c r="Z101" s="12">
        <v>11</v>
      </c>
      <c r="AA101" s="12">
        <v>11</v>
      </c>
      <c r="AB101" s="12">
        <v>13</v>
      </c>
      <c r="AC101" s="12">
        <v>13</v>
      </c>
      <c r="AD101" s="12">
        <v>13</v>
      </c>
      <c r="AE101" s="12">
        <v>10</v>
      </c>
      <c r="AF101" s="12">
        <v>15</v>
      </c>
      <c r="AG101" s="12">
        <v>23</v>
      </c>
      <c r="AH101" s="12">
        <v>27</v>
      </c>
      <c r="AI101" s="12">
        <v>22</v>
      </c>
      <c r="AJ101" s="12">
        <v>3</v>
      </c>
      <c r="AK101" s="12">
        <v>14</v>
      </c>
      <c r="AL101" s="12">
        <v>16</v>
      </c>
      <c r="AM101" s="71">
        <v>18</v>
      </c>
      <c r="AN101" s="71">
        <v>18</v>
      </c>
      <c r="AO101" s="71">
        <v>18</v>
      </c>
      <c r="AP101" s="71">
        <v>20</v>
      </c>
      <c r="AQ101" s="71">
        <v>19</v>
      </c>
      <c r="AR101" s="71">
        <v>19</v>
      </c>
      <c r="AS101" s="71">
        <v>20</v>
      </c>
      <c r="AT101" s="71">
        <v>22</v>
      </c>
      <c r="AU101" s="71">
        <v>21</v>
      </c>
      <c r="AV101" s="158">
        <v>19</v>
      </c>
      <c r="AW101" s="30">
        <v>17</v>
      </c>
      <c r="AX101" s="68">
        <v>18</v>
      </c>
      <c r="AY101" s="68">
        <v>20</v>
      </c>
      <c r="AZ101" s="68">
        <v>23</v>
      </c>
      <c r="BA101" s="293">
        <v>23</v>
      </c>
      <c r="BB101" s="293">
        <v>22</v>
      </c>
      <c r="BC101" s="293">
        <v>22</v>
      </c>
      <c r="BD101" s="314">
        <v>21</v>
      </c>
      <c r="BE101" s="314">
        <v>22</v>
      </c>
      <c r="BF101" s="314">
        <v>19</v>
      </c>
      <c r="BG101" s="314">
        <v>24</v>
      </c>
      <c r="BH101" s="314">
        <v>24</v>
      </c>
      <c r="BI101" s="385">
        <f>(BG101-BF101)/BF101</f>
        <v>0.26315789473684209</v>
      </c>
      <c r="BJ101" s="385">
        <f>(BH101-BG101)/BG101</f>
        <v>0</v>
      </c>
      <c r="BK101" s="569">
        <f>BG101-BF101</f>
        <v>5</v>
      </c>
      <c r="BL101" s="569">
        <f>BH101-BG101</f>
        <v>0</v>
      </c>
      <c r="BM101" s="331"/>
      <c r="BN101" s="331"/>
    </row>
    <row r="102" spans="1:66" ht="6" customHeight="1">
      <c r="A102" s="125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8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M102" s="71"/>
      <c r="AN102" s="71"/>
      <c r="AO102" s="71"/>
      <c r="AP102" s="71"/>
      <c r="AQ102" s="71"/>
      <c r="AR102" s="71"/>
      <c r="AS102" s="71"/>
      <c r="AT102" s="71"/>
      <c r="AU102" s="71"/>
      <c r="AV102" s="158"/>
      <c r="AW102" s="257"/>
      <c r="AX102" s="68"/>
      <c r="AY102" s="68"/>
      <c r="AZ102" s="308"/>
      <c r="BA102" s="293"/>
      <c r="BB102" s="293"/>
      <c r="BC102" s="471"/>
      <c r="BD102" s="309"/>
      <c r="BE102" s="309"/>
      <c r="BF102" s="309"/>
      <c r="BG102" s="309"/>
      <c r="BH102" s="309"/>
      <c r="BI102" s="329"/>
      <c r="BJ102" s="329"/>
      <c r="BK102" s="570"/>
      <c r="BL102" s="570"/>
      <c r="BM102" s="331"/>
      <c r="BN102" s="331"/>
    </row>
    <row r="103" spans="1:66" ht="10.5" customHeight="1">
      <c r="A103" s="132" t="s">
        <v>30</v>
      </c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8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M103" s="71"/>
      <c r="AN103" s="71"/>
      <c r="AO103" s="71"/>
      <c r="AP103" s="71"/>
      <c r="AQ103" s="71"/>
      <c r="AR103" s="71"/>
      <c r="AS103" s="71"/>
      <c r="AT103" s="71"/>
      <c r="AU103" s="71"/>
      <c r="AV103" s="158"/>
      <c r="AW103" s="257"/>
      <c r="AX103" s="68"/>
      <c r="AY103" s="68"/>
      <c r="AZ103" s="308"/>
      <c r="BA103" s="293"/>
      <c r="BB103" s="293"/>
      <c r="BC103" s="471"/>
      <c r="BD103" s="309"/>
      <c r="BE103" s="309"/>
      <c r="BF103" s="309"/>
      <c r="BG103" s="309"/>
      <c r="BH103" s="309"/>
      <c r="BI103" s="385"/>
      <c r="BJ103" s="385"/>
      <c r="BK103" s="571"/>
      <c r="BL103" s="571"/>
      <c r="BM103" s="331"/>
      <c r="BN103" s="331"/>
    </row>
    <row r="104" spans="1:66" ht="12" customHeight="1">
      <c r="A104" s="129" t="s">
        <v>127</v>
      </c>
      <c r="B104" s="18" t="s">
        <v>60</v>
      </c>
      <c r="C104" s="18" t="s">
        <v>60</v>
      </c>
      <c r="D104" s="18" t="s">
        <v>60</v>
      </c>
      <c r="E104" s="18" t="s">
        <v>60</v>
      </c>
      <c r="F104" s="18" t="s">
        <v>60</v>
      </c>
      <c r="G104" s="18" t="s">
        <v>60</v>
      </c>
      <c r="H104" s="18" t="s">
        <v>60</v>
      </c>
      <c r="I104" s="18" t="s">
        <v>60</v>
      </c>
      <c r="J104" s="18" t="s">
        <v>60</v>
      </c>
      <c r="K104" s="18" t="s">
        <v>60</v>
      </c>
      <c r="L104" s="18" t="s">
        <v>60</v>
      </c>
      <c r="M104" s="18" t="s">
        <v>60</v>
      </c>
      <c r="N104" s="18" t="s">
        <v>60</v>
      </c>
      <c r="O104" s="18" t="s">
        <v>60</v>
      </c>
      <c r="P104" s="18" t="s">
        <v>60</v>
      </c>
      <c r="Q104" s="18" t="s">
        <v>60</v>
      </c>
      <c r="R104" s="18" t="s">
        <v>60</v>
      </c>
      <c r="S104" s="18" t="s">
        <v>60</v>
      </c>
      <c r="T104" s="18" t="s">
        <v>60</v>
      </c>
      <c r="U104" s="18" t="s">
        <v>60</v>
      </c>
      <c r="V104" s="18" t="s">
        <v>60</v>
      </c>
      <c r="W104" s="18" t="s">
        <v>60</v>
      </c>
      <c r="X104" s="18" t="s">
        <v>60</v>
      </c>
      <c r="Y104" s="18" t="s">
        <v>60</v>
      </c>
      <c r="Z104" s="18" t="s">
        <v>60</v>
      </c>
      <c r="AA104" s="18" t="s">
        <v>60</v>
      </c>
      <c r="AB104" s="18" t="s">
        <v>60</v>
      </c>
      <c r="AC104" s="18" t="s">
        <v>60</v>
      </c>
      <c r="AD104" s="18" t="s">
        <v>60</v>
      </c>
      <c r="AE104" s="18" t="s">
        <v>60</v>
      </c>
      <c r="AF104" s="18" t="s">
        <v>60</v>
      </c>
      <c r="AG104" s="18" t="s">
        <v>60</v>
      </c>
      <c r="AH104" s="18" t="s">
        <v>60</v>
      </c>
      <c r="AI104" s="18" t="s">
        <v>60</v>
      </c>
      <c r="AJ104" s="18" t="s">
        <v>60</v>
      </c>
      <c r="AK104" s="18" t="s">
        <v>60</v>
      </c>
      <c r="AL104" s="18" t="s">
        <v>60</v>
      </c>
      <c r="AM104" s="18" t="s">
        <v>60</v>
      </c>
      <c r="AN104" s="18" t="s">
        <v>60</v>
      </c>
      <c r="AO104" s="18" t="s">
        <v>60</v>
      </c>
      <c r="AP104" s="71">
        <v>2340</v>
      </c>
      <c r="AQ104" s="71">
        <v>2509</v>
      </c>
      <c r="AR104" s="71">
        <f>2384+110</f>
        <v>2494</v>
      </c>
      <c r="AS104" s="71">
        <v>2914</v>
      </c>
      <c r="AT104" s="71">
        <v>2730</v>
      </c>
      <c r="AU104" s="71">
        <v>2699</v>
      </c>
      <c r="AV104" s="158">
        <f>2145+141</f>
        <v>2286</v>
      </c>
      <c r="AW104" s="30">
        <f>2283+117</f>
        <v>2400</v>
      </c>
      <c r="AX104" s="68">
        <v>2140</v>
      </c>
      <c r="AY104" s="68">
        <v>2296</v>
      </c>
      <c r="AZ104" s="68">
        <v>2289</v>
      </c>
      <c r="BA104" s="293">
        <v>2241</v>
      </c>
      <c r="BB104" s="293">
        <f>2069+95</f>
        <v>2164</v>
      </c>
      <c r="BC104" s="293">
        <f>1933+84</f>
        <v>2017</v>
      </c>
      <c r="BD104" s="314">
        <f>1859+79</f>
        <v>1938</v>
      </c>
      <c r="BE104" s="314">
        <f>1810+73</f>
        <v>1883</v>
      </c>
      <c r="BF104" s="314">
        <f>1749+76</f>
        <v>1825</v>
      </c>
      <c r="BG104" s="314">
        <f>1749+76</f>
        <v>1825</v>
      </c>
      <c r="BH104" s="314">
        <f>1554+79</f>
        <v>1633</v>
      </c>
      <c r="BI104" s="385">
        <f>(BG104-BF104)/BF104</f>
        <v>0</v>
      </c>
      <c r="BJ104" s="385">
        <f>(BH104-BG104)/BG104</f>
        <v>-0.1052054794520548</v>
      </c>
      <c r="BK104" s="569">
        <f>BG104-BF104</f>
        <v>0</v>
      </c>
      <c r="BL104" s="569">
        <f>BH104-BG104</f>
        <v>-192</v>
      </c>
      <c r="BM104" s="331"/>
      <c r="BN104" s="331"/>
    </row>
    <row r="105" spans="1:66" ht="6" customHeight="1">
      <c r="A105" s="125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8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M105" s="71"/>
      <c r="AN105" s="71"/>
      <c r="AO105" s="71"/>
      <c r="AP105" s="71"/>
      <c r="AQ105" s="71"/>
      <c r="AR105" s="71"/>
      <c r="AS105" s="71"/>
      <c r="AT105" s="71"/>
      <c r="AU105" s="71"/>
      <c r="AV105" s="158"/>
      <c r="AW105" s="257"/>
      <c r="AX105" s="68"/>
      <c r="AY105" s="68"/>
      <c r="AZ105" s="308"/>
      <c r="BA105" s="293"/>
      <c r="BB105" s="293"/>
      <c r="BC105" s="471"/>
      <c r="BD105" s="309"/>
      <c r="BE105" s="309"/>
      <c r="BF105" s="309"/>
      <c r="BG105" s="309"/>
      <c r="BH105" s="309"/>
      <c r="BI105" s="329"/>
      <c r="BJ105" s="329"/>
      <c r="BK105" s="570"/>
      <c r="BL105" s="570"/>
      <c r="BM105" s="331"/>
      <c r="BN105" s="331"/>
    </row>
    <row r="106" spans="1:66" ht="11.1" customHeight="1">
      <c r="A106" s="126" t="s">
        <v>40</v>
      </c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8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M106" s="71"/>
      <c r="AN106" s="71"/>
      <c r="AO106" s="71"/>
      <c r="AP106" s="71"/>
      <c r="AQ106" s="71"/>
      <c r="AR106" s="71"/>
      <c r="AS106" s="71"/>
      <c r="AT106" s="71"/>
      <c r="AU106" s="71"/>
      <c r="AV106" s="158"/>
      <c r="AW106" s="257"/>
      <c r="AX106" s="68"/>
      <c r="AY106" s="68"/>
      <c r="AZ106" s="308"/>
      <c r="BA106" s="293"/>
      <c r="BB106" s="293"/>
      <c r="BC106" s="471"/>
      <c r="BD106" s="309"/>
      <c r="BE106" s="309"/>
      <c r="BF106" s="309"/>
      <c r="BG106" s="309"/>
      <c r="BH106" s="309"/>
      <c r="BI106" s="329"/>
      <c r="BJ106" s="329"/>
      <c r="BK106" s="570"/>
      <c r="BL106" s="570"/>
      <c r="BM106" s="331"/>
      <c r="BN106" s="331"/>
    </row>
    <row r="107" spans="1:66" ht="11.1" customHeight="1">
      <c r="A107" s="129" t="s">
        <v>128</v>
      </c>
      <c r="B107" s="18" t="s">
        <v>60</v>
      </c>
      <c r="C107" s="18" t="s">
        <v>60</v>
      </c>
      <c r="D107" s="18" t="s">
        <v>60</v>
      </c>
      <c r="E107" s="18" t="s">
        <v>60</v>
      </c>
      <c r="F107" s="18" t="s">
        <v>60</v>
      </c>
      <c r="G107" s="18" t="s">
        <v>60</v>
      </c>
      <c r="H107" s="18" t="s">
        <v>60</v>
      </c>
      <c r="I107" s="18" t="s">
        <v>60</v>
      </c>
      <c r="J107" s="18" t="s">
        <v>60</v>
      </c>
      <c r="K107" s="18" t="s">
        <v>60</v>
      </c>
      <c r="L107" s="18" t="s">
        <v>60</v>
      </c>
      <c r="M107" s="12">
        <v>398</v>
      </c>
      <c r="N107" s="12">
        <v>437</v>
      </c>
      <c r="O107" s="12">
        <v>566</v>
      </c>
      <c r="P107" s="12">
        <v>437</v>
      </c>
      <c r="Q107" s="12">
        <v>546</v>
      </c>
      <c r="R107" s="12">
        <v>670</v>
      </c>
      <c r="S107" s="12">
        <v>737</v>
      </c>
      <c r="T107" s="12">
        <v>754</v>
      </c>
      <c r="U107" s="12">
        <v>800</v>
      </c>
      <c r="V107" s="12">
        <v>800</v>
      </c>
      <c r="W107" s="12">
        <v>800</v>
      </c>
      <c r="X107" s="12">
        <v>830</v>
      </c>
      <c r="Y107" s="12">
        <v>860</v>
      </c>
      <c r="Z107" s="12">
        <v>900</v>
      </c>
      <c r="AA107" s="12">
        <v>905</v>
      </c>
      <c r="AB107" s="12">
        <v>913</v>
      </c>
      <c r="AC107" s="12">
        <v>890</v>
      </c>
      <c r="AD107" s="12">
        <v>968</v>
      </c>
      <c r="AE107" s="12">
        <v>1113</v>
      </c>
      <c r="AF107" s="12">
        <v>1201</v>
      </c>
      <c r="AG107" s="12">
        <v>1201</v>
      </c>
      <c r="AH107" s="12">
        <v>1305</v>
      </c>
      <c r="AI107" s="12">
        <v>1359</v>
      </c>
      <c r="AJ107" s="12">
        <v>1389</v>
      </c>
      <c r="AK107" s="12">
        <v>1407</v>
      </c>
      <c r="AL107" s="12">
        <v>1382</v>
      </c>
      <c r="AM107" s="71">
        <v>1312</v>
      </c>
      <c r="AN107" s="71">
        <v>1543</v>
      </c>
      <c r="AO107" s="71">
        <v>1372</v>
      </c>
      <c r="AP107" s="71">
        <v>1354</v>
      </c>
      <c r="AQ107" s="71">
        <v>1404</v>
      </c>
      <c r="AR107" s="71">
        <v>1447</v>
      </c>
      <c r="AS107" s="71">
        <v>1465</v>
      </c>
      <c r="AT107" s="71">
        <v>1448</v>
      </c>
      <c r="AU107" s="71">
        <v>1383</v>
      </c>
      <c r="AV107" s="158">
        <v>1357</v>
      </c>
      <c r="AW107" s="30">
        <v>1374</v>
      </c>
      <c r="AX107" s="68">
        <v>1402</v>
      </c>
      <c r="AY107" s="68">
        <v>1470</v>
      </c>
      <c r="AZ107" s="68">
        <v>1604</v>
      </c>
      <c r="BA107" s="293">
        <v>1486</v>
      </c>
      <c r="BB107" s="293">
        <f>1379+77</f>
        <v>1456</v>
      </c>
      <c r="BC107" s="293">
        <f>1384+25</f>
        <v>1409</v>
      </c>
      <c r="BD107" s="314">
        <f>1343+25</f>
        <v>1368</v>
      </c>
      <c r="BE107" s="314">
        <f>1395+32</f>
        <v>1427</v>
      </c>
      <c r="BF107" s="314">
        <f>1473+34</f>
        <v>1507</v>
      </c>
      <c r="BG107" s="314">
        <f>1475+34</f>
        <v>1509</v>
      </c>
      <c r="BH107" s="314">
        <f>1475+34</f>
        <v>1509</v>
      </c>
      <c r="BI107" s="385">
        <f>(BG107-BF107)/BF107</f>
        <v>1.3271400132714001E-3</v>
      </c>
      <c r="BJ107" s="385">
        <f>(BH107-BG107)/BG107</f>
        <v>0</v>
      </c>
      <c r="BK107" s="569">
        <f>BG107-BF107</f>
        <v>2</v>
      </c>
      <c r="BL107" s="569">
        <f>BH107-BG107</f>
        <v>0</v>
      </c>
      <c r="BM107" s="331"/>
      <c r="BN107" s="331"/>
    </row>
    <row r="108" spans="1:66" ht="6" customHeight="1">
      <c r="A108" s="125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0"/>
      <c r="M108" s="87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M108" s="71"/>
      <c r="AN108" s="71"/>
      <c r="AO108" s="71"/>
      <c r="AP108" s="71"/>
      <c r="AQ108" s="71"/>
      <c r="AR108" s="71"/>
      <c r="AS108" s="71"/>
      <c r="AT108" s="71"/>
      <c r="AU108" s="71"/>
      <c r="AV108" s="158"/>
      <c r="AW108" s="257"/>
      <c r="AX108" s="68"/>
      <c r="AY108" s="68"/>
      <c r="AZ108" s="308"/>
      <c r="BA108" s="293"/>
      <c r="BB108" s="293"/>
      <c r="BC108" s="471"/>
      <c r="BD108" s="309"/>
      <c r="BE108" s="309"/>
      <c r="BF108" s="309"/>
      <c r="BG108" s="309"/>
      <c r="BH108" s="309"/>
      <c r="BI108" s="329"/>
      <c r="BJ108" s="329"/>
      <c r="BK108" s="570"/>
      <c r="BL108" s="570"/>
      <c r="BM108" s="331"/>
      <c r="BN108" s="331"/>
    </row>
    <row r="109" spans="1:66" ht="11.1" customHeight="1">
      <c r="A109" s="126" t="s">
        <v>41</v>
      </c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M109" s="71"/>
      <c r="AN109" s="71"/>
      <c r="AO109" s="71"/>
      <c r="AP109" s="71"/>
      <c r="AQ109" s="71"/>
      <c r="AR109" s="71"/>
      <c r="AS109" s="71"/>
      <c r="AT109" s="71"/>
      <c r="AU109" s="71"/>
      <c r="AV109" s="158"/>
      <c r="AW109" s="257"/>
      <c r="AX109" s="68"/>
      <c r="AY109" s="68"/>
      <c r="AZ109" s="308"/>
      <c r="BA109" s="293"/>
      <c r="BB109" s="293"/>
      <c r="BC109" s="471"/>
      <c r="BD109" s="309"/>
      <c r="BE109" s="309"/>
      <c r="BF109" s="309"/>
      <c r="BG109" s="309"/>
      <c r="BH109" s="309"/>
      <c r="BI109" s="329"/>
      <c r="BJ109" s="329"/>
      <c r="BK109" s="570"/>
      <c r="BL109" s="570"/>
      <c r="BM109" s="331"/>
      <c r="BN109" s="331"/>
    </row>
    <row r="110" spans="1:66" ht="11.1" customHeight="1">
      <c r="A110" s="129" t="s">
        <v>129</v>
      </c>
      <c r="B110" s="28">
        <v>368</v>
      </c>
      <c r="C110" s="28">
        <v>410</v>
      </c>
      <c r="D110" s="28">
        <v>418</v>
      </c>
      <c r="E110" s="28">
        <v>473</v>
      </c>
      <c r="F110" s="28">
        <v>486</v>
      </c>
      <c r="G110" s="28">
        <v>446</v>
      </c>
      <c r="H110" s="28">
        <v>419</v>
      </c>
      <c r="I110" s="28">
        <v>427</v>
      </c>
      <c r="J110" s="28">
        <v>430</v>
      </c>
      <c r="K110" s="28">
        <v>455</v>
      </c>
      <c r="L110" s="12">
        <v>452</v>
      </c>
      <c r="M110" s="12">
        <v>415</v>
      </c>
      <c r="N110" s="12">
        <v>627</v>
      </c>
      <c r="O110" s="12">
        <v>687</v>
      </c>
      <c r="P110" s="12">
        <v>723</v>
      </c>
      <c r="Q110" s="12">
        <v>861</v>
      </c>
      <c r="R110" s="12">
        <v>1262</v>
      </c>
      <c r="S110" s="12">
        <v>1325</v>
      </c>
      <c r="T110" s="12">
        <v>1591</v>
      </c>
      <c r="U110" s="12">
        <v>1614</v>
      </c>
      <c r="V110" s="12">
        <v>1913</v>
      </c>
      <c r="W110" s="12">
        <v>1788</v>
      </c>
      <c r="X110" s="12">
        <v>1630</v>
      </c>
      <c r="Y110" s="12">
        <v>1343</v>
      </c>
      <c r="Z110" s="12">
        <v>1299</v>
      </c>
      <c r="AA110" s="12">
        <v>1437</v>
      </c>
      <c r="AB110" s="12">
        <v>1777</v>
      </c>
      <c r="AC110" s="12">
        <v>1873</v>
      </c>
      <c r="AD110" s="12">
        <v>1856</v>
      </c>
      <c r="AE110" s="12">
        <v>1988</v>
      </c>
      <c r="AF110" s="12">
        <v>2059</v>
      </c>
      <c r="AG110" s="12">
        <v>2337</v>
      </c>
      <c r="AH110" s="12">
        <v>2519</v>
      </c>
      <c r="AI110" s="12">
        <v>2860</v>
      </c>
      <c r="AJ110" s="12">
        <v>3014</v>
      </c>
      <c r="AK110" s="12">
        <v>2268</v>
      </c>
      <c r="AL110" s="12">
        <v>1993</v>
      </c>
      <c r="AM110" s="71">
        <v>2099</v>
      </c>
      <c r="AN110" s="71">
        <v>1508</v>
      </c>
      <c r="AO110" s="71">
        <v>1894</v>
      </c>
      <c r="AP110" s="71">
        <v>1848.2326869806095</v>
      </c>
      <c r="AQ110" s="71">
        <v>1831.8203309692669</v>
      </c>
      <c r="AR110" s="71">
        <v>1956</v>
      </c>
      <c r="AS110" s="71">
        <v>2014</v>
      </c>
      <c r="AT110" s="71">
        <v>2139</v>
      </c>
      <c r="AU110" s="71">
        <v>2156</v>
      </c>
      <c r="AV110" s="158">
        <v>2416</v>
      </c>
      <c r="AW110" s="30">
        <v>2259.6741359984831</v>
      </c>
      <c r="AX110" s="233">
        <v>2220.339895887746</v>
      </c>
      <c r="AY110" s="233">
        <v>1930</v>
      </c>
      <c r="AZ110" s="233">
        <v>2548</v>
      </c>
      <c r="BA110" s="314">
        <v>2696</v>
      </c>
      <c r="BB110" s="314">
        <v>2204</v>
      </c>
      <c r="BC110" s="314">
        <v>2053</v>
      </c>
      <c r="BD110" s="314">
        <v>1875</v>
      </c>
      <c r="BE110" s="314">
        <v>1124</v>
      </c>
      <c r="BF110" s="314">
        <v>1586</v>
      </c>
      <c r="BG110" s="314">
        <v>1588</v>
      </c>
      <c r="BH110" s="314">
        <v>1622</v>
      </c>
      <c r="BI110" s="385">
        <f t="shared" ref="BI110:BJ116" si="37">(BG110-BF110)/BF110</f>
        <v>1.2610340479192938E-3</v>
      </c>
      <c r="BJ110" s="385">
        <f t="shared" si="37"/>
        <v>2.1410579345088162E-2</v>
      </c>
      <c r="BK110" s="569">
        <f t="shared" ref="BK110:BL116" si="38">BG110-BF110</f>
        <v>2</v>
      </c>
      <c r="BL110" s="569">
        <f t="shared" si="38"/>
        <v>34</v>
      </c>
      <c r="BM110" s="331"/>
      <c r="BN110" s="331"/>
    </row>
    <row r="111" spans="1:66" s="320" customFormat="1" ht="10.5" customHeight="1">
      <c r="A111" s="426" t="s">
        <v>130</v>
      </c>
      <c r="B111" s="369" t="s">
        <v>60</v>
      </c>
      <c r="C111" s="369" t="s">
        <v>60</v>
      </c>
      <c r="D111" s="369" t="s">
        <v>60</v>
      </c>
      <c r="E111" s="369" t="s">
        <v>60</v>
      </c>
      <c r="F111" s="369" t="s">
        <v>60</v>
      </c>
      <c r="G111" s="369" t="s">
        <v>60</v>
      </c>
      <c r="H111" s="369" t="s">
        <v>60</v>
      </c>
      <c r="I111" s="369" t="s">
        <v>60</v>
      </c>
      <c r="J111" s="369" t="s">
        <v>60</v>
      </c>
      <c r="K111" s="369" t="s">
        <v>60</v>
      </c>
      <c r="L111" s="369" t="s">
        <v>60</v>
      </c>
      <c r="M111" s="369" t="s">
        <v>60</v>
      </c>
      <c r="N111" s="369" t="s">
        <v>60</v>
      </c>
      <c r="O111" s="369" t="s">
        <v>60</v>
      </c>
      <c r="P111" s="369" t="s">
        <v>60</v>
      </c>
      <c r="Q111" s="369" t="s">
        <v>60</v>
      </c>
      <c r="R111" s="369" t="s">
        <v>60</v>
      </c>
      <c r="S111" s="369" t="s">
        <v>60</v>
      </c>
      <c r="T111" s="369" t="s">
        <v>60</v>
      </c>
      <c r="U111" s="369" t="s">
        <v>60</v>
      </c>
      <c r="V111" s="369" t="s">
        <v>60</v>
      </c>
      <c r="W111" s="369" t="s">
        <v>60</v>
      </c>
      <c r="X111" s="369" t="s">
        <v>60</v>
      </c>
      <c r="Y111" s="368">
        <f>2313+47</f>
        <v>2360</v>
      </c>
      <c r="Z111" s="368">
        <f>1976+39</f>
        <v>2015</v>
      </c>
      <c r="AA111" s="368">
        <f>2081+25</f>
        <v>2106</v>
      </c>
      <c r="AB111" s="368">
        <f>2066+11</f>
        <v>2077</v>
      </c>
      <c r="AC111" s="368">
        <f>2019+9</f>
        <v>2028</v>
      </c>
      <c r="AD111" s="368">
        <f>2009+10</f>
        <v>2019</v>
      </c>
      <c r="AE111" s="368">
        <v>2066</v>
      </c>
      <c r="AF111" s="368">
        <f>2058+6</f>
        <v>2064</v>
      </c>
      <c r="AG111" s="368">
        <f>2020+8</f>
        <v>2028</v>
      </c>
      <c r="AH111" s="368">
        <f>2059+9</f>
        <v>2068</v>
      </c>
      <c r="AI111" s="368">
        <f>1977+6+8</f>
        <v>1991</v>
      </c>
      <c r="AJ111" s="368">
        <f>1907+5+1</f>
        <v>1913</v>
      </c>
      <c r="AK111" s="368">
        <f>1748+5</f>
        <v>1753</v>
      </c>
      <c r="AL111" s="368">
        <f>1655+68+5</f>
        <v>1728</v>
      </c>
      <c r="AM111" s="368">
        <f>1454+225</f>
        <v>1679</v>
      </c>
      <c r="AN111" s="368">
        <f>1334+336</f>
        <v>1670</v>
      </c>
      <c r="AO111" s="368">
        <f>1357+365</f>
        <v>1722</v>
      </c>
      <c r="AP111" s="368">
        <f>1383+365</f>
        <v>1748</v>
      </c>
      <c r="AQ111" s="368">
        <f>1669+51</f>
        <v>1720</v>
      </c>
      <c r="AR111" s="368">
        <f>1647+62</f>
        <v>1709</v>
      </c>
      <c r="AS111" s="368">
        <v>1596</v>
      </c>
      <c r="AT111" s="368">
        <v>1599</v>
      </c>
      <c r="AU111" s="368">
        <v>1609</v>
      </c>
      <c r="AV111" s="369">
        <f>1474+145</f>
        <v>1619</v>
      </c>
      <c r="AW111" s="369">
        <f>1462+120</f>
        <v>1582</v>
      </c>
      <c r="AX111" s="293">
        <v>1560</v>
      </c>
      <c r="AY111" s="293">
        <v>1603</v>
      </c>
      <c r="AZ111" s="293">
        <f>1531+130</f>
        <v>1661</v>
      </c>
      <c r="BA111" s="293">
        <v>1723</v>
      </c>
      <c r="BB111" s="293">
        <f>453+107</f>
        <v>560</v>
      </c>
      <c r="BC111" s="293">
        <v>543</v>
      </c>
      <c r="BD111" s="314">
        <v>543</v>
      </c>
      <c r="BE111" s="314">
        <v>566</v>
      </c>
      <c r="BF111" s="314">
        <v>570</v>
      </c>
      <c r="BG111" s="314">
        <v>570</v>
      </c>
      <c r="BH111" s="314">
        <v>556</v>
      </c>
      <c r="BI111" s="385">
        <f t="shared" si="37"/>
        <v>0</v>
      </c>
      <c r="BJ111" s="385">
        <f t="shared" si="37"/>
        <v>-2.456140350877193E-2</v>
      </c>
      <c r="BK111" s="569">
        <f t="shared" si="38"/>
        <v>0</v>
      </c>
      <c r="BL111" s="569">
        <f t="shared" si="38"/>
        <v>-14</v>
      </c>
    </row>
    <row r="112" spans="1:66" s="320" customFormat="1" ht="10.5" customHeight="1">
      <c r="A112" s="373" t="s">
        <v>112</v>
      </c>
      <c r="B112" s="292" t="s">
        <v>3</v>
      </c>
      <c r="C112" s="292" t="s">
        <v>3</v>
      </c>
      <c r="D112" s="292" t="s">
        <v>3</v>
      </c>
      <c r="E112" s="292" t="s">
        <v>3</v>
      </c>
      <c r="F112" s="292" t="s">
        <v>3</v>
      </c>
      <c r="G112" s="292" t="s">
        <v>3</v>
      </c>
      <c r="H112" s="292" t="s">
        <v>3</v>
      </c>
      <c r="I112" s="292" t="s">
        <v>3</v>
      </c>
      <c r="J112" s="292" t="s">
        <v>3</v>
      </c>
      <c r="K112" s="292" t="s">
        <v>3</v>
      </c>
      <c r="L112" s="292" t="s">
        <v>3</v>
      </c>
      <c r="M112" s="292" t="s">
        <v>3</v>
      </c>
      <c r="N112" s="292" t="s">
        <v>3</v>
      </c>
      <c r="O112" s="292" t="s">
        <v>3</v>
      </c>
      <c r="P112" s="292" t="s">
        <v>3</v>
      </c>
      <c r="Q112" s="292" t="s">
        <v>3</v>
      </c>
      <c r="R112" s="292" t="s">
        <v>3</v>
      </c>
      <c r="S112" s="292" t="s">
        <v>3</v>
      </c>
      <c r="T112" s="292" t="s">
        <v>3</v>
      </c>
      <c r="U112" s="292" t="s">
        <v>3</v>
      </c>
      <c r="V112" s="292" t="s">
        <v>3</v>
      </c>
      <c r="W112" s="292" t="s">
        <v>3</v>
      </c>
      <c r="X112" s="292" t="s">
        <v>3</v>
      </c>
      <c r="Y112" s="292" t="s">
        <v>3</v>
      </c>
      <c r="Z112" s="292" t="s">
        <v>3</v>
      </c>
      <c r="AA112" s="292" t="s">
        <v>3</v>
      </c>
      <c r="AB112" s="292" t="s">
        <v>3</v>
      </c>
      <c r="AC112" s="292" t="s">
        <v>3</v>
      </c>
      <c r="AD112" s="292" t="s">
        <v>3</v>
      </c>
      <c r="AE112" s="292" t="s">
        <v>3</v>
      </c>
      <c r="AF112" s="292" t="s">
        <v>3</v>
      </c>
      <c r="AG112" s="292" t="s">
        <v>3</v>
      </c>
      <c r="AH112" s="292" t="s">
        <v>3</v>
      </c>
      <c r="AI112" s="292" t="s">
        <v>3</v>
      </c>
      <c r="AJ112" s="292" t="s">
        <v>3</v>
      </c>
      <c r="AK112" s="292" t="s">
        <v>3</v>
      </c>
      <c r="AL112" s="292" t="s">
        <v>3</v>
      </c>
      <c r="AM112" s="292" t="s">
        <v>3</v>
      </c>
      <c r="AN112" s="292" t="s">
        <v>3</v>
      </c>
      <c r="AO112" s="292" t="s">
        <v>3</v>
      </c>
      <c r="AP112" s="292" t="s">
        <v>3</v>
      </c>
      <c r="AQ112" s="292" t="s">
        <v>3</v>
      </c>
      <c r="AR112" s="292" t="s">
        <v>3</v>
      </c>
      <c r="AS112" s="292" t="s">
        <v>3</v>
      </c>
      <c r="AT112" s="292" t="s">
        <v>3</v>
      </c>
      <c r="AU112" s="292" t="s">
        <v>3</v>
      </c>
      <c r="AV112" s="383" t="s">
        <v>3</v>
      </c>
      <c r="AW112" s="383" t="s">
        <v>3</v>
      </c>
      <c r="AX112" s="292" t="s">
        <v>3</v>
      </c>
      <c r="AY112" s="292" t="s">
        <v>3</v>
      </c>
      <c r="AZ112" s="292" t="s">
        <v>3</v>
      </c>
      <c r="BA112" s="292" t="s">
        <v>3</v>
      </c>
      <c r="BB112" s="320">
        <f>386+212</f>
        <v>598</v>
      </c>
      <c r="BC112" s="320">
        <f>583+120</f>
        <v>703</v>
      </c>
      <c r="BD112" s="374">
        <f>645+112</f>
        <v>757</v>
      </c>
      <c r="BE112" s="374">
        <f>657+111</f>
        <v>768</v>
      </c>
      <c r="BF112" s="374">
        <f>696+116</f>
        <v>812</v>
      </c>
      <c r="BG112" s="374">
        <f>734+125</f>
        <v>859</v>
      </c>
      <c r="BH112" s="374">
        <f>734+125</f>
        <v>859</v>
      </c>
      <c r="BI112" s="385">
        <f t="shared" si="37"/>
        <v>5.7881773399014777E-2</v>
      </c>
      <c r="BJ112" s="385">
        <f t="shared" si="37"/>
        <v>0</v>
      </c>
      <c r="BK112" s="569">
        <f t="shared" si="38"/>
        <v>47</v>
      </c>
      <c r="BL112" s="569">
        <f t="shared" si="38"/>
        <v>0</v>
      </c>
    </row>
    <row r="113" spans="1:255" s="373" customFormat="1" ht="10.5" customHeight="1">
      <c r="A113" s="373" t="s">
        <v>113</v>
      </c>
      <c r="B113" s="292" t="s">
        <v>3</v>
      </c>
      <c r="C113" s="292" t="s">
        <v>3</v>
      </c>
      <c r="D113" s="292" t="s">
        <v>3</v>
      </c>
      <c r="E113" s="292" t="s">
        <v>3</v>
      </c>
      <c r="F113" s="292" t="s">
        <v>3</v>
      </c>
      <c r="G113" s="292" t="s">
        <v>3</v>
      </c>
      <c r="H113" s="292" t="s">
        <v>3</v>
      </c>
      <c r="I113" s="292" t="s">
        <v>3</v>
      </c>
      <c r="J113" s="292" t="s">
        <v>3</v>
      </c>
      <c r="K113" s="292" t="s">
        <v>3</v>
      </c>
      <c r="L113" s="292" t="s">
        <v>3</v>
      </c>
      <c r="M113" s="292" t="s">
        <v>3</v>
      </c>
      <c r="N113" s="292" t="s">
        <v>3</v>
      </c>
      <c r="O113" s="292" t="s">
        <v>3</v>
      </c>
      <c r="P113" s="292" t="s">
        <v>3</v>
      </c>
      <c r="Q113" s="292" t="s">
        <v>3</v>
      </c>
      <c r="R113" s="292" t="s">
        <v>3</v>
      </c>
      <c r="S113" s="292" t="s">
        <v>3</v>
      </c>
      <c r="T113" s="292" t="s">
        <v>3</v>
      </c>
      <c r="U113" s="292" t="s">
        <v>3</v>
      </c>
      <c r="V113" s="292" t="s">
        <v>3</v>
      </c>
      <c r="W113" s="292" t="s">
        <v>3</v>
      </c>
      <c r="X113" s="292" t="s">
        <v>3</v>
      </c>
      <c r="Y113" s="292" t="s">
        <v>3</v>
      </c>
      <c r="Z113" s="292" t="s">
        <v>3</v>
      </c>
      <c r="AA113" s="292" t="s">
        <v>3</v>
      </c>
      <c r="AB113" s="292" t="s">
        <v>3</v>
      </c>
      <c r="AC113" s="292" t="s">
        <v>3</v>
      </c>
      <c r="AD113" s="292" t="s">
        <v>3</v>
      </c>
      <c r="AE113" s="292" t="s">
        <v>3</v>
      </c>
      <c r="AF113" s="292" t="s">
        <v>3</v>
      </c>
      <c r="AG113" s="292" t="s">
        <v>3</v>
      </c>
      <c r="AH113" s="292" t="s">
        <v>3</v>
      </c>
      <c r="AI113" s="320">
        <v>10</v>
      </c>
      <c r="AJ113" s="320">
        <v>10</v>
      </c>
      <c r="AK113" s="320">
        <v>26</v>
      </c>
      <c r="AL113" s="320">
        <v>26</v>
      </c>
      <c r="AM113" s="320">
        <v>26</v>
      </c>
      <c r="AN113" s="320">
        <v>23</v>
      </c>
      <c r="AO113" s="320">
        <v>23</v>
      </c>
      <c r="AP113" s="320">
        <v>23</v>
      </c>
      <c r="AQ113" s="320">
        <v>23</v>
      </c>
      <c r="AR113" s="320">
        <v>23</v>
      </c>
      <c r="AS113" s="320">
        <v>22</v>
      </c>
      <c r="AT113" s="320">
        <v>22</v>
      </c>
      <c r="AU113" s="320">
        <v>22</v>
      </c>
      <c r="AV113" s="320">
        <v>22</v>
      </c>
      <c r="AW113" s="320">
        <v>18</v>
      </c>
      <c r="AX113" s="320">
        <v>18</v>
      </c>
      <c r="AY113" s="320">
        <v>18</v>
      </c>
      <c r="AZ113" s="320">
        <v>18</v>
      </c>
      <c r="BA113" s="320">
        <v>15</v>
      </c>
      <c r="BB113" s="320">
        <v>17</v>
      </c>
      <c r="BC113" s="320">
        <v>19</v>
      </c>
      <c r="BD113" s="374">
        <v>16</v>
      </c>
      <c r="BE113" s="374">
        <v>17</v>
      </c>
      <c r="BF113" s="374">
        <v>17</v>
      </c>
      <c r="BG113" s="374">
        <v>22</v>
      </c>
      <c r="BH113" s="374">
        <v>22</v>
      </c>
      <c r="BI113" s="385">
        <f t="shared" si="37"/>
        <v>0.29411764705882354</v>
      </c>
      <c r="BJ113" s="385">
        <f t="shared" si="37"/>
        <v>0</v>
      </c>
      <c r="BK113" s="569">
        <f t="shared" si="38"/>
        <v>5</v>
      </c>
      <c r="BL113" s="569">
        <f t="shared" si="38"/>
        <v>0</v>
      </c>
      <c r="BM113" s="350"/>
      <c r="BN113" s="350"/>
    </row>
    <row r="114" spans="1:255" ht="11.1" customHeight="1">
      <c r="A114" s="129" t="s">
        <v>131</v>
      </c>
      <c r="B114" s="84" t="s">
        <v>3</v>
      </c>
      <c r="C114" s="84" t="s">
        <v>3</v>
      </c>
      <c r="D114" s="84" t="s">
        <v>3</v>
      </c>
      <c r="E114" s="84" t="s">
        <v>3</v>
      </c>
      <c r="F114" s="84" t="s">
        <v>3</v>
      </c>
      <c r="G114" s="84" t="s">
        <v>3</v>
      </c>
      <c r="H114" s="84" t="s">
        <v>3</v>
      </c>
      <c r="I114" s="84" t="s">
        <v>3</v>
      </c>
      <c r="J114" s="84" t="s">
        <v>3</v>
      </c>
      <c r="K114" s="84" t="s">
        <v>3</v>
      </c>
      <c r="L114" s="84" t="s">
        <v>3</v>
      </c>
      <c r="M114" s="84" t="s">
        <v>3</v>
      </c>
      <c r="N114" s="84" t="s">
        <v>3</v>
      </c>
      <c r="O114" s="84" t="s">
        <v>3</v>
      </c>
      <c r="P114" s="84" t="s">
        <v>3</v>
      </c>
      <c r="Q114" s="84" t="s">
        <v>3</v>
      </c>
      <c r="R114" s="84" t="s">
        <v>3</v>
      </c>
      <c r="S114" s="84" t="s">
        <v>3</v>
      </c>
      <c r="T114" s="83">
        <v>87</v>
      </c>
      <c r="U114" s="83">
        <v>829</v>
      </c>
      <c r="V114" s="83">
        <v>1186</v>
      </c>
      <c r="W114" s="83">
        <v>1158</v>
      </c>
      <c r="X114" s="83">
        <v>923</v>
      </c>
      <c r="Y114" s="83">
        <v>879</v>
      </c>
      <c r="Z114" s="83">
        <v>947</v>
      </c>
      <c r="AA114" s="83">
        <v>1111</v>
      </c>
      <c r="AB114" s="83">
        <v>1150</v>
      </c>
      <c r="AC114" s="83">
        <v>1185</v>
      </c>
      <c r="AD114" s="83">
        <v>1247</v>
      </c>
      <c r="AE114" s="83">
        <v>1246</v>
      </c>
      <c r="AF114" s="83">
        <v>1195</v>
      </c>
      <c r="AG114" s="83">
        <v>1150</v>
      </c>
      <c r="AH114" s="83">
        <v>1153</v>
      </c>
      <c r="AI114" s="83">
        <v>1122</v>
      </c>
      <c r="AJ114" s="83">
        <v>997</v>
      </c>
      <c r="AK114" s="83">
        <v>922</v>
      </c>
      <c r="AL114" s="83">
        <v>665</v>
      </c>
      <c r="AM114" s="71">
        <v>632</v>
      </c>
      <c r="AN114" s="71">
        <v>621</v>
      </c>
      <c r="AO114" s="71">
        <v>631</v>
      </c>
      <c r="AP114" s="99">
        <v>636</v>
      </c>
      <c r="AQ114" s="99">
        <v>627</v>
      </c>
      <c r="AR114" s="82">
        <v>617</v>
      </c>
      <c r="AS114" s="82">
        <v>595</v>
      </c>
      <c r="AT114" s="82">
        <v>567</v>
      </c>
      <c r="AU114" s="82">
        <v>542</v>
      </c>
      <c r="AV114" s="234">
        <f>343+185</f>
        <v>528</v>
      </c>
      <c r="AW114" s="235">
        <f>341+2+185</f>
        <v>528</v>
      </c>
      <c r="AX114" s="233">
        <f>339+2+184</f>
        <v>525</v>
      </c>
      <c r="AY114" s="233">
        <v>516</v>
      </c>
      <c r="AZ114" s="233">
        <v>521</v>
      </c>
      <c r="BA114" s="314">
        <v>504</v>
      </c>
      <c r="BB114" s="314">
        <v>345</v>
      </c>
      <c r="BC114" s="314">
        <v>314</v>
      </c>
      <c r="BD114" s="314">
        <v>296</v>
      </c>
      <c r="BE114" s="314">
        <v>294</v>
      </c>
      <c r="BF114" s="314">
        <v>299</v>
      </c>
      <c r="BG114" s="314">
        <v>298</v>
      </c>
      <c r="BH114" s="314">
        <v>283</v>
      </c>
      <c r="BI114" s="385">
        <f t="shared" si="37"/>
        <v>-3.3444816053511705E-3</v>
      </c>
      <c r="BJ114" s="385">
        <f t="shared" si="37"/>
        <v>-5.0335570469798654E-2</v>
      </c>
      <c r="BK114" s="569">
        <f t="shared" si="38"/>
        <v>-1</v>
      </c>
      <c r="BL114" s="569">
        <f t="shared" si="38"/>
        <v>-15</v>
      </c>
      <c r="BM114" s="331"/>
      <c r="BN114" s="331"/>
    </row>
    <row r="115" spans="1:255" ht="11.1" customHeight="1">
      <c r="A115" s="294" t="s">
        <v>132</v>
      </c>
      <c r="B115" s="86" t="s">
        <v>3</v>
      </c>
      <c r="C115" s="86" t="s">
        <v>3</v>
      </c>
      <c r="D115" s="86" t="s">
        <v>3</v>
      </c>
      <c r="E115" s="86" t="s">
        <v>3</v>
      </c>
      <c r="F115" s="86" t="s">
        <v>3</v>
      </c>
      <c r="G115" s="86" t="s">
        <v>3</v>
      </c>
      <c r="H115" s="86" t="s">
        <v>3</v>
      </c>
      <c r="I115" s="86" t="s">
        <v>3</v>
      </c>
      <c r="J115" s="86" t="s">
        <v>3</v>
      </c>
      <c r="K115" s="86" t="s">
        <v>3</v>
      </c>
      <c r="L115" s="88" t="s">
        <v>3</v>
      </c>
      <c r="M115" s="88" t="s">
        <v>3</v>
      </c>
      <c r="N115" s="88" t="s">
        <v>3</v>
      </c>
      <c r="O115" s="88" t="s">
        <v>3</v>
      </c>
      <c r="P115" s="88" t="s">
        <v>3</v>
      </c>
      <c r="Q115" s="88" t="s">
        <v>3</v>
      </c>
      <c r="R115" s="88" t="s">
        <v>3</v>
      </c>
      <c r="S115" s="88" t="s">
        <v>3</v>
      </c>
      <c r="T115" s="88" t="s">
        <v>3</v>
      </c>
      <c r="U115" s="88" t="s">
        <v>3</v>
      </c>
      <c r="V115" s="88" t="s">
        <v>3</v>
      </c>
      <c r="W115" s="88" t="s">
        <v>3</v>
      </c>
      <c r="X115" s="88" t="s">
        <v>3</v>
      </c>
      <c r="Y115" s="88" t="s">
        <v>3</v>
      </c>
      <c r="Z115" s="88" t="s">
        <v>3</v>
      </c>
      <c r="AA115" s="88" t="s">
        <v>3</v>
      </c>
      <c r="AB115" s="88" t="s">
        <v>3</v>
      </c>
      <c r="AC115" s="88" t="s">
        <v>3</v>
      </c>
      <c r="AD115" s="88" t="s">
        <v>3</v>
      </c>
      <c r="AE115" s="88" t="s">
        <v>3</v>
      </c>
      <c r="AF115" s="88" t="s">
        <v>3</v>
      </c>
      <c r="AG115" s="88" t="s">
        <v>3</v>
      </c>
      <c r="AH115" s="88" t="s">
        <v>3</v>
      </c>
      <c r="AI115" s="88" t="s">
        <v>3</v>
      </c>
      <c r="AJ115" s="88" t="s">
        <v>3</v>
      </c>
      <c r="AK115" s="83">
        <v>1785</v>
      </c>
      <c r="AL115" s="83">
        <v>1884</v>
      </c>
      <c r="AM115" s="71">
        <v>1784</v>
      </c>
      <c r="AN115" s="75">
        <v>1835</v>
      </c>
      <c r="AO115" s="75">
        <v>1848</v>
      </c>
      <c r="AP115" s="75">
        <v>1528</v>
      </c>
      <c r="AQ115" s="75">
        <v>1644</v>
      </c>
      <c r="AR115" s="75">
        <v>1710</v>
      </c>
      <c r="AS115" s="75">
        <v>1675</v>
      </c>
      <c r="AT115" s="75">
        <v>1715</v>
      </c>
      <c r="AU115" s="75">
        <v>1598</v>
      </c>
      <c r="AV115" s="262">
        <v>1058</v>
      </c>
      <c r="AW115" s="229">
        <v>1002</v>
      </c>
      <c r="AX115" s="233">
        <v>1506.6578947368421</v>
      </c>
      <c r="AY115" s="233">
        <v>1314</v>
      </c>
      <c r="AZ115" s="314">
        <v>1510</v>
      </c>
      <c r="BA115" s="314">
        <v>1355</v>
      </c>
      <c r="BB115" s="314">
        <v>1285</v>
      </c>
      <c r="BC115" s="314">
        <v>1237</v>
      </c>
      <c r="BD115" s="314">
        <v>1155</v>
      </c>
      <c r="BE115" s="586">
        <v>1176.5499008592201</v>
      </c>
      <c r="BF115" s="646">
        <v>1184</v>
      </c>
      <c r="BG115" s="646">
        <v>1195</v>
      </c>
      <c r="BH115" s="646">
        <v>980</v>
      </c>
      <c r="BI115" s="385">
        <f t="shared" si="37"/>
        <v>9.2905405405405411E-3</v>
      </c>
      <c r="BJ115" s="385">
        <f t="shared" si="37"/>
        <v>-0.1799163179916318</v>
      </c>
      <c r="BK115" s="569">
        <f t="shared" si="38"/>
        <v>11</v>
      </c>
      <c r="BL115" s="569">
        <f t="shared" si="38"/>
        <v>-215</v>
      </c>
      <c r="BM115" s="331"/>
      <c r="BN115" s="331"/>
    </row>
    <row r="116" spans="1:255" ht="11.1" customHeight="1">
      <c r="A116" s="128" t="s">
        <v>32</v>
      </c>
      <c r="B116" s="95">
        <f t="shared" ref="B116:S116" si="39">SUM(B109:B111)</f>
        <v>368</v>
      </c>
      <c r="C116" s="95">
        <f t="shared" si="39"/>
        <v>410</v>
      </c>
      <c r="D116" s="95">
        <f t="shared" si="39"/>
        <v>418</v>
      </c>
      <c r="E116" s="95">
        <f t="shared" si="39"/>
        <v>473</v>
      </c>
      <c r="F116" s="95">
        <f t="shared" si="39"/>
        <v>486</v>
      </c>
      <c r="G116" s="95">
        <f t="shared" si="39"/>
        <v>446</v>
      </c>
      <c r="H116" s="95">
        <f t="shared" si="39"/>
        <v>419</v>
      </c>
      <c r="I116" s="95">
        <f t="shared" si="39"/>
        <v>427</v>
      </c>
      <c r="J116" s="95">
        <f t="shared" si="39"/>
        <v>430</v>
      </c>
      <c r="K116" s="95">
        <f t="shared" si="39"/>
        <v>455</v>
      </c>
      <c r="L116" s="95">
        <f t="shared" si="39"/>
        <v>452</v>
      </c>
      <c r="M116" s="95">
        <f t="shared" si="39"/>
        <v>415</v>
      </c>
      <c r="N116" s="95">
        <f t="shared" si="39"/>
        <v>627</v>
      </c>
      <c r="O116" s="95">
        <f t="shared" si="39"/>
        <v>687</v>
      </c>
      <c r="P116" s="95">
        <f t="shared" si="39"/>
        <v>723</v>
      </c>
      <c r="Q116" s="95">
        <f t="shared" si="39"/>
        <v>861</v>
      </c>
      <c r="R116" s="95">
        <f t="shared" si="39"/>
        <v>1262</v>
      </c>
      <c r="S116" s="95">
        <f t="shared" si="39"/>
        <v>1325</v>
      </c>
      <c r="T116" s="95">
        <f t="shared" ref="T116:AJ116" si="40">SUM(T109:T114)</f>
        <v>1678</v>
      </c>
      <c r="U116" s="95">
        <f t="shared" si="40"/>
        <v>2443</v>
      </c>
      <c r="V116" s="95">
        <f t="shared" si="40"/>
        <v>3099</v>
      </c>
      <c r="W116" s="95">
        <f t="shared" si="40"/>
        <v>2946</v>
      </c>
      <c r="X116" s="95">
        <f t="shared" si="40"/>
        <v>2553</v>
      </c>
      <c r="Y116" s="95">
        <f t="shared" si="40"/>
        <v>4582</v>
      </c>
      <c r="Z116" s="95">
        <f t="shared" si="40"/>
        <v>4261</v>
      </c>
      <c r="AA116" s="95">
        <f t="shared" si="40"/>
        <v>4654</v>
      </c>
      <c r="AB116" s="95">
        <f t="shared" si="40"/>
        <v>5004</v>
      </c>
      <c r="AC116" s="95">
        <f t="shared" si="40"/>
        <v>5086</v>
      </c>
      <c r="AD116" s="95">
        <f t="shared" si="40"/>
        <v>5122</v>
      </c>
      <c r="AE116" s="95">
        <f t="shared" si="40"/>
        <v>5300</v>
      </c>
      <c r="AF116" s="95">
        <f t="shared" si="40"/>
        <v>5318</v>
      </c>
      <c r="AG116" s="95">
        <f t="shared" si="40"/>
        <v>5515</v>
      </c>
      <c r="AH116" s="95">
        <f t="shared" si="40"/>
        <v>5740</v>
      </c>
      <c r="AI116" s="95">
        <f t="shared" si="40"/>
        <v>5983</v>
      </c>
      <c r="AJ116" s="95">
        <f t="shared" si="40"/>
        <v>5934</v>
      </c>
      <c r="AK116" s="95">
        <f t="shared" ref="AK116:AU116" si="41">SUM(AK109:AK115)</f>
        <v>6754</v>
      </c>
      <c r="AL116" s="95">
        <f t="shared" si="41"/>
        <v>6296</v>
      </c>
      <c r="AM116" s="95">
        <f t="shared" si="41"/>
        <v>6220</v>
      </c>
      <c r="AN116" s="95">
        <f t="shared" si="41"/>
        <v>5657</v>
      </c>
      <c r="AO116" s="95">
        <f t="shared" si="41"/>
        <v>6118</v>
      </c>
      <c r="AP116" s="95">
        <f t="shared" si="41"/>
        <v>5783.2326869806093</v>
      </c>
      <c r="AQ116" s="95">
        <f t="shared" si="41"/>
        <v>5845.8203309692672</v>
      </c>
      <c r="AR116" s="95">
        <f t="shared" si="41"/>
        <v>6015</v>
      </c>
      <c r="AS116" s="95">
        <f t="shared" si="41"/>
        <v>5902</v>
      </c>
      <c r="AT116" s="95">
        <f t="shared" si="41"/>
        <v>6042</v>
      </c>
      <c r="AU116" s="95">
        <f t="shared" si="41"/>
        <v>5927</v>
      </c>
      <c r="AV116" s="151">
        <f t="shared" ref="AV116:BA116" si="42">SUM(AV110:AV115)</f>
        <v>5643</v>
      </c>
      <c r="AW116" s="152">
        <f t="shared" si="42"/>
        <v>5389.6741359984826</v>
      </c>
      <c r="AX116" s="152">
        <f t="shared" si="42"/>
        <v>5829.9977906245877</v>
      </c>
      <c r="AY116" s="193">
        <f t="shared" si="42"/>
        <v>5381</v>
      </c>
      <c r="AZ116" s="193">
        <f t="shared" si="42"/>
        <v>6258</v>
      </c>
      <c r="BA116" s="398">
        <f t="shared" si="42"/>
        <v>6293</v>
      </c>
      <c r="BB116" s="398">
        <f t="shared" ref="BB116:BH116" si="43">SUM(BB110:BB115)</f>
        <v>5009</v>
      </c>
      <c r="BC116" s="398">
        <f t="shared" si="43"/>
        <v>4869</v>
      </c>
      <c r="BD116" s="524">
        <f t="shared" si="43"/>
        <v>4642</v>
      </c>
      <c r="BE116" s="524">
        <f t="shared" si="43"/>
        <v>3945.5499008592201</v>
      </c>
      <c r="BF116" s="524">
        <f t="shared" si="43"/>
        <v>4468</v>
      </c>
      <c r="BG116" s="524">
        <f t="shared" si="43"/>
        <v>4532</v>
      </c>
      <c r="BH116" s="524">
        <f t="shared" si="43"/>
        <v>4322</v>
      </c>
      <c r="BI116" s="415">
        <f t="shared" si="37"/>
        <v>1.432408236347359E-2</v>
      </c>
      <c r="BJ116" s="415">
        <f t="shared" si="37"/>
        <v>-4.6337157987643422E-2</v>
      </c>
      <c r="BK116" s="572">
        <f t="shared" si="38"/>
        <v>64</v>
      </c>
      <c r="BL116" s="572">
        <f t="shared" si="38"/>
        <v>-210</v>
      </c>
      <c r="BM116" s="331"/>
      <c r="BN116" s="331"/>
    </row>
    <row r="117" spans="1:255" ht="6" customHeight="1">
      <c r="A117" s="125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M117" s="71"/>
      <c r="AN117" s="71"/>
      <c r="AO117" s="71"/>
      <c r="AP117" s="71"/>
      <c r="AQ117" s="71"/>
      <c r="AR117" s="71"/>
      <c r="AS117" s="71"/>
      <c r="AT117" s="71"/>
      <c r="AU117" s="71"/>
      <c r="AV117" s="158"/>
      <c r="AW117" s="257"/>
      <c r="AX117" s="68"/>
      <c r="AY117" s="68"/>
      <c r="AZ117" s="308"/>
      <c r="BA117" s="293"/>
      <c r="BB117" s="293"/>
      <c r="BC117" s="471"/>
      <c r="BD117" s="309"/>
      <c r="BE117" s="309"/>
      <c r="BF117" s="309"/>
      <c r="BG117" s="309"/>
      <c r="BH117" s="309"/>
      <c r="BI117" s="329"/>
      <c r="BJ117" s="329"/>
      <c r="BK117" s="570"/>
      <c r="BL117" s="570"/>
      <c r="BM117" s="331"/>
      <c r="BN117" s="331"/>
    </row>
    <row r="118" spans="1:255" ht="11.1" customHeight="1">
      <c r="A118" s="126" t="s">
        <v>42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21"/>
      <c r="Z118" s="321"/>
      <c r="AA118" s="321"/>
      <c r="AB118" s="321"/>
      <c r="AC118" s="321"/>
      <c r="AD118" s="321"/>
      <c r="AE118" s="321"/>
      <c r="AF118" s="321"/>
      <c r="AG118" s="321"/>
      <c r="AH118" s="321"/>
      <c r="AI118" s="321"/>
      <c r="AJ118" s="321"/>
      <c r="AK118" s="321"/>
      <c r="AL118" s="321"/>
      <c r="AM118" s="321"/>
      <c r="AN118" s="321"/>
      <c r="AO118" s="321"/>
      <c r="AP118" s="321"/>
      <c r="AQ118" s="321"/>
      <c r="AR118" s="321"/>
      <c r="AS118" s="321"/>
      <c r="AT118" s="321"/>
      <c r="AU118" s="321"/>
      <c r="AV118" s="321"/>
      <c r="AW118" s="321"/>
      <c r="AX118" s="321"/>
      <c r="AY118" s="321"/>
      <c r="AZ118" s="321"/>
      <c r="BA118" s="321"/>
      <c r="BB118" s="321"/>
      <c r="BC118" s="321"/>
      <c r="BD118" s="321"/>
      <c r="BE118" s="321"/>
      <c r="BF118" s="560"/>
      <c r="BG118" s="560"/>
      <c r="BH118" s="560"/>
      <c r="BI118" s="329"/>
      <c r="BJ118" s="329"/>
      <c r="BK118" s="570"/>
      <c r="BL118" s="570"/>
      <c r="BM118" s="331"/>
      <c r="BN118" s="331"/>
    </row>
    <row r="119" spans="1:255" ht="11.1" customHeight="1">
      <c r="A119" s="129" t="s">
        <v>133</v>
      </c>
      <c r="B119" s="18" t="s">
        <v>3</v>
      </c>
      <c r="C119" s="18" t="s">
        <v>3</v>
      </c>
      <c r="D119" s="18" t="s">
        <v>3</v>
      </c>
      <c r="E119" s="18" t="s">
        <v>3</v>
      </c>
      <c r="F119" s="18" t="s">
        <v>3</v>
      </c>
      <c r="G119" s="18" t="s">
        <v>3</v>
      </c>
      <c r="H119" s="18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18" t="s">
        <v>3</v>
      </c>
      <c r="N119" s="18" t="s">
        <v>3</v>
      </c>
      <c r="O119" s="18" t="s">
        <v>3</v>
      </c>
      <c r="P119" s="18" t="s">
        <v>3</v>
      </c>
      <c r="Q119" s="18" t="s">
        <v>3</v>
      </c>
      <c r="R119" s="18" t="s">
        <v>3</v>
      </c>
      <c r="S119" s="18" t="s">
        <v>3</v>
      </c>
      <c r="T119" s="18" t="s">
        <v>3</v>
      </c>
      <c r="U119" s="18" t="s">
        <v>3</v>
      </c>
      <c r="V119" s="18" t="s">
        <v>3</v>
      </c>
      <c r="W119" s="12">
        <v>1324</v>
      </c>
      <c r="X119" s="12">
        <v>208</v>
      </c>
      <c r="Y119" s="12">
        <v>157</v>
      </c>
      <c r="Z119" s="12">
        <v>124</v>
      </c>
      <c r="AA119" s="12">
        <v>105</v>
      </c>
      <c r="AB119" s="12">
        <v>78</v>
      </c>
      <c r="AC119" s="12">
        <v>87</v>
      </c>
      <c r="AD119" s="12">
        <v>93</v>
      </c>
      <c r="AE119" s="12">
        <v>96</v>
      </c>
      <c r="AF119" s="12">
        <f>5+96</f>
        <v>101</v>
      </c>
      <c r="AG119" s="12">
        <f>4+94</f>
        <v>98</v>
      </c>
      <c r="AH119" s="12">
        <f>7+96</f>
        <v>103</v>
      </c>
      <c r="AI119" s="12">
        <f>5+93</f>
        <v>98</v>
      </c>
      <c r="AJ119" s="12">
        <v>112</v>
      </c>
      <c r="AK119" s="12">
        <v>119</v>
      </c>
      <c r="AL119" s="12">
        <v>117</v>
      </c>
      <c r="AM119" s="71">
        <v>99</v>
      </c>
      <c r="AN119" s="71">
        <v>117</v>
      </c>
      <c r="AO119" s="71">
        <v>132</v>
      </c>
      <c r="AP119" s="71">
        <v>122</v>
      </c>
      <c r="AQ119" s="71">
        <v>90.969494949494944</v>
      </c>
      <c r="AR119" s="71">
        <v>155</v>
      </c>
      <c r="AS119" s="71">
        <v>107</v>
      </c>
      <c r="AT119" s="71">
        <v>92</v>
      </c>
      <c r="AU119" s="71">
        <v>88</v>
      </c>
      <c r="AV119" s="158">
        <v>82</v>
      </c>
      <c r="AW119" s="30">
        <v>80.996463478021596</v>
      </c>
      <c r="AX119" s="233">
        <v>84.583333333333343</v>
      </c>
      <c r="AY119" s="233">
        <v>105</v>
      </c>
      <c r="AZ119" s="233">
        <v>115</v>
      </c>
      <c r="BA119" s="314">
        <v>122</v>
      </c>
      <c r="BB119" s="314">
        <v>112</v>
      </c>
      <c r="BC119" s="314">
        <v>79</v>
      </c>
      <c r="BD119" s="314">
        <v>114</v>
      </c>
      <c r="BE119" s="314">
        <v>99</v>
      </c>
      <c r="BF119" s="314">
        <v>89</v>
      </c>
      <c r="BG119" s="314">
        <v>97</v>
      </c>
      <c r="BH119" s="314">
        <v>108</v>
      </c>
      <c r="BI119" s="385">
        <f>(BG119-BF119)/BF119</f>
        <v>8.98876404494382E-2</v>
      </c>
      <c r="BJ119" s="385">
        <f>(BH119-BG119)/BG119</f>
        <v>0.1134020618556701</v>
      </c>
      <c r="BK119" s="569">
        <f>BG119-BF119</f>
        <v>8</v>
      </c>
      <c r="BL119" s="569">
        <f>BH119-BG119</f>
        <v>11</v>
      </c>
      <c r="BM119" s="331"/>
      <c r="BN119" s="331"/>
      <c r="BO119" s="89"/>
      <c r="BP119" s="89"/>
      <c r="BQ119" s="89"/>
      <c r="BR119" s="89"/>
      <c r="BS119" s="89"/>
      <c r="BT119" s="89"/>
      <c r="BU119" s="89"/>
      <c r="BV119" s="89"/>
      <c r="BW119" s="89"/>
      <c r="BX119" s="89"/>
      <c r="BY119" s="89"/>
      <c r="BZ119" s="89"/>
      <c r="CA119" s="89"/>
      <c r="CB119" s="89"/>
      <c r="CC119" s="89"/>
      <c r="CD119" s="89"/>
      <c r="CE119" s="89"/>
      <c r="CF119" s="89"/>
      <c r="CG119" s="89"/>
      <c r="CH119" s="89"/>
      <c r="CI119" s="89"/>
      <c r="CJ119" s="89"/>
      <c r="CK119" s="89"/>
      <c r="CL119" s="89"/>
      <c r="CM119" s="89"/>
      <c r="CN119" s="89"/>
      <c r="CO119" s="89"/>
      <c r="CP119" s="89"/>
      <c r="CQ119" s="89"/>
      <c r="CR119" s="89"/>
      <c r="CS119" s="89"/>
      <c r="CT119" s="89"/>
      <c r="CU119" s="89"/>
      <c r="CV119" s="89"/>
      <c r="CW119" s="89"/>
      <c r="CX119" s="89"/>
      <c r="CY119" s="89"/>
      <c r="CZ119" s="89"/>
      <c r="DA119" s="89"/>
      <c r="DB119" s="89"/>
      <c r="DC119" s="89"/>
      <c r="DD119" s="89"/>
      <c r="DE119" s="89"/>
      <c r="DF119" s="89"/>
      <c r="DG119" s="89"/>
      <c r="DH119" s="89"/>
      <c r="DI119" s="89"/>
      <c r="DJ119" s="89"/>
      <c r="DK119" s="89"/>
      <c r="DL119" s="89"/>
      <c r="DM119" s="89"/>
      <c r="DN119" s="89"/>
      <c r="DO119" s="89"/>
      <c r="DP119" s="89"/>
      <c r="DQ119" s="89"/>
      <c r="DR119" s="89"/>
      <c r="DS119" s="89"/>
      <c r="DT119" s="89"/>
      <c r="DU119" s="89"/>
      <c r="DV119" s="89"/>
      <c r="DW119" s="89"/>
      <c r="DX119" s="89"/>
      <c r="DY119" s="89"/>
      <c r="DZ119" s="89"/>
      <c r="EA119" s="89"/>
      <c r="EB119" s="89"/>
      <c r="EC119" s="89"/>
      <c r="ED119" s="89"/>
      <c r="EE119" s="89"/>
      <c r="EF119" s="89"/>
      <c r="EG119" s="89"/>
      <c r="EH119" s="89"/>
      <c r="EI119" s="89"/>
      <c r="EJ119" s="89"/>
      <c r="EK119" s="89"/>
      <c r="EL119" s="89"/>
      <c r="EM119" s="89"/>
      <c r="EN119" s="89"/>
      <c r="EO119" s="89"/>
      <c r="EP119" s="89"/>
      <c r="EQ119" s="89"/>
      <c r="ER119" s="89"/>
      <c r="ES119" s="89"/>
      <c r="ET119" s="89"/>
      <c r="EU119" s="89"/>
      <c r="EV119" s="89"/>
      <c r="EW119" s="89"/>
      <c r="EX119" s="89"/>
      <c r="EY119" s="89"/>
      <c r="EZ119" s="89"/>
      <c r="FA119" s="89"/>
      <c r="FB119" s="89"/>
      <c r="FC119" s="89"/>
      <c r="FD119" s="89"/>
      <c r="FE119" s="89"/>
      <c r="FF119" s="89"/>
      <c r="FG119" s="89"/>
      <c r="FH119" s="89"/>
      <c r="FI119" s="89"/>
      <c r="FJ119" s="89"/>
      <c r="FK119" s="89"/>
      <c r="FL119" s="89"/>
      <c r="FM119" s="89"/>
      <c r="FN119" s="89"/>
      <c r="FO119" s="89"/>
      <c r="FP119" s="89"/>
      <c r="FQ119" s="89"/>
      <c r="FR119" s="89"/>
      <c r="FS119" s="89"/>
      <c r="FT119" s="89"/>
      <c r="FU119" s="89"/>
      <c r="FV119" s="89"/>
      <c r="FW119" s="89"/>
      <c r="FX119" s="89"/>
      <c r="FY119" s="89"/>
      <c r="FZ119" s="89"/>
      <c r="GA119" s="89"/>
      <c r="GB119" s="89"/>
      <c r="GC119" s="89"/>
      <c r="GD119" s="89"/>
      <c r="GE119" s="89"/>
      <c r="GF119" s="89"/>
      <c r="GG119" s="89"/>
      <c r="GH119" s="89"/>
      <c r="GI119" s="89"/>
      <c r="GJ119" s="89"/>
      <c r="GK119" s="89"/>
      <c r="GL119" s="89"/>
      <c r="GM119" s="89"/>
      <c r="GN119" s="89"/>
      <c r="GO119" s="89"/>
      <c r="GP119" s="89"/>
      <c r="GQ119" s="89"/>
      <c r="GR119" s="89"/>
      <c r="GS119" s="89"/>
      <c r="GT119" s="89"/>
      <c r="GU119" s="89"/>
      <c r="GV119" s="89"/>
      <c r="GW119" s="89"/>
      <c r="GX119" s="89"/>
      <c r="GY119" s="89"/>
      <c r="GZ119" s="89"/>
      <c r="HA119" s="89"/>
      <c r="HB119" s="89"/>
      <c r="HC119" s="89"/>
      <c r="HD119" s="89"/>
      <c r="HE119" s="89"/>
      <c r="HF119" s="89"/>
      <c r="HG119" s="89"/>
      <c r="HH119" s="89"/>
      <c r="HI119" s="89"/>
      <c r="HJ119" s="89"/>
      <c r="HK119" s="89"/>
      <c r="HL119" s="89"/>
      <c r="HM119" s="89"/>
      <c r="HN119" s="89"/>
      <c r="HO119" s="89"/>
      <c r="HP119" s="89"/>
      <c r="HQ119" s="89"/>
      <c r="HR119" s="89"/>
      <c r="HS119" s="89"/>
      <c r="HT119" s="89"/>
      <c r="HU119" s="89"/>
      <c r="HV119" s="89"/>
      <c r="HW119" s="89"/>
      <c r="HX119" s="89"/>
      <c r="HY119" s="89"/>
      <c r="HZ119" s="89"/>
      <c r="IA119" s="89"/>
      <c r="IB119" s="89"/>
      <c r="IC119" s="89"/>
      <c r="ID119" s="89"/>
      <c r="IE119" s="89"/>
      <c r="IF119" s="89"/>
      <c r="IG119" s="89"/>
      <c r="IH119" s="89"/>
      <c r="II119" s="89"/>
      <c r="IJ119" s="89"/>
      <c r="IK119" s="89"/>
      <c r="IL119" s="89"/>
      <c r="IM119" s="89"/>
      <c r="IN119" s="89"/>
      <c r="IO119" s="89"/>
      <c r="IP119" s="89"/>
      <c r="IQ119" s="89"/>
      <c r="IR119" s="89"/>
      <c r="IS119" s="89"/>
      <c r="IT119" s="89"/>
      <c r="IU119" s="89"/>
    </row>
    <row r="120" spans="1:255" ht="11.1" customHeight="1">
      <c r="A120" s="295" t="s">
        <v>135</v>
      </c>
      <c r="B120" s="282" t="s">
        <v>3</v>
      </c>
      <c r="C120" s="282" t="s">
        <v>3</v>
      </c>
      <c r="D120" s="282" t="s">
        <v>3</v>
      </c>
      <c r="E120" s="282" t="s">
        <v>3</v>
      </c>
      <c r="F120" s="282" t="s">
        <v>3</v>
      </c>
      <c r="G120" s="282" t="s">
        <v>3</v>
      </c>
      <c r="H120" s="282" t="s">
        <v>3</v>
      </c>
      <c r="I120" s="282" t="s">
        <v>3</v>
      </c>
      <c r="J120" s="282" t="s">
        <v>3</v>
      </c>
      <c r="K120" s="282" t="s">
        <v>3</v>
      </c>
      <c r="L120" s="282" t="s">
        <v>3</v>
      </c>
      <c r="M120" s="282" t="s">
        <v>3</v>
      </c>
      <c r="N120" s="282" t="s">
        <v>3</v>
      </c>
      <c r="O120" s="282" t="s">
        <v>3</v>
      </c>
      <c r="P120" s="282" t="s">
        <v>3</v>
      </c>
      <c r="Q120" s="282" t="s">
        <v>3</v>
      </c>
      <c r="R120" s="282" t="s">
        <v>3</v>
      </c>
      <c r="S120" s="282" t="s">
        <v>3</v>
      </c>
      <c r="T120" s="282" t="s">
        <v>3</v>
      </c>
      <c r="U120" s="282" t="s">
        <v>3</v>
      </c>
      <c r="V120" s="283">
        <v>64</v>
      </c>
      <c r="W120" s="283">
        <v>136</v>
      </c>
      <c r="X120" s="283">
        <v>145</v>
      </c>
      <c r="Y120" s="283">
        <v>64</v>
      </c>
      <c r="Z120" s="283">
        <v>22</v>
      </c>
      <c r="AA120" s="283">
        <v>1</v>
      </c>
      <c r="AB120" s="283">
        <v>1</v>
      </c>
      <c r="AC120" s="283">
        <v>1</v>
      </c>
      <c r="AD120" s="283">
        <v>1</v>
      </c>
      <c r="AE120" s="283">
        <v>1</v>
      </c>
      <c r="AF120" s="283">
        <v>1</v>
      </c>
      <c r="AG120" s="283">
        <v>1</v>
      </c>
      <c r="AH120" s="458" t="s">
        <v>3</v>
      </c>
      <c r="AI120" s="282" t="s">
        <v>3</v>
      </c>
      <c r="AJ120" s="282" t="s">
        <v>3</v>
      </c>
      <c r="AK120" s="282" t="s">
        <v>3</v>
      </c>
      <c r="AL120" s="282" t="s">
        <v>3</v>
      </c>
      <c r="AM120" s="282" t="s">
        <v>3</v>
      </c>
      <c r="AN120" s="282" t="s">
        <v>3</v>
      </c>
      <c r="AO120" s="282" t="s">
        <v>3</v>
      </c>
      <c r="AP120" s="282" t="s">
        <v>3</v>
      </c>
      <c r="AQ120" s="282" t="s">
        <v>3</v>
      </c>
      <c r="AR120" s="282" t="s">
        <v>3</v>
      </c>
      <c r="AS120" s="282" t="s">
        <v>3</v>
      </c>
      <c r="AT120" s="282" t="s">
        <v>3</v>
      </c>
      <c r="AU120" s="282" t="s">
        <v>3</v>
      </c>
      <c r="AV120" s="282" t="s">
        <v>3</v>
      </c>
      <c r="AW120" s="280">
        <v>1</v>
      </c>
      <c r="AX120" s="281">
        <v>6</v>
      </c>
      <c r="AY120" s="281">
        <v>7</v>
      </c>
      <c r="AZ120" s="233">
        <v>10</v>
      </c>
      <c r="BA120" s="314">
        <v>11</v>
      </c>
      <c r="BB120" s="314">
        <v>8</v>
      </c>
      <c r="BC120" s="314">
        <v>6</v>
      </c>
      <c r="BD120" s="314">
        <v>4</v>
      </c>
      <c r="BE120" s="314">
        <v>1</v>
      </c>
      <c r="BF120" s="430" t="s">
        <v>3</v>
      </c>
      <c r="BG120" s="430" t="s">
        <v>3</v>
      </c>
      <c r="BH120" s="430" t="s">
        <v>3</v>
      </c>
      <c r="BI120" s="419" t="s">
        <v>9</v>
      </c>
      <c r="BJ120" s="419" t="s">
        <v>9</v>
      </c>
      <c r="BK120" s="573" t="s">
        <v>9</v>
      </c>
      <c r="BL120" s="573" t="s">
        <v>9</v>
      </c>
      <c r="BM120" s="331"/>
      <c r="BN120" s="331"/>
    </row>
    <row r="121" spans="1:255" ht="11.1" customHeight="1">
      <c r="A121" s="129" t="s">
        <v>134</v>
      </c>
      <c r="B121" s="84" t="s">
        <v>3</v>
      </c>
      <c r="C121" s="84" t="s">
        <v>3</v>
      </c>
      <c r="D121" s="84" t="s">
        <v>3</v>
      </c>
      <c r="E121" s="84" t="s">
        <v>3</v>
      </c>
      <c r="F121" s="84" t="s">
        <v>3</v>
      </c>
      <c r="G121" s="84" t="s">
        <v>3</v>
      </c>
      <c r="H121" s="84" t="s">
        <v>3</v>
      </c>
      <c r="I121" s="84" t="s">
        <v>3</v>
      </c>
      <c r="J121" s="84" t="s">
        <v>3</v>
      </c>
      <c r="K121" s="84" t="s">
        <v>3</v>
      </c>
      <c r="L121" s="84" t="s">
        <v>3</v>
      </c>
      <c r="M121" s="84" t="s">
        <v>3</v>
      </c>
      <c r="N121" s="84" t="s">
        <v>3</v>
      </c>
      <c r="O121" s="84" t="s">
        <v>3</v>
      </c>
      <c r="P121" s="84" t="s">
        <v>3</v>
      </c>
      <c r="Q121" s="84" t="s">
        <v>3</v>
      </c>
      <c r="R121" s="84" t="s">
        <v>3</v>
      </c>
      <c r="S121" s="84" t="s">
        <v>3</v>
      </c>
      <c r="T121" s="84" t="s">
        <v>3</v>
      </c>
      <c r="U121" s="84">
        <v>47</v>
      </c>
      <c r="V121" s="83">
        <v>47</v>
      </c>
      <c r="W121" s="83">
        <v>118</v>
      </c>
      <c r="X121" s="83">
        <v>43</v>
      </c>
      <c r="Y121" s="83">
        <v>24</v>
      </c>
      <c r="Z121" s="83">
        <v>33</v>
      </c>
      <c r="AA121" s="83">
        <v>28</v>
      </c>
      <c r="AB121" s="83">
        <v>27</v>
      </c>
      <c r="AC121" s="83">
        <v>26</v>
      </c>
      <c r="AD121" s="83">
        <v>30</v>
      </c>
      <c r="AE121" s="83">
        <v>26</v>
      </c>
      <c r="AF121" s="83">
        <v>31</v>
      </c>
      <c r="AG121" s="83">
        <v>38</v>
      </c>
      <c r="AH121" s="84">
        <v>37</v>
      </c>
      <c r="AI121" s="84">
        <v>41</v>
      </c>
      <c r="AJ121" s="84">
        <v>54</v>
      </c>
      <c r="AK121" s="84">
        <v>76</v>
      </c>
      <c r="AL121" s="84">
        <v>78</v>
      </c>
      <c r="AM121" s="84">
        <v>65</v>
      </c>
      <c r="AN121" s="84">
        <v>53</v>
      </c>
      <c r="AO121" s="84">
        <v>57</v>
      </c>
      <c r="AP121" s="84">
        <v>66</v>
      </c>
      <c r="AQ121" s="84">
        <v>67</v>
      </c>
      <c r="AR121" s="84">
        <v>51</v>
      </c>
      <c r="AS121" s="84">
        <v>47</v>
      </c>
      <c r="AT121" s="114">
        <v>26</v>
      </c>
      <c r="AU121" s="114">
        <v>31</v>
      </c>
      <c r="AV121" s="91">
        <v>23</v>
      </c>
      <c r="AW121" s="216">
        <v>32</v>
      </c>
      <c r="AX121" s="68">
        <v>29</v>
      </c>
      <c r="AY121" s="68">
        <v>40</v>
      </c>
      <c r="AZ121" s="68">
        <v>64</v>
      </c>
      <c r="BA121" s="293">
        <v>83</v>
      </c>
      <c r="BB121" s="293">
        <v>80</v>
      </c>
      <c r="BC121" s="293">
        <v>75</v>
      </c>
      <c r="BD121" s="314">
        <v>68</v>
      </c>
      <c r="BE121" s="314">
        <v>56</v>
      </c>
      <c r="BF121" s="314">
        <v>60</v>
      </c>
      <c r="BG121" s="314">
        <v>42</v>
      </c>
      <c r="BH121" s="314">
        <v>39</v>
      </c>
      <c r="BI121" s="385">
        <f>(BG121-BF121)/BF121</f>
        <v>-0.3</v>
      </c>
      <c r="BJ121" s="385">
        <f>(BH121-BG121)/BG121</f>
        <v>-7.1428571428571425E-2</v>
      </c>
      <c r="BK121" s="569">
        <f>BG121-BF121</f>
        <v>-18</v>
      </c>
      <c r="BL121" s="569">
        <f>BH121-BG121</f>
        <v>-3</v>
      </c>
      <c r="BM121" s="331"/>
      <c r="BN121" s="331"/>
    </row>
    <row r="122" spans="1:255" ht="11.1" customHeight="1">
      <c r="A122" s="128" t="s">
        <v>32</v>
      </c>
      <c r="B122" s="151" t="s">
        <v>3</v>
      </c>
      <c r="C122" s="151" t="s">
        <v>3</v>
      </c>
      <c r="D122" s="151" t="s">
        <v>3</v>
      </c>
      <c r="E122" s="151" t="s">
        <v>3</v>
      </c>
      <c r="F122" s="151" t="s">
        <v>3</v>
      </c>
      <c r="G122" s="151" t="s">
        <v>3</v>
      </c>
      <c r="H122" s="151" t="s">
        <v>3</v>
      </c>
      <c r="I122" s="151" t="s">
        <v>3</v>
      </c>
      <c r="J122" s="151" t="s">
        <v>3</v>
      </c>
      <c r="K122" s="151" t="s">
        <v>3</v>
      </c>
      <c r="L122" s="151" t="s">
        <v>3</v>
      </c>
      <c r="M122" s="151" t="s">
        <v>3</v>
      </c>
      <c r="N122" s="151" t="s">
        <v>3</v>
      </c>
      <c r="O122" s="151" t="s">
        <v>3</v>
      </c>
      <c r="P122" s="151" t="s">
        <v>3</v>
      </c>
      <c r="Q122" s="151" t="s">
        <v>3</v>
      </c>
      <c r="R122" s="151" t="s">
        <v>3</v>
      </c>
      <c r="S122" s="151" t="s">
        <v>3</v>
      </c>
      <c r="T122" s="151" t="s">
        <v>3</v>
      </c>
      <c r="U122" s="95">
        <f>SUM(U121)</f>
        <v>47</v>
      </c>
      <c r="V122" s="95">
        <f t="shared" ref="V122:AJ122" si="44">SUM(V119:V121)</f>
        <v>111</v>
      </c>
      <c r="W122" s="95">
        <f t="shared" si="44"/>
        <v>1578</v>
      </c>
      <c r="X122" s="95">
        <f t="shared" si="44"/>
        <v>396</v>
      </c>
      <c r="Y122" s="95">
        <f t="shared" si="44"/>
        <v>245</v>
      </c>
      <c r="Z122" s="95">
        <f t="shared" si="44"/>
        <v>179</v>
      </c>
      <c r="AA122" s="95">
        <f t="shared" si="44"/>
        <v>134</v>
      </c>
      <c r="AB122" s="95">
        <f t="shared" si="44"/>
        <v>106</v>
      </c>
      <c r="AC122" s="95">
        <f t="shared" si="44"/>
        <v>114</v>
      </c>
      <c r="AD122" s="95">
        <f t="shared" si="44"/>
        <v>124</v>
      </c>
      <c r="AE122" s="95">
        <f t="shared" si="44"/>
        <v>123</v>
      </c>
      <c r="AF122" s="95">
        <f t="shared" si="44"/>
        <v>133</v>
      </c>
      <c r="AG122" s="95">
        <f t="shared" si="44"/>
        <v>137</v>
      </c>
      <c r="AH122" s="95">
        <f t="shared" si="44"/>
        <v>140</v>
      </c>
      <c r="AI122" s="95">
        <f t="shared" si="44"/>
        <v>139</v>
      </c>
      <c r="AJ122" s="95">
        <f t="shared" si="44"/>
        <v>166</v>
      </c>
      <c r="AK122" s="95">
        <f t="shared" ref="AK122:AS122" si="45">SUM(AK119:AK121)</f>
        <v>195</v>
      </c>
      <c r="AL122" s="95">
        <f t="shared" si="45"/>
        <v>195</v>
      </c>
      <c r="AM122" s="95">
        <f t="shared" si="45"/>
        <v>164</v>
      </c>
      <c r="AN122" s="95">
        <f t="shared" si="45"/>
        <v>170</v>
      </c>
      <c r="AO122" s="95">
        <f t="shared" si="45"/>
        <v>189</v>
      </c>
      <c r="AP122" s="95">
        <f t="shared" si="45"/>
        <v>188</v>
      </c>
      <c r="AQ122" s="95">
        <f t="shared" si="45"/>
        <v>157.96949494949496</v>
      </c>
      <c r="AR122" s="95">
        <f t="shared" si="45"/>
        <v>206</v>
      </c>
      <c r="AS122" s="95">
        <f t="shared" si="45"/>
        <v>154</v>
      </c>
      <c r="AT122" s="95">
        <f t="shared" ref="AT122:BA122" si="46">SUM(AT119:AT121)</f>
        <v>118</v>
      </c>
      <c r="AU122" s="95">
        <f t="shared" si="46"/>
        <v>119</v>
      </c>
      <c r="AV122" s="151">
        <f t="shared" si="46"/>
        <v>105</v>
      </c>
      <c r="AW122" s="151">
        <f t="shared" si="46"/>
        <v>113.9964634780216</v>
      </c>
      <c r="AX122" s="151">
        <f t="shared" si="46"/>
        <v>119.58333333333334</v>
      </c>
      <c r="AY122" s="151">
        <f t="shared" si="46"/>
        <v>152</v>
      </c>
      <c r="AZ122" s="152">
        <f t="shared" si="46"/>
        <v>189</v>
      </c>
      <c r="BA122" s="394">
        <f t="shared" si="46"/>
        <v>216</v>
      </c>
      <c r="BB122" s="394">
        <f t="shared" ref="BB122:BH122" si="47">SUM(BB119:BB121)</f>
        <v>200</v>
      </c>
      <c r="BC122" s="394">
        <f t="shared" si="47"/>
        <v>160</v>
      </c>
      <c r="BD122" s="395">
        <f t="shared" si="47"/>
        <v>186</v>
      </c>
      <c r="BE122" s="395">
        <f t="shared" si="47"/>
        <v>156</v>
      </c>
      <c r="BF122" s="395">
        <f t="shared" si="47"/>
        <v>149</v>
      </c>
      <c r="BG122" s="395">
        <f t="shared" si="47"/>
        <v>139</v>
      </c>
      <c r="BH122" s="395">
        <f t="shared" si="47"/>
        <v>147</v>
      </c>
      <c r="BI122" s="415">
        <f>(BG122-BF122)/BF122</f>
        <v>-6.7114093959731544E-2</v>
      </c>
      <c r="BJ122" s="415">
        <f>(BH122-BG122)/BG122</f>
        <v>5.7553956834532377E-2</v>
      </c>
      <c r="BK122" s="572">
        <f>BG122-BF122</f>
        <v>-10</v>
      </c>
      <c r="BL122" s="572">
        <f>BH122-BG122</f>
        <v>8</v>
      </c>
      <c r="BM122" s="331"/>
      <c r="BN122" s="331"/>
    </row>
    <row r="123" spans="1:255" ht="12" customHeight="1">
      <c r="A123" s="128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647"/>
      <c r="BG123" s="647"/>
      <c r="BH123" s="647"/>
      <c r="BI123" s="391"/>
      <c r="BJ123" s="391"/>
      <c r="BK123" s="576"/>
      <c r="BL123" s="576"/>
      <c r="BM123" s="331"/>
      <c r="BN123" s="331"/>
    </row>
    <row r="124" spans="1:255" ht="11.1" customHeight="1">
      <c r="A124" s="129" t="s">
        <v>136</v>
      </c>
      <c r="B124" s="103">
        <v>35</v>
      </c>
      <c r="C124" s="103">
        <v>36</v>
      </c>
      <c r="D124" s="103">
        <v>51</v>
      </c>
      <c r="E124" s="103">
        <v>74</v>
      </c>
      <c r="F124" s="103">
        <v>93</v>
      </c>
      <c r="G124" s="103">
        <v>95</v>
      </c>
      <c r="H124" s="103">
        <v>77</v>
      </c>
      <c r="I124" s="103">
        <v>105</v>
      </c>
      <c r="J124" s="103">
        <v>122</v>
      </c>
      <c r="K124" s="103">
        <v>156</v>
      </c>
      <c r="L124" s="83">
        <v>220</v>
      </c>
      <c r="M124" s="83">
        <v>182</v>
      </c>
      <c r="N124" s="83">
        <v>218</v>
      </c>
      <c r="O124" s="83">
        <v>186</v>
      </c>
      <c r="P124" s="83">
        <v>1483</v>
      </c>
      <c r="Q124" s="83">
        <v>1897</v>
      </c>
      <c r="R124" s="83">
        <v>2589</v>
      </c>
      <c r="S124" s="83">
        <v>2641</v>
      </c>
      <c r="T124" s="83">
        <v>2864</v>
      </c>
      <c r="U124" s="83">
        <v>2850</v>
      </c>
      <c r="V124" s="83">
        <v>3114</v>
      </c>
      <c r="W124" s="83">
        <v>3329</v>
      </c>
      <c r="X124" s="83">
        <v>3468</v>
      </c>
      <c r="Y124" s="83">
        <v>3403</v>
      </c>
      <c r="Z124" s="83">
        <v>3441</v>
      </c>
      <c r="AA124" s="83">
        <v>3498</v>
      </c>
      <c r="AB124" s="83">
        <v>3445</v>
      </c>
      <c r="AC124" s="83">
        <v>3376</v>
      </c>
      <c r="AD124" s="83">
        <v>3268</v>
      </c>
      <c r="AE124" s="83">
        <v>3209</v>
      </c>
      <c r="AF124" s="83">
        <v>3160</v>
      </c>
      <c r="AG124" s="83">
        <v>3208</v>
      </c>
      <c r="AH124" s="83">
        <v>3353</v>
      </c>
      <c r="AI124" s="83">
        <v>3329</v>
      </c>
      <c r="AJ124" s="83">
        <v>3240</v>
      </c>
      <c r="AK124" s="83">
        <v>3122</v>
      </c>
      <c r="AL124" s="83">
        <v>3020</v>
      </c>
      <c r="AM124" s="83">
        <v>2981</v>
      </c>
      <c r="AN124" s="83">
        <v>2909</v>
      </c>
      <c r="AO124" s="83">
        <v>2796</v>
      </c>
      <c r="AP124" s="83">
        <v>2735</v>
      </c>
      <c r="AQ124" s="83">
        <v>2739</v>
      </c>
      <c r="AR124" s="83">
        <v>2771</v>
      </c>
      <c r="AS124" s="83">
        <v>2894</v>
      </c>
      <c r="AT124" s="83">
        <v>2987</v>
      </c>
      <c r="AU124" s="83">
        <v>3095</v>
      </c>
      <c r="AV124" s="84">
        <v>3150</v>
      </c>
      <c r="AW124" s="229">
        <f>3429+8</f>
        <v>3437</v>
      </c>
      <c r="AX124" s="229">
        <v>3667</v>
      </c>
      <c r="AY124" s="342">
        <v>3930</v>
      </c>
      <c r="AZ124" s="342">
        <v>3976</v>
      </c>
      <c r="BA124" s="293">
        <v>3956</v>
      </c>
      <c r="BB124" s="293">
        <v>3788</v>
      </c>
      <c r="BC124" s="293">
        <f>3659+14</f>
        <v>3673</v>
      </c>
      <c r="BD124" s="314">
        <v>3746</v>
      </c>
      <c r="BE124" s="314">
        <f>3649+7</f>
        <v>3656</v>
      </c>
      <c r="BF124" s="314">
        <v>3487</v>
      </c>
      <c r="BG124" s="314">
        <v>3541</v>
      </c>
      <c r="BH124" s="314">
        <v>3230</v>
      </c>
      <c r="BI124" s="385">
        <f>(BG124-BF124)/BF124</f>
        <v>1.5486091195870376E-2</v>
      </c>
      <c r="BJ124" s="385">
        <f>(BH124-BG124)/BG124</f>
        <v>-8.7828297091217172E-2</v>
      </c>
      <c r="BK124" s="569">
        <f>BG124-BF124</f>
        <v>54</v>
      </c>
      <c r="BL124" s="569">
        <f>BH124-BG124</f>
        <v>-311</v>
      </c>
      <c r="BM124" s="331"/>
      <c r="BN124" s="331"/>
    </row>
    <row r="125" spans="1:255" ht="11.1" customHeight="1">
      <c r="A125" s="129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4"/>
      <c r="AW125" s="229"/>
      <c r="AX125" s="229"/>
      <c r="AY125" s="170"/>
      <c r="AZ125" s="170"/>
      <c r="BA125" s="459"/>
      <c r="BB125" s="459"/>
      <c r="BC125" s="476"/>
      <c r="BD125" s="526"/>
      <c r="BE125" s="526"/>
      <c r="BF125" s="526"/>
      <c r="BG125" s="526"/>
      <c r="BH125" s="526"/>
      <c r="BI125" s="385"/>
      <c r="BJ125" s="385"/>
      <c r="BK125" s="569"/>
      <c r="BL125" s="569"/>
      <c r="BM125" s="331"/>
      <c r="BN125" s="331"/>
    </row>
    <row r="126" spans="1:255" ht="11.1" customHeight="1">
      <c r="A126" s="121" t="s">
        <v>137</v>
      </c>
      <c r="B126" s="28">
        <v>862</v>
      </c>
      <c r="C126" s="28">
        <v>1386</v>
      </c>
      <c r="D126" s="28">
        <v>2050</v>
      </c>
      <c r="E126" s="28">
        <v>2038</v>
      </c>
      <c r="F126" s="28">
        <v>2279</v>
      </c>
      <c r="G126" s="28">
        <v>2836</v>
      </c>
      <c r="H126" s="28">
        <v>3290</v>
      </c>
      <c r="I126" s="28">
        <v>3923</v>
      </c>
      <c r="J126" s="28">
        <v>5058</v>
      </c>
      <c r="K126" s="28">
        <v>4740</v>
      </c>
      <c r="L126" s="14">
        <v>4424</v>
      </c>
      <c r="M126" s="14">
        <v>5945</v>
      </c>
      <c r="N126" s="14">
        <v>8358</v>
      </c>
      <c r="O126" s="14">
        <v>9127</v>
      </c>
      <c r="P126" s="14">
        <v>9743</v>
      </c>
      <c r="Q126" s="14">
        <v>10440</v>
      </c>
      <c r="R126" s="14">
        <v>10705</v>
      </c>
      <c r="S126" s="14">
        <v>11315</v>
      </c>
      <c r="T126" s="14">
        <v>11986</v>
      </c>
      <c r="U126" s="14">
        <v>12236</v>
      </c>
      <c r="V126" s="14">
        <v>13045</v>
      </c>
      <c r="W126" s="14">
        <v>12720</v>
      </c>
      <c r="X126" s="14">
        <v>11402</v>
      </c>
      <c r="Y126" s="14">
        <v>10940</v>
      </c>
      <c r="Z126" s="14">
        <v>11562</v>
      </c>
      <c r="AA126" s="14">
        <v>12590</v>
      </c>
      <c r="AB126" s="14">
        <v>13115</v>
      </c>
      <c r="AC126" s="14">
        <v>13649</v>
      </c>
      <c r="AD126" s="14">
        <v>14078</v>
      </c>
      <c r="AE126" s="14">
        <v>14539</v>
      </c>
      <c r="AF126" s="14">
        <v>15587</v>
      </c>
      <c r="AG126" s="14">
        <v>16241</v>
      </c>
      <c r="AH126" s="14">
        <v>16874</v>
      </c>
      <c r="AI126" s="14">
        <v>18131</v>
      </c>
      <c r="AJ126" s="14">
        <v>17414</v>
      </c>
      <c r="AK126" s="14">
        <v>17326</v>
      </c>
      <c r="AL126" s="14">
        <v>17028</v>
      </c>
      <c r="AM126" s="75">
        <v>16789</v>
      </c>
      <c r="AN126" s="75">
        <v>17510</v>
      </c>
      <c r="AO126" s="75">
        <v>17875</v>
      </c>
      <c r="AP126" s="44">
        <v>17310</v>
      </c>
      <c r="AQ126" s="44">
        <v>17262</v>
      </c>
      <c r="AR126" s="44">
        <v>17216</v>
      </c>
      <c r="AS126" s="44">
        <v>17354</v>
      </c>
      <c r="AT126" s="44">
        <v>18736</v>
      </c>
      <c r="AU126" s="65">
        <v>17235</v>
      </c>
      <c r="AV126" s="60">
        <v>17029</v>
      </c>
      <c r="AW126" s="216">
        <v>16739</v>
      </c>
      <c r="AX126" s="68">
        <v>16575</v>
      </c>
      <c r="AY126" s="68">
        <v>16693</v>
      </c>
      <c r="AZ126" s="293">
        <v>16857</v>
      </c>
      <c r="BA126" s="293">
        <v>16999</v>
      </c>
      <c r="BB126" s="293">
        <v>16738</v>
      </c>
      <c r="BC126" s="293">
        <v>15591</v>
      </c>
      <c r="BD126" s="314">
        <v>15406</v>
      </c>
      <c r="BE126" s="314">
        <v>14715</v>
      </c>
      <c r="BF126" s="314">
        <v>14947</v>
      </c>
      <c r="BG126" s="314">
        <v>15500</v>
      </c>
      <c r="BH126" s="314">
        <v>11689</v>
      </c>
      <c r="BI126" s="385">
        <f>(BG126-BF126)/BF126</f>
        <v>3.6997390780758678E-2</v>
      </c>
      <c r="BJ126" s="385">
        <f>(BH126-BG126)/BG126</f>
        <v>-0.24587096774193548</v>
      </c>
      <c r="BK126" s="569">
        <f>BG126-BF126</f>
        <v>553</v>
      </c>
      <c r="BL126" s="569">
        <f>BH126-BG126</f>
        <v>-3811</v>
      </c>
      <c r="BM126" s="331"/>
      <c r="BN126" s="331"/>
    </row>
    <row r="127" spans="1:255" ht="14.25" customHeight="1" thickBot="1">
      <c r="A127" s="128" t="s">
        <v>116</v>
      </c>
      <c r="B127" s="150">
        <f t="shared" ref="B127:L127" si="48">SUM(B116+B124+B126)</f>
        <v>1265</v>
      </c>
      <c r="C127" s="150">
        <f t="shared" si="48"/>
        <v>1832</v>
      </c>
      <c r="D127" s="150">
        <f t="shared" si="48"/>
        <v>2519</v>
      </c>
      <c r="E127" s="150">
        <f t="shared" si="48"/>
        <v>2585</v>
      </c>
      <c r="F127" s="150">
        <f t="shared" si="48"/>
        <v>2858</v>
      </c>
      <c r="G127" s="150">
        <f t="shared" si="48"/>
        <v>3377</v>
      </c>
      <c r="H127" s="150">
        <f t="shared" si="48"/>
        <v>3786</v>
      </c>
      <c r="I127" s="150">
        <f t="shared" si="48"/>
        <v>4455</v>
      </c>
      <c r="J127" s="150">
        <f t="shared" si="48"/>
        <v>5610</v>
      </c>
      <c r="K127" s="150">
        <f t="shared" si="48"/>
        <v>5351</v>
      </c>
      <c r="L127" s="150">
        <f t="shared" si="48"/>
        <v>5096</v>
      </c>
      <c r="M127" s="150">
        <f t="shared" ref="M127:T127" si="49">SUM(M101+M107+M116+M124+M126)</f>
        <v>6983</v>
      </c>
      <c r="N127" s="150">
        <f t="shared" si="49"/>
        <v>9703</v>
      </c>
      <c r="O127" s="150">
        <f t="shared" si="49"/>
        <v>10634</v>
      </c>
      <c r="P127" s="150">
        <f t="shared" si="49"/>
        <v>12440</v>
      </c>
      <c r="Q127" s="150">
        <f t="shared" si="49"/>
        <v>13804</v>
      </c>
      <c r="R127" s="150">
        <f t="shared" si="49"/>
        <v>15282</v>
      </c>
      <c r="S127" s="150">
        <f t="shared" si="49"/>
        <v>16075</v>
      </c>
      <c r="T127" s="150">
        <f t="shared" si="49"/>
        <v>17335</v>
      </c>
      <c r="U127" s="150">
        <f t="shared" ref="U127:AO127" si="50">SUM(U101+U107+U116+U122+U124+U126)</f>
        <v>18425</v>
      </c>
      <c r="V127" s="150">
        <f t="shared" si="50"/>
        <v>20218</v>
      </c>
      <c r="W127" s="150">
        <f t="shared" si="50"/>
        <v>21398</v>
      </c>
      <c r="X127" s="150">
        <f t="shared" si="50"/>
        <v>18664</v>
      </c>
      <c r="Y127" s="150">
        <f t="shared" si="50"/>
        <v>20043</v>
      </c>
      <c r="Z127" s="150">
        <f t="shared" si="50"/>
        <v>20354</v>
      </c>
      <c r="AA127" s="150">
        <f t="shared" si="50"/>
        <v>21792</v>
      </c>
      <c r="AB127" s="150">
        <f t="shared" si="50"/>
        <v>22596</v>
      </c>
      <c r="AC127" s="150">
        <f t="shared" si="50"/>
        <v>23128</v>
      </c>
      <c r="AD127" s="150">
        <f t="shared" si="50"/>
        <v>23573</v>
      </c>
      <c r="AE127" s="150">
        <f t="shared" si="50"/>
        <v>24294</v>
      </c>
      <c r="AF127" s="150">
        <f t="shared" si="50"/>
        <v>25414</v>
      </c>
      <c r="AG127" s="150">
        <f t="shared" si="50"/>
        <v>26325</v>
      </c>
      <c r="AH127" s="150">
        <f t="shared" si="50"/>
        <v>27439</v>
      </c>
      <c r="AI127" s="150">
        <f t="shared" si="50"/>
        <v>28963</v>
      </c>
      <c r="AJ127" s="150">
        <f t="shared" si="50"/>
        <v>28146</v>
      </c>
      <c r="AK127" s="150">
        <f t="shared" si="50"/>
        <v>28818</v>
      </c>
      <c r="AL127" s="150">
        <f t="shared" si="50"/>
        <v>27937</v>
      </c>
      <c r="AM127" s="150">
        <f t="shared" si="50"/>
        <v>27484</v>
      </c>
      <c r="AN127" s="150">
        <f t="shared" si="50"/>
        <v>27807</v>
      </c>
      <c r="AO127" s="150">
        <f t="shared" si="50"/>
        <v>28368</v>
      </c>
      <c r="AP127" s="150">
        <f t="shared" ref="AP127:BC127" si="51">SUM(AP101+AP104+AP107+AP116+AP122+AP124+AP126)</f>
        <v>29730.232686980609</v>
      </c>
      <c r="AQ127" s="150">
        <f t="shared" si="51"/>
        <v>29936.789825918764</v>
      </c>
      <c r="AR127" s="150">
        <f t="shared" si="51"/>
        <v>30168</v>
      </c>
      <c r="AS127" s="150">
        <f t="shared" si="51"/>
        <v>30703</v>
      </c>
      <c r="AT127" s="150">
        <f t="shared" si="51"/>
        <v>32083</v>
      </c>
      <c r="AU127" s="150">
        <f t="shared" si="51"/>
        <v>30479</v>
      </c>
      <c r="AV127" s="150">
        <f t="shared" si="51"/>
        <v>29589</v>
      </c>
      <c r="AW127" s="150">
        <f t="shared" si="51"/>
        <v>29470.670599476503</v>
      </c>
      <c r="AX127" s="150">
        <f t="shared" si="51"/>
        <v>29751.58112395792</v>
      </c>
      <c r="AY127" s="150">
        <f t="shared" si="51"/>
        <v>29942</v>
      </c>
      <c r="AZ127" s="150">
        <f t="shared" si="51"/>
        <v>31196</v>
      </c>
      <c r="BA127" s="400">
        <f t="shared" si="51"/>
        <v>31214</v>
      </c>
      <c r="BB127" s="400">
        <f t="shared" si="51"/>
        <v>29377</v>
      </c>
      <c r="BC127" s="400">
        <f t="shared" si="51"/>
        <v>27741</v>
      </c>
      <c r="BD127" s="527">
        <f>SUM(BD101+BD104+BD107+BD116+BD122+BD124+BD126)</f>
        <v>27307</v>
      </c>
      <c r="BE127" s="527">
        <f t="shared" ref="BE127:BG127" si="52">SUM(BE101+BE104+BE107+BE116+BE122+BE124+BE126)</f>
        <v>25804.54990085922</v>
      </c>
      <c r="BF127" s="527">
        <f t="shared" si="52"/>
        <v>26402</v>
      </c>
      <c r="BG127" s="527">
        <f t="shared" si="52"/>
        <v>27070</v>
      </c>
      <c r="BH127" s="527">
        <f t="shared" ref="BH127" si="53">SUM(BH101+BH104+BH107+BH116+BH122+BH124+BH126)</f>
        <v>22554</v>
      </c>
      <c r="BI127" s="422">
        <f>(BG127-BF127)/BF127</f>
        <v>2.5301113552003637E-2</v>
      </c>
      <c r="BJ127" s="422">
        <f>(BH127-BG127)/BG127</f>
        <v>-0.16682674547469523</v>
      </c>
      <c r="BK127" s="574">
        <f>BG127-BF127</f>
        <v>668</v>
      </c>
      <c r="BL127" s="574">
        <f>BH127-BG127</f>
        <v>-4516</v>
      </c>
      <c r="BM127" s="331"/>
      <c r="BN127" s="331"/>
    </row>
    <row r="128" spans="1:255" ht="8.25" customHeight="1">
      <c r="A128" s="125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M128" s="71"/>
      <c r="AN128" s="71"/>
      <c r="AO128" s="71"/>
      <c r="AP128" s="71"/>
      <c r="AQ128" s="71"/>
      <c r="AR128" s="71"/>
      <c r="AS128" s="71"/>
      <c r="AT128" s="71"/>
      <c r="AU128" s="71"/>
      <c r="AV128" s="158"/>
      <c r="AW128" s="257"/>
      <c r="AX128" s="68"/>
      <c r="AY128" s="68"/>
      <c r="AZ128" s="308"/>
      <c r="BA128" s="293"/>
      <c r="BB128" s="293"/>
      <c r="BC128" s="293"/>
      <c r="BD128" s="314"/>
      <c r="BE128" s="314"/>
      <c r="BF128" s="314"/>
      <c r="BG128" s="314"/>
      <c r="BH128" s="314"/>
      <c r="BI128" s="329"/>
      <c r="BJ128" s="329"/>
      <c r="BK128" s="577"/>
      <c r="BL128" s="577"/>
      <c r="BM128" s="331"/>
      <c r="BN128" s="331"/>
    </row>
    <row r="129" spans="1:255" ht="12" customHeight="1" thickBot="1">
      <c r="A129" s="410" t="s">
        <v>43</v>
      </c>
      <c r="B129" s="261">
        <f t="shared" ref="B129:AG129" si="54">SUM(B45+B56+B72+B97+B127)</f>
        <v>38819</v>
      </c>
      <c r="C129" s="261">
        <f t="shared" si="54"/>
        <v>42669</v>
      </c>
      <c r="D129" s="261">
        <f t="shared" si="54"/>
        <v>46459</v>
      </c>
      <c r="E129" s="261">
        <f t="shared" si="54"/>
        <v>49157</v>
      </c>
      <c r="F129" s="261">
        <f t="shared" si="54"/>
        <v>50008</v>
      </c>
      <c r="G129" s="261">
        <f t="shared" si="54"/>
        <v>48925</v>
      </c>
      <c r="H129" s="261">
        <f t="shared" si="54"/>
        <v>51231</v>
      </c>
      <c r="I129" s="261">
        <f t="shared" si="54"/>
        <v>51726</v>
      </c>
      <c r="J129" s="261">
        <f t="shared" si="54"/>
        <v>54460</v>
      </c>
      <c r="K129" s="261">
        <f t="shared" si="54"/>
        <v>54208</v>
      </c>
      <c r="L129" s="261">
        <f t="shared" si="54"/>
        <v>57685</v>
      </c>
      <c r="M129" s="261">
        <f t="shared" si="54"/>
        <v>67546</v>
      </c>
      <c r="N129" s="261">
        <f t="shared" si="54"/>
        <v>87601</v>
      </c>
      <c r="O129" s="261">
        <f t="shared" si="54"/>
        <v>93549</v>
      </c>
      <c r="P129" s="261">
        <f t="shared" si="54"/>
        <v>92630</v>
      </c>
      <c r="Q129" s="261">
        <f t="shared" si="54"/>
        <v>92984</v>
      </c>
      <c r="R129" s="261">
        <f t="shared" si="54"/>
        <v>98435</v>
      </c>
      <c r="S129" s="261">
        <f t="shared" si="54"/>
        <v>109744</v>
      </c>
      <c r="T129" s="261">
        <f t="shared" si="54"/>
        <v>111858</v>
      </c>
      <c r="U129" s="261">
        <f t="shared" si="54"/>
        <v>120195</v>
      </c>
      <c r="V129" s="261">
        <f t="shared" si="54"/>
        <v>115047</v>
      </c>
      <c r="W129" s="261">
        <f t="shared" si="54"/>
        <v>115528</v>
      </c>
      <c r="X129" s="261">
        <f t="shared" si="54"/>
        <v>103781</v>
      </c>
      <c r="Y129" s="261">
        <f t="shared" si="54"/>
        <v>99997</v>
      </c>
      <c r="Z129" s="261">
        <f t="shared" si="54"/>
        <v>99974</v>
      </c>
      <c r="AA129" s="261">
        <f t="shared" si="54"/>
        <v>100818</v>
      </c>
      <c r="AB129" s="261">
        <f t="shared" si="54"/>
        <v>99961</v>
      </c>
      <c r="AC129" s="261">
        <f t="shared" si="54"/>
        <v>103347</v>
      </c>
      <c r="AD129" s="261">
        <f t="shared" si="54"/>
        <v>108145</v>
      </c>
      <c r="AE129" s="261">
        <f t="shared" si="54"/>
        <v>115568</v>
      </c>
      <c r="AF129" s="261">
        <f t="shared" si="54"/>
        <v>119475</v>
      </c>
      <c r="AG129" s="261">
        <f t="shared" si="54"/>
        <v>123531</v>
      </c>
      <c r="AH129" s="261">
        <f t="shared" ref="AH129:BG129" si="55">SUM(AH45+AH56+AH72+AH97+AH127)</f>
        <v>130815</v>
      </c>
      <c r="AI129" s="261">
        <f t="shared" si="55"/>
        <v>135906</v>
      </c>
      <c r="AJ129" s="261">
        <f t="shared" si="55"/>
        <v>133564</v>
      </c>
      <c r="AK129" s="261">
        <f t="shared" si="55"/>
        <v>136147</v>
      </c>
      <c r="AL129" s="261">
        <f t="shared" si="55"/>
        <v>137135</v>
      </c>
      <c r="AM129" s="261">
        <f t="shared" si="55"/>
        <v>133356</v>
      </c>
      <c r="AN129" s="261">
        <f t="shared" si="55"/>
        <v>139977</v>
      </c>
      <c r="AO129" s="261">
        <f t="shared" si="55"/>
        <v>139978</v>
      </c>
      <c r="AP129" s="261">
        <f t="shared" si="55"/>
        <v>143231.54392161325</v>
      </c>
      <c r="AQ129" s="261">
        <f t="shared" si="55"/>
        <v>140703.83506676398</v>
      </c>
      <c r="AR129" s="261">
        <f t="shared" si="55"/>
        <v>152762.12945036759</v>
      </c>
      <c r="AS129" s="261">
        <f t="shared" si="55"/>
        <v>210489.53918495297</v>
      </c>
      <c r="AT129" s="261">
        <f t="shared" si="55"/>
        <v>202372.37383177571</v>
      </c>
      <c r="AU129" s="261">
        <f t="shared" si="55"/>
        <v>203589</v>
      </c>
      <c r="AV129" s="261">
        <f t="shared" si="55"/>
        <v>201646</v>
      </c>
      <c r="AW129" s="261">
        <f t="shared" si="55"/>
        <v>204600.55214845145</v>
      </c>
      <c r="AX129" s="261">
        <f t="shared" si="55"/>
        <v>215367.10186203913</v>
      </c>
      <c r="AY129" s="261">
        <f t="shared" si="55"/>
        <v>225972</v>
      </c>
      <c r="AZ129" s="261">
        <f t="shared" si="55"/>
        <v>233564</v>
      </c>
      <c r="BA129" s="397">
        <f t="shared" si="55"/>
        <v>237110</v>
      </c>
      <c r="BB129" s="397">
        <f t="shared" si="55"/>
        <v>237768</v>
      </c>
      <c r="BC129" s="397">
        <f t="shared" si="55"/>
        <v>232731</v>
      </c>
      <c r="BD129" s="523">
        <f t="shared" si="55"/>
        <v>234214</v>
      </c>
      <c r="BE129" s="523">
        <f t="shared" si="55"/>
        <v>225966.54990085922</v>
      </c>
      <c r="BF129" s="523">
        <f t="shared" si="55"/>
        <v>231693</v>
      </c>
      <c r="BG129" s="523">
        <f t="shared" si="55"/>
        <v>235169</v>
      </c>
      <c r="BH129" s="523">
        <f t="shared" ref="BH129" si="56">SUM(BH45+BH56+BH72+BH97+BH127)</f>
        <v>233608</v>
      </c>
      <c r="BI129" s="422">
        <f>(BG129-BF129)/BF129</f>
        <v>1.5002611213977116E-2</v>
      </c>
      <c r="BJ129" s="422">
        <f>(BH129-BG129)/BG129</f>
        <v>-6.6377796393232097E-3</v>
      </c>
      <c r="BK129" s="574">
        <f>BG129-BF129</f>
        <v>3476</v>
      </c>
      <c r="BL129" s="574">
        <f>BH129-BG129</f>
        <v>-1561</v>
      </c>
      <c r="BM129" s="331"/>
      <c r="BN129" s="331"/>
      <c r="BO129" s="89"/>
      <c r="BP129" s="89"/>
      <c r="BQ129" s="89"/>
      <c r="BR129" s="89"/>
      <c r="BS129" s="89"/>
      <c r="BT129" s="89"/>
      <c r="BU129" s="89"/>
      <c r="BV129" s="89"/>
      <c r="BW129" s="89"/>
      <c r="BX129" s="89"/>
      <c r="BY129" s="89"/>
      <c r="BZ129" s="89"/>
      <c r="CA129" s="89"/>
      <c r="CB129" s="89"/>
      <c r="CC129" s="89"/>
      <c r="CD129" s="89"/>
      <c r="CE129" s="89"/>
      <c r="CF129" s="89"/>
      <c r="CG129" s="89"/>
      <c r="CH129" s="89"/>
      <c r="CI129" s="89"/>
      <c r="CJ129" s="89"/>
      <c r="CK129" s="89"/>
      <c r="CL129" s="89"/>
      <c r="CM129" s="89"/>
      <c r="CN129" s="89"/>
      <c r="CO129" s="89"/>
      <c r="CP129" s="89"/>
      <c r="CQ129" s="89"/>
      <c r="CR129" s="89"/>
      <c r="CS129" s="89"/>
      <c r="CT129" s="89"/>
      <c r="CU129" s="89"/>
      <c r="CV129" s="89"/>
      <c r="CW129" s="89"/>
      <c r="CX129" s="89"/>
      <c r="CY129" s="89"/>
      <c r="CZ129" s="89"/>
      <c r="DA129" s="89"/>
      <c r="DB129" s="89"/>
      <c r="DC129" s="89"/>
      <c r="DD129" s="89"/>
      <c r="DE129" s="89"/>
      <c r="DF129" s="89"/>
      <c r="DG129" s="89"/>
      <c r="DH129" s="89"/>
      <c r="DI129" s="89"/>
      <c r="DJ129" s="89"/>
      <c r="DK129" s="89"/>
      <c r="DL129" s="89"/>
      <c r="DM129" s="89"/>
      <c r="DN129" s="89"/>
      <c r="DO129" s="89"/>
      <c r="DP129" s="89"/>
      <c r="DQ129" s="89"/>
      <c r="DR129" s="89"/>
      <c r="DS129" s="89"/>
      <c r="DT129" s="89"/>
      <c r="DU129" s="89"/>
      <c r="DV129" s="89"/>
      <c r="DW129" s="89"/>
      <c r="DX129" s="89"/>
      <c r="DY129" s="89"/>
      <c r="DZ129" s="89"/>
      <c r="EA129" s="89"/>
      <c r="EB129" s="89"/>
      <c r="EC129" s="89"/>
      <c r="ED129" s="89"/>
      <c r="EE129" s="89"/>
      <c r="EF129" s="89"/>
      <c r="EG129" s="89"/>
      <c r="EH129" s="89"/>
      <c r="EI129" s="89"/>
      <c r="EJ129" s="89"/>
      <c r="EK129" s="89"/>
      <c r="EL129" s="89"/>
      <c r="EM129" s="89"/>
      <c r="EN129" s="89"/>
      <c r="EO129" s="89"/>
      <c r="EP129" s="89"/>
      <c r="EQ129" s="89"/>
      <c r="ER129" s="89"/>
      <c r="ES129" s="89"/>
      <c r="ET129" s="89"/>
      <c r="EU129" s="89"/>
      <c r="EV129" s="89"/>
      <c r="EW129" s="89"/>
      <c r="EX129" s="89"/>
      <c r="EY129" s="89"/>
      <c r="EZ129" s="89"/>
      <c r="FA129" s="89"/>
      <c r="FB129" s="89"/>
      <c r="FC129" s="89"/>
      <c r="FD129" s="89"/>
      <c r="FE129" s="89"/>
      <c r="FF129" s="89"/>
      <c r="FG129" s="89"/>
      <c r="FH129" s="89"/>
      <c r="FI129" s="89"/>
      <c r="FJ129" s="89"/>
      <c r="FK129" s="89"/>
      <c r="FL129" s="89"/>
      <c r="FM129" s="89"/>
      <c r="FN129" s="89"/>
      <c r="FO129" s="89"/>
      <c r="FP129" s="89"/>
      <c r="FQ129" s="89"/>
      <c r="FR129" s="89"/>
      <c r="FS129" s="89"/>
      <c r="FT129" s="89"/>
      <c r="FU129" s="89"/>
      <c r="FV129" s="89"/>
      <c r="FW129" s="89"/>
      <c r="FX129" s="89"/>
      <c r="FY129" s="89"/>
      <c r="FZ129" s="89"/>
      <c r="GA129" s="89"/>
      <c r="GB129" s="89"/>
      <c r="GC129" s="89"/>
      <c r="GD129" s="89"/>
      <c r="GE129" s="89"/>
      <c r="GF129" s="89"/>
      <c r="GG129" s="89"/>
      <c r="GH129" s="89"/>
      <c r="GI129" s="89"/>
      <c r="GJ129" s="89"/>
      <c r="GK129" s="89"/>
      <c r="GL129" s="89"/>
      <c r="GM129" s="89"/>
      <c r="GN129" s="89"/>
      <c r="GO129" s="89"/>
      <c r="GP129" s="89"/>
      <c r="GQ129" s="89"/>
      <c r="GR129" s="89"/>
      <c r="GS129" s="89"/>
      <c r="GT129" s="89"/>
      <c r="GU129" s="89"/>
      <c r="GV129" s="89"/>
      <c r="GW129" s="89"/>
      <c r="GX129" s="89"/>
      <c r="GY129" s="89"/>
      <c r="GZ129" s="89"/>
      <c r="HA129" s="89"/>
      <c r="HB129" s="89"/>
      <c r="HC129" s="89"/>
      <c r="HD129" s="89"/>
      <c r="HE129" s="89"/>
      <c r="HF129" s="89"/>
      <c r="HG129" s="89"/>
      <c r="HH129" s="89"/>
      <c r="HI129" s="89"/>
      <c r="HJ129" s="89"/>
      <c r="HK129" s="89"/>
      <c r="HL129" s="89"/>
      <c r="HM129" s="89"/>
      <c r="HN129" s="89"/>
      <c r="HO129" s="89"/>
      <c r="HP129" s="89"/>
      <c r="HQ129" s="89"/>
      <c r="HR129" s="89"/>
      <c r="HS129" s="89"/>
      <c r="HT129" s="89"/>
      <c r="HU129" s="89"/>
      <c r="HV129" s="89"/>
      <c r="HW129" s="89"/>
      <c r="HX129" s="89"/>
      <c r="HY129" s="89"/>
      <c r="HZ129" s="89"/>
      <c r="IA129" s="89"/>
      <c r="IB129" s="89"/>
      <c r="IC129" s="89"/>
      <c r="ID129" s="89"/>
      <c r="IE129" s="89"/>
      <c r="IF129" s="89"/>
      <c r="IG129" s="89"/>
      <c r="IH129" s="89"/>
      <c r="II129" s="89"/>
      <c r="IJ129" s="89"/>
      <c r="IK129" s="89"/>
      <c r="IL129" s="89"/>
      <c r="IM129" s="89"/>
      <c r="IN129" s="89"/>
      <c r="IO129" s="89"/>
      <c r="IP129" s="89"/>
      <c r="IQ129" s="89"/>
      <c r="IR129" s="89"/>
      <c r="IS129" s="89"/>
      <c r="IT129" s="89"/>
      <c r="IU129" s="89"/>
    </row>
    <row r="130" spans="1:255" ht="15.75" customHeight="1">
      <c r="A130" s="410"/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602"/>
      <c r="AB130" s="602"/>
      <c r="AC130" s="602"/>
      <c r="AD130" s="602"/>
      <c r="AE130" s="602"/>
      <c r="AF130" s="602"/>
      <c r="AG130" s="602"/>
      <c r="AH130" s="602"/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602"/>
      <c r="AS130" s="602"/>
      <c r="AT130" s="602"/>
      <c r="AU130" s="602"/>
      <c r="AV130" s="602"/>
      <c r="AW130" s="602"/>
      <c r="AX130" s="602"/>
      <c r="AY130" s="602"/>
      <c r="AZ130" s="602"/>
      <c r="BA130" s="602"/>
      <c r="BB130" s="602"/>
      <c r="BC130" s="602"/>
      <c r="BD130" s="602"/>
      <c r="BE130" s="602"/>
      <c r="BF130" s="648"/>
      <c r="BG130" s="649">
        <f>BG129/BG224</f>
        <v>0.8360078208318521</v>
      </c>
      <c r="BH130" s="649"/>
      <c r="BI130" s="385"/>
      <c r="BJ130" s="385"/>
      <c r="BK130" s="356"/>
      <c r="BL130" s="356"/>
      <c r="BM130" s="331"/>
      <c r="BN130" s="331"/>
      <c r="BO130" s="89"/>
      <c r="BP130" s="89"/>
      <c r="BQ130" s="89"/>
      <c r="BR130" s="89"/>
      <c r="BS130" s="89"/>
      <c r="BT130" s="89"/>
      <c r="BU130" s="89"/>
      <c r="BV130" s="89"/>
      <c r="BW130" s="89"/>
      <c r="BX130" s="89"/>
      <c r="BY130" s="89"/>
      <c r="BZ130" s="89"/>
      <c r="CA130" s="89"/>
      <c r="CB130" s="89"/>
      <c r="CC130" s="89"/>
      <c r="CD130" s="89"/>
      <c r="CE130" s="89"/>
      <c r="CF130" s="89"/>
      <c r="CG130" s="89"/>
      <c r="CH130" s="89"/>
      <c r="CI130" s="89"/>
      <c r="CJ130" s="89"/>
      <c r="CK130" s="89"/>
      <c r="CL130" s="89"/>
      <c r="CM130" s="89"/>
      <c r="CN130" s="89"/>
      <c r="CO130" s="89"/>
      <c r="CP130" s="89"/>
      <c r="CQ130" s="89"/>
      <c r="CR130" s="89"/>
      <c r="CS130" s="89"/>
      <c r="CT130" s="89"/>
      <c r="CU130" s="89"/>
      <c r="CV130" s="89"/>
      <c r="CW130" s="89"/>
      <c r="CX130" s="89"/>
      <c r="CY130" s="89"/>
      <c r="CZ130" s="89"/>
      <c r="DA130" s="89"/>
      <c r="DB130" s="89"/>
      <c r="DC130" s="89"/>
      <c r="DD130" s="89"/>
      <c r="DE130" s="89"/>
      <c r="DF130" s="89"/>
      <c r="DG130" s="89"/>
      <c r="DH130" s="89"/>
      <c r="DI130" s="89"/>
      <c r="DJ130" s="89"/>
      <c r="DK130" s="89"/>
      <c r="DL130" s="89"/>
      <c r="DM130" s="89"/>
      <c r="DN130" s="89"/>
      <c r="DO130" s="89"/>
      <c r="DP130" s="89"/>
      <c r="DQ130" s="89"/>
      <c r="DR130" s="89"/>
      <c r="DS130" s="89"/>
      <c r="DT130" s="89"/>
      <c r="DU130" s="89"/>
      <c r="DV130" s="89"/>
      <c r="DW130" s="89"/>
      <c r="DX130" s="89"/>
      <c r="DY130" s="89"/>
      <c r="DZ130" s="89"/>
      <c r="EA130" s="89"/>
      <c r="EB130" s="89"/>
      <c r="EC130" s="89"/>
      <c r="ED130" s="89"/>
      <c r="EE130" s="89"/>
      <c r="EF130" s="89"/>
      <c r="EG130" s="89"/>
      <c r="EH130" s="89"/>
      <c r="EI130" s="89"/>
      <c r="EJ130" s="89"/>
      <c r="EK130" s="89"/>
      <c r="EL130" s="89"/>
      <c r="EM130" s="89"/>
      <c r="EN130" s="89"/>
      <c r="EO130" s="89"/>
      <c r="EP130" s="89"/>
      <c r="EQ130" s="89"/>
      <c r="ER130" s="89"/>
      <c r="ES130" s="89"/>
      <c r="ET130" s="89"/>
      <c r="EU130" s="89"/>
      <c r="EV130" s="89"/>
      <c r="EW130" s="89"/>
      <c r="EX130" s="89"/>
      <c r="EY130" s="89"/>
      <c r="EZ130" s="89"/>
      <c r="FA130" s="89"/>
      <c r="FB130" s="89"/>
      <c r="FC130" s="89"/>
      <c r="FD130" s="89"/>
      <c r="FE130" s="89"/>
      <c r="FF130" s="89"/>
      <c r="FG130" s="89"/>
      <c r="FH130" s="89"/>
      <c r="FI130" s="89"/>
      <c r="FJ130" s="89"/>
      <c r="FK130" s="89"/>
      <c r="FL130" s="89"/>
      <c r="FM130" s="89"/>
      <c r="FN130" s="89"/>
      <c r="FO130" s="89"/>
      <c r="FP130" s="89"/>
      <c r="FQ130" s="89"/>
      <c r="FR130" s="89"/>
      <c r="FS130" s="89"/>
      <c r="FT130" s="89"/>
      <c r="FU130" s="89"/>
      <c r="FV130" s="89"/>
      <c r="FW130" s="89"/>
      <c r="FX130" s="89"/>
      <c r="FY130" s="89"/>
      <c r="FZ130" s="89"/>
      <c r="GA130" s="89"/>
      <c r="GB130" s="89"/>
      <c r="GC130" s="89"/>
      <c r="GD130" s="89"/>
      <c r="GE130" s="89"/>
      <c r="GF130" s="89"/>
      <c r="GG130" s="89"/>
      <c r="GH130" s="89"/>
      <c r="GI130" s="89"/>
      <c r="GJ130" s="89"/>
      <c r="GK130" s="89"/>
      <c r="GL130" s="89"/>
      <c r="GM130" s="89"/>
      <c r="GN130" s="89"/>
      <c r="GO130" s="89"/>
      <c r="GP130" s="89"/>
      <c r="GQ130" s="89"/>
      <c r="GR130" s="89"/>
      <c r="GS130" s="89"/>
      <c r="GT130" s="89"/>
      <c r="GU130" s="89"/>
      <c r="GV130" s="89"/>
      <c r="GW130" s="89"/>
      <c r="GX130" s="89"/>
      <c r="GY130" s="89"/>
      <c r="GZ130" s="89"/>
      <c r="HA130" s="89"/>
      <c r="HB130" s="89"/>
      <c r="HC130" s="89"/>
      <c r="HD130" s="89"/>
      <c r="HE130" s="89"/>
      <c r="HF130" s="89"/>
      <c r="HG130" s="89"/>
      <c r="HH130" s="89"/>
      <c r="HI130" s="89"/>
      <c r="HJ130" s="89"/>
      <c r="HK130" s="89"/>
      <c r="HL130" s="89"/>
      <c r="HM130" s="89"/>
      <c r="HN130" s="89"/>
      <c r="HO130" s="89"/>
      <c r="HP130" s="89"/>
      <c r="HQ130" s="89"/>
      <c r="HR130" s="89"/>
      <c r="HS130" s="89"/>
      <c r="HT130" s="89"/>
      <c r="HU130" s="89"/>
      <c r="HV130" s="89"/>
      <c r="HW130" s="89"/>
      <c r="HX130" s="89"/>
      <c r="HY130" s="89"/>
      <c r="HZ130" s="89"/>
      <c r="IA130" s="89"/>
      <c r="IB130" s="89"/>
      <c r="IC130" s="89"/>
      <c r="ID130" s="89"/>
      <c r="IE130" s="89"/>
      <c r="IF130" s="89"/>
      <c r="IG130" s="89"/>
      <c r="IH130" s="89"/>
      <c r="II130" s="89"/>
      <c r="IJ130" s="89"/>
      <c r="IK130" s="89"/>
      <c r="IL130" s="89"/>
      <c r="IM130" s="89"/>
      <c r="IN130" s="89"/>
      <c r="IO130" s="89"/>
      <c r="IP130" s="89"/>
      <c r="IQ130" s="89"/>
      <c r="IR130" s="89"/>
      <c r="IS130" s="89"/>
      <c r="IT130" s="89"/>
      <c r="IU130" s="89"/>
    </row>
    <row r="131" spans="1:255" ht="15.75" customHeight="1">
      <c r="A131" s="125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  <c r="AA131" s="350"/>
      <c r="AB131" s="350"/>
      <c r="AC131" s="350"/>
      <c r="AD131" s="350"/>
      <c r="AE131" s="350"/>
      <c r="AF131" s="350"/>
      <c r="AG131" s="350"/>
      <c r="AH131" s="350"/>
      <c r="AI131" s="350"/>
      <c r="AJ131" s="350"/>
      <c r="AK131" s="350"/>
      <c r="AL131" s="350"/>
      <c r="AM131" s="350"/>
      <c r="AN131" s="350"/>
      <c r="AO131" s="350"/>
      <c r="AP131" s="350"/>
      <c r="AQ131" s="350"/>
      <c r="AR131" s="350"/>
      <c r="AS131" s="350"/>
      <c r="AT131" s="350"/>
      <c r="AU131" s="350"/>
      <c r="AV131" s="350"/>
      <c r="AW131" s="350"/>
      <c r="AX131" s="350"/>
      <c r="AY131" s="350"/>
      <c r="AZ131" s="350"/>
      <c r="BC131" s="350"/>
      <c r="BD131" s="350"/>
      <c r="BE131" s="350"/>
      <c r="BF131" s="443"/>
      <c r="BG131" s="519">
        <f>(BG129-BG55)/BG224</f>
        <v>0.64555279061500181</v>
      </c>
      <c r="BH131" s="519"/>
      <c r="BI131" s="385"/>
      <c r="BJ131" s="385"/>
      <c r="BK131" s="356"/>
      <c r="BL131" s="356"/>
      <c r="BM131" s="331"/>
      <c r="BN131" s="331"/>
    </row>
    <row r="132" spans="1:255" ht="11.1" customHeight="1">
      <c r="A132" s="168" t="s">
        <v>44</v>
      </c>
      <c r="L132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M132" s="71"/>
      <c r="AN132" s="71"/>
      <c r="AO132" s="71"/>
      <c r="AP132" s="71"/>
      <c r="AQ132" s="71"/>
      <c r="AR132" s="71"/>
      <c r="AS132" s="71"/>
      <c r="AT132" s="71"/>
      <c r="AU132" s="71"/>
      <c r="AV132" s="158"/>
      <c r="AW132" s="257"/>
      <c r="AX132" s="68"/>
      <c r="AY132" s="68"/>
      <c r="AZ132" s="68"/>
      <c r="BA132" s="293"/>
      <c r="BB132" s="293"/>
      <c r="BC132" s="471"/>
      <c r="BD132" s="309"/>
      <c r="BE132" s="309"/>
      <c r="BF132" s="309"/>
      <c r="BG132" s="309"/>
      <c r="BH132" s="309"/>
      <c r="BI132" s="385"/>
      <c r="BJ132" s="385"/>
      <c r="BK132" s="356"/>
      <c r="BL132" s="356"/>
      <c r="BM132" s="331"/>
      <c r="BN132" s="331"/>
    </row>
    <row r="133" spans="1:255" ht="11.1" customHeight="1">
      <c r="A133" s="168"/>
      <c r="L133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M133" s="71"/>
      <c r="AN133" s="71"/>
      <c r="AO133" s="71"/>
      <c r="AP133" s="71"/>
      <c r="AQ133" s="71"/>
      <c r="AR133" s="71"/>
      <c r="AS133" s="71"/>
      <c r="AT133" s="71"/>
      <c r="AU133" s="71"/>
      <c r="AV133" s="158"/>
      <c r="AW133" s="257"/>
      <c r="AX133" s="342"/>
      <c r="AY133" s="342"/>
      <c r="AZ133" s="342"/>
      <c r="BA133" s="293"/>
      <c r="BB133" s="293"/>
      <c r="BC133" s="471"/>
      <c r="BD133" s="309"/>
      <c r="BE133" s="309"/>
      <c r="BF133" s="309"/>
      <c r="BG133" s="309"/>
      <c r="BH133" s="309"/>
      <c r="BI133" s="385"/>
      <c r="BJ133" s="385"/>
      <c r="BK133" s="356"/>
      <c r="BL133" s="356"/>
      <c r="BM133" s="331"/>
      <c r="BN133" s="331"/>
    </row>
    <row r="134" spans="1:255" ht="15.75" customHeight="1">
      <c r="A134" s="130" t="s">
        <v>68</v>
      </c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X134"/>
      <c r="BA134"/>
      <c r="BB134"/>
      <c r="BC134"/>
      <c r="BD134"/>
      <c r="BE134"/>
      <c r="BF134" s="182"/>
      <c r="BG134" s="182"/>
      <c r="BH134" s="182"/>
      <c r="BI134" s="385"/>
      <c r="BJ134" s="385"/>
      <c r="BK134" s="356"/>
      <c r="BL134" s="356"/>
      <c r="BM134" s="331"/>
      <c r="BN134" s="331"/>
    </row>
    <row r="135" spans="1:255" ht="6" customHeight="1">
      <c r="A135" s="123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M135" s="71"/>
      <c r="AN135" s="71"/>
      <c r="AO135" s="71"/>
      <c r="AP135" s="71"/>
      <c r="AQ135" s="71"/>
      <c r="AR135" s="71"/>
      <c r="AS135" s="71"/>
      <c r="AT135" s="71"/>
      <c r="AU135" s="71"/>
      <c r="AV135" s="158"/>
      <c r="AW135" s="257"/>
      <c r="AX135" s="68"/>
      <c r="AY135" s="68"/>
      <c r="AZ135" s="68"/>
      <c r="BA135" s="293"/>
      <c r="BB135" s="293"/>
      <c r="BC135" s="471"/>
      <c r="BD135" s="309"/>
      <c r="BE135" s="309"/>
      <c r="BF135" s="309"/>
      <c r="BG135" s="309"/>
      <c r="BH135" s="309"/>
      <c r="BI135" s="385"/>
      <c r="BJ135" s="385"/>
      <c r="BK135" s="356"/>
      <c r="BL135" s="356"/>
      <c r="BM135" s="331"/>
      <c r="BN135" s="331"/>
    </row>
    <row r="136" spans="1:255" ht="11.1" customHeight="1">
      <c r="A136" s="126" t="s">
        <v>45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M136" s="71"/>
      <c r="AN136" s="71"/>
      <c r="AO136" s="71"/>
      <c r="AP136" s="71"/>
      <c r="AQ136" s="71"/>
      <c r="AR136" s="71"/>
      <c r="AS136" s="71"/>
      <c r="AT136" s="71"/>
      <c r="AU136" s="71"/>
      <c r="AV136" s="158"/>
      <c r="AW136" s="257"/>
      <c r="AX136" s="68"/>
      <c r="AY136" s="68"/>
      <c r="AZ136" s="68"/>
      <c r="BA136" s="293"/>
      <c r="BB136" s="293"/>
      <c r="BC136" s="471"/>
      <c r="BD136" s="309"/>
      <c r="BE136" s="309"/>
      <c r="BF136" s="309"/>
      <c r="BG136" s="309"/>
      <c r="BH136" s="309"/>
      <c r="BI136" s="385"/>
      <c r="BJ136" s="385"/>
      <c r="BK136" s="356"/>
      <c r="BL136" s="356"/>
      <c r="BM136" s="331"/>
      <c r="BN136" s="331"/>
    </row>
    <row r="137" spans="1:255" ht="11.1" customHeight="1">
      <c r="A137" s="296" t="s">
        <v>138</v>
      </c>
      <c r="B137" s="28">
        <v>841</v>
      </c>
      <c r="C137" s="28">
        <v>978</v>
      </c>
      <c r="D137" s="28">
        <v>1138</v>
      </c>
      <c r="E137" s="28">
        <v>1324</v>
      </c>
      <c r="F137" s="28">
        <v>1540</v>
      </c>
      <c r="G137" s="28">
        <v>1661</v>
      </c>
      <c r="H137" s="28">
        <v>1707</v>
      </c>
      <c r="I137" s="28">
        <v>1772</v>
      </c>
      <c r="J137" s="28">
        <v>1830</v>
      </c>
      <c r="K137" s="28">
        <v>2013</v>
      </c>
      <c r="L137" s="12">
        <v>1957</v>
      </c>
      <c r="M137" s="12">
        <v>2143</v>
      </c>
      <c r="N137" s="12">
        <v>2136</v>
      </c>
      <c r="O137" s="12">
        <v>2249</v>
      </c>
      <c r="P137" s="12">
        <v>2457</v>
      </c>
      <c r="Q137" s="12">
        <v>2660</v>
      </c>
      <c r="R137" s="12">
        <v>2874</v>
      </c>
      <c r="S137" s="12">
        <v>2972</v>
      </c>
      <c r="T137" s="12">
        <v>3091</v>
      </c>
      <c r="U137" s="12">
        <v>3072</v>
      </c>
      <c r="V137" s="12">
        <v>3234</v>
      </c>
      <c r="W137" s="12">
        <v>3071</v>
      </c>
      <c r="X137" s="12">
        <v>2839</v>
      </c>
      <c r="Y137" s="12">
        <v>2846</v>
      </c>
      <c r="Z137" s="12">
        <v>2889</v>
      </c>
      <c r="AA137" s="12">
        <v>2913</v>
      </c>
      <c r="AB137" s="12">
        <v>2913</v>
      </c>
      <c r="AC137" s="12">
        <v>3053</v>
      </c>
      <c r="AD137" s="12">
        <v>3269</v>
      </c>
      <c r="AE137" s="12">
        <v>3223</v>
      </c>
      <c r="AF137" s="12">
        <v>3216</v>
      </c>
      <c r="AG137" s="12">
        <v>3298</v>
      </c>
      <c r="AH137" s="12">
        <v>3508</v>
      </c>
      <c r="AI137" s="12">
        <v>3950</v>
      </c>
      <c r="AJ137" s="12">
        <v>3966</v>
      </c>
      <c r="AK137" s="12">
        <v>3737</v>
      </c>
      <c r="AL137" s="12">
        <v>3456</v>
      </c>
      <c r="AM137" s="71">
        <v>2948</v>
      </c>
      <c r="AN137" s="71">
        <v>2785</v>
      </c>
      <c r="AO137" s="71">
        <v>2946</v>
      </c>
      <c r="AP137" s="71">
        <v>2920</v>
      </c>
      <c r="AQ137" s="71">
        <v>2837</v>
      </c>
      <c r="AR137" s="71">
        <v>2792</v>
      </c>
      <c r="AS137" s="71">
        <v>2761</v>
      </c>
      <c r="AT137" s="71">
        <v>2678</v>
      </c>
      <c r="AU137" s="71">
        <v>2686</v>
      </c>
      <c r="AV137" s="158">
        <v>2812</v>
      </c>
      <c r="AW137" s="30">
        <v>2954</v>
      </c>
      <c r="AX137" s="68">
        <v>3028</v>
      </c>
      <c r="AY137" s="68">
        <v>3104</v>
      </c>
      <c r="AZ137" s="68">
        <v>3101</v>
      </c>
      <c r="BA137" s="293">
        <v>3150</v>
      </c>
      <c r="BB137" s="293">
        <v>3656</v>
      </c>
      <c r="BC137" s="293">
        <v>3822</v>
      </c>
      <c r="BD137" s="314">
        <v>3891</v>
      </c>
      <c r="BE137" s="314">
        <v>3805</v>
      </c>
      <c r="BF137" s="314">
        <v>3845</v>
      </c>
      <c r="BG137" s="314">
        <v>3938</v>
      </c>
      <c r="BH137" s="314">
        <v>4041</v>
      </c>
      <c r="BI137" s="385">
        <f>(BG137-BF137)/BF137</f>
        <v>2.4187256176853057E-2</v>
      </c>
      <c r="BJ137" s="385">
        <f>(BH137-BG137)/BG137</f>
        <v>2.6155408836973083E-2</v>
      </c>
      <c r="BK137" s="569">
        <f>BG137-BF137</f>
        <v>93</v>
      </c>
      <c r="BL137" s="569">
        <f>BH137-BG137</f>
        <v>103</v>
      </c>
      <c r="BM137" s="331"/>
      <c r="BN137" s="331"/>
    </row>
    <row r="138" spans="1:255" ht="11.1" customHeight="1">
      <c r="A138" s="125" t="s">
        <v>78</v>
      </c>
      <c r="B138" s="18" t="s">
        <v>60</v>
      </c>
      <c r="C138" s="18" t="s">
        <v>60</v>
      </c>
      <c r="D138" s="18" t="s">
        <v>60</v>
      </c>
      <c r="E138" s="18" t="s">
        <v>60</v>
      </c>
      <c r="F138" s="18" t="s">
        <v>60</v>
      </c>
      <c r="G138" s="18" t="s">
        <v>60</v>
      </c>
      <c r="H138" s="18" t="s">
        <v>60</v>
      </c>
      <c r="I138" s="18" t="s">
        <v>60</v>
      </c>
      <c r="J138" s="18" t="s">
        <v>60</v>
      </c>
      <c r="K138" s="18" t="s">
        <v>60</v>
      </c>
      <c r="L138" s="18" t="s">
        <v>60</v>
      </c>
      <c r="M138" s="18" t="s">
        <v>60</v>
      </c>
      <c r="N138" s="18" t="s">
        <v>60</v>
      </c>
      <c r="O138" s="18" t="s">
        <v>60</v>
      </c>
      <c r="P138" s="18" t="s">
        <v>60</v>
      </c>
      <c r="Q138" s="18" t="s">
        <v>60</v>
      </c>
      <c r="R138" s="18" t="s">
        <v>60</v>
      </c>
      <c r="S138" s="18" t="s">
        <v>60</v>
      </c>
      <c r="T138" s="18" t="s">
        <v>60</v>
      </c>
      <c r="U138" s="18" t="s">
        <v>60</v>
      </c>
      <c r="V138" s="18" t="s">
        <v>60</v>
      </c>
      <c r="W138" s="18" t="s">
        <v>60</v>
      </c>
      <c r="X138" s="18" t="s">
        <v>60</v>
      </c>
      <c r="Y138" s="18" t="s">
        <v>60</v>
      </c>
      <c r="Z138" s="18" t="s">
        <v>60</v>
      </c>
      <c r="AA138" s="18" t="s">
        <v>60</v>
      </c>
      <c r="AB138" s="18" t="s">
        <v>60</v>
      </c>
      <c r="AC138" s="18" t="s">
        <v>60</v>
      </c>
      <c r="AD138" s="18" t="s">
        <v>60</v>
      </c>
      <c r="AE138" s="18" t="s">
        <v>60</v>
      </c>
      <c r="AF138" s="18" t="s">
        <v>60</v>
      </c>
      <c r="AG138" s="12">
        <v>118</v>
      </c>
      <c r="AH138" s="12">
        <v>145</v>
      </c>
      <c r="AI138" s="12">
        <v>152</v>
      </c>
      <c r="AJ138" s="12">
        <v>147</v>
      </c>
      <c r="AK138" s="12">
        <v>165</v>
      </c>
      <c r="AL138" s="12">
        <v>171</v>
      </c>
      <c r="AM138" s="71">
        <v>164</v>
      </c>
      <c r="AN138" s="71">
        <v>162</v>
      </c>
      <c r="AO138" s="71">
        <v>165</v>
      </c>
      <c r="AP138" s="71">
        <v>169</v>
      </c>
      <c r="AQ138" s="71">
        <v>178</v>
      </c>
      <c r="AR138" s="71">
        <v>205</v>
      </c>
      <c r="AS138" s="71">
        <v>230</v>
      </c>
      <c r="AT138" s="180">
        <v>250</v>
      </c>
      <c r="AU138" s="180">
        <v>268</v>
      </c>
      <c r="AV138" s="263">
        <v>297</v>
      </c>
      <c r="AW138" s="264">
        <v>302</v>
      </c>
      <c r="AX138" s="233">
        <v>312</v>
      </c>
      <c r="AY138" s="233">
        <v>313</v>
      </c>
      <c r="AZ138" s="233">
        <v>329</v>
      </c>
      <c r="BA138" s="314">
        <v>315</v>
      </c>
      <c r="BB138" s="314">
        <v>301</v>
      </c>
      <c r="BC138" s="314">
        <v>301</v>
      </c>
      <c r="BD138" s="314">
        <v>279</v>
      </c>
      <c r="BE138" s="314">
        <v>276</v>
      </c>
      <c r="BF138" s="314">
        <v>279</v>
      </c>
      <c r="BG138" s="314">
        <v>339</v>
      </c>
      <c r="BH138" s="314">
        <v>333</v>
      </c>
      <c r="BI138" s="385">
        <f>(BG138-BF138)/BF138</f>
        <v>0.21505376344086022</v>
      </c>
      <c r="BJ138" s="385">
        <f>(BH138-BG138)/BG138</f>
        <v>-1.7699115044247787E-2</v>
      </c>
      <c r="BK138" s="569">
        <f>BG138-BF138</f>
        <v>60</v>
      </c>
      <c r="BL138" s="569">
        <f>BH138-BG138</f>
        <v>-6</v>
      </c>
      <c r="BM138" s="331"/>
      <c r="BN138" s="331"/>
    </row>
    <row r="139" spans="1:255" ht="11.1" customHeight="1">
      <c r="A139" s="129" t="s">
        <v>139</v>
      </c>
      <c r="B139" s="18" t="s">
        <v>60</v>
      </c>
      <c r="C139" s="18" t="s">
        <v>60</v>
      </c>
      <c r="D139" s="18" t="s">
        <v>60</v>
      </c>
      <c r="E139" s="18" t="s">
        <v>60</v>
      </c>
      <c r="F139" s="18" t="s">
        <v>60</v>
      </c>
      <c r="G139" s="18" t="s">
        <v>60</v>
      </c>
      <c r="H139" s="18" t="s">
        <v>60</v>
      </c>
      <c r="I139" s="18" t="s">
        <v>60</v>
      </c>
      <c r="J139" s="18" t="s">
        <v>60</v>
      </c>
      <c r="K139" s="18" t="s">
        <v>60</v>
      </c>
      <c r="L139" s="18" t="s">
        <v>60</v>
      </c>
      <c r="M139" s="18" t="s">
        <v>60</v>
      </c>
      <c r="N139" s="18" t="s">
        <v>60</v>
      </c>
      <c r="O139" s="18" t="s">
        <v>60</v>
      </c>
      <c r="P139" s="18" t="s">
        <v>60</v>
      </c>
      <c r="Q139" s="18" t="s">
        <v>60</v>
      </c>
      <c r="R139" s="18" t="s">
        <v>60</v>
      </c>
      <c r="S139" s="18" t="s">
        <v>60</v>
      </c>
      <c r="T139" s="18" t="s">
        <v>60</v>
      </c>
      <c r="U139" s="18" t="s">
        <v>60</v>
      </c>
      <c r="V139" s="18" t="s">
        <v>60</v>
      </c>
      <c r="W139" s="18" t="s">
        <v>60</v>
      </c>
      <c r="X139" s="18" t="s">
        <v>60</v>
      </c>
      <c r="Y139" s="18" t="s">
        <v>60</v>
      </c>
      <c r="Z139" s="18" t="s">
        <v>60</v>
      </c>
      <c r="AA139" s="18" t="s">
        <v>60</v>
      </c>
      <c r="AB139" s="18" t="s">
        <v>60</v>
      </c>
      <c r="AC139" s="18" t="s">
        <v>60</v>
      </c>
      <c r="AD139" s="18" t="s">
        <v>60</v>
      </c>
      <c r="AE139" s="83">
        <v>3570</v>
      </c>
      <c r="AF139" s="83">
        <v>3250</v>
      </c>
      <c r="AG139" s="83">
        <v>2853</v>
      </c>
      <c r="AH139" s="83">
        <v>2527</v>
      </c>
      <c r="AI139" s="83">
        <v>2238</v>
      </c>
      <c r="AJ139" s="83">
        <v>1781</v>
      </c>
      <c r="AK139" s="83">
        <v>1615</v>
      </c>
      <c r="AL139" s="83">
        <v>1424</v>
      </c>
      <c r="AM139" s="74">
        <v>1335</v>
      </c>
      <c r="AN139" s="74">
        <v>1269</v>
      </c>
      <c r="AO139" s="74">
        <v>1266</v>
      </c>
      <c r="AP139" s="74">
        <v>1254</v>
      </c>
      <c r="AQ139" s="74">
        <v>1211</v>
      </c>
      <c r="AR139" s="74">
        <v>1266</v>
      </c>
      <c r="AS139" s="74">
        <v>912</v>
      </c>
      <c r="AT139" s="71">
        <v>886</v>
      </c>
      <c r="AU139" s="71">
        <v>885</v>
      </c>
      <c r="AV139" s="158">
        <v>918</v>
      </c>
      <c r="AW139" s="30">
        <v>974</v>
      </c>
      <c r="AX139" s="68">
        <v>1029</v>
      </c>
      <c r="AY139" s="68">
        <v>1051</v>
      </c>
      <c r="AZ139" s="68">
        <v>1016</v>
      </c>
      <c r="BA139" s="293">
        <v>804</v>
      </c>
      <c r="BB139" s="314" t="s">
        <v>3</v>
      </c>
      <c r="BC139" s="314" t="s">
        <v>3</v>
      </c>
      <c r="BD139" s="314" t="s">
        <v>3</v>
      </c>
      <c r="BE139" s="314" t="s">
        <v>3</v>
      </c>
      <c r="BF139" s="314" t="s">
        <v>3</v>
      </c>
      <c r="BG139" s="314" t="s">
        <v>3</v>
      </c>
      <c r="BH139" s="314" t="s">
        <v>3</v>
      </c>
      <c r="BI139" s="424" t="s">
        <v>9</v>
      </c>
      <c r="BJ139" s="424" t="s">
        <v>9</v>
      </c>
      <c r="BK139" s="573" t="s">
        <v>9</v>
      </c>
      <c r="BL139" s="573" t="s">
        <v>9</v>
      </c>
      <c r="BM139" s="331"/>
      <c r="BN139" s="331"/>
    </row>
    <row r="140" spans="1:255" ht="11.1" customHeight="1">
      <c r="A140" s="128" t="s">
        <v>32</v>
      </c>
      <c r="B140" s="151">
        <f t="shared" ref="B140:K140" si="57">SUM(B136:B139)</f>
        <v>841</v>
      </c>
      <c r="C140" s="151">
        <f t="shared" si="57"/>
        <v>978</v>
      </c>
      <c r="D140" s="151">
        <f t="shared" si="57"/>
        <v>1138</v>
      </c>
      <c r="E140" s="151">
        <f t="shared" si="57"/>
        <v>1324</v>
      </c>
      <c r="F140" s="151">
        <f t="shared" si="57"/>
        <v>1540</v>
      </c>
      <c r="G140" s="151">
        <f t="shared" si="57"/>
        <v>1661</v>
      </c>
      <c r="H140" s="151">
        <f t="shared" si="57"/>
        <v>1707</v>
      </c>
      <c r="I140" s="151">
        <f t="shared" si="57"/>
        <v>1772</v>
      </c>
      <c r="J140" s="151">
        <f t="shared" si="57"/>
        <v>1830</v>
      </c>
      <c r="K140" s="151">
        <f t="shared" si="57"/>
        <v>2013</v>
      </c>
      <c r="L140" s="151">
        <f>SUM(L136:L139)</f>
        <v>1957</v>
      </c>
      <c r="M140" s="151">
        <f t="shared" ref="M140:AU140" si="58">SUM(M136:M139)</f>
        <v>2143</v>
      </c>
      <c r="N140" s="151">
        <f t="shared" si="58"/>
        <v>2136</v>
      </c>
      <c r="O140" s="151">
        <f t="shared" si="58"/>
        <v>2249</v>
      </c>
      <c r="P140" s="151">
        <f t="shared" si="58"/>
        <v>2457</v>
      </c>
      <c r="Q140" s="151">
        <f t="shared" si="58"/>
        <v>2660</v>
      </c>
      <c r="R140" s="151">
        <f t="shared" si="58"/>
        <v>2874</v>
      </c>
      <c r="S140" s="151">
        <f t="shared" si="58"/>
        <v>2972</v>
      </c>
      <c r="T140" s="151">
        <f t="shared" si="58"/>
        <v>3091</v>
      </c>
      <c r="U140" s="151">
        <f t="shared" si="58"/>
        <v>3072</v>
      </c>
      <c r="V140" s="151">
        <f t="shared" si="58"/>
        <v>3234</v>
      </c>
      <c r="W140" s="151">
        <f t="shared" si="58"/>
        <v>3071</v>
      </c>
      <c r="X140" s="151">
        <f t="shared" si="58"/>
        <v>2839</v>
      </c>
      <c r="Y140" s="151">
        <f t="shared" si="58"/>
        <v>2846</v>
      </c>
      <c r="Z140" s="151">
        <f t="shared" si="58"/>
        <v>2889</v>
      </c>
      <c r="AA140" s="151">
        <f t="shared" si="58"/>
        <v>2913</v>
      </c>
      <c r="AB140" s="151">
        <f t="shared" si="58"/>
        <v>2913</v>
      </c>
      <c r="AC140" s="151">
        <f t="shared" si="58"/>
        <v>3053</v>
      </c>
      <c r="AD140" s="151">
        <f t="shared" si="58"/>
        <v>3269</v>
      </c>
      <c r="AE140" s="151">
        <f t="shared" si="58"/>
        <v>6793</v>
      </c>
      <c r="AF140" s="151">
        <f t="shared" si="58"/>
        <v>6466</v>
      </c>
      <c r="AG140" s="151">
        <f t="shared" si="58"/>
        <v>6269</v>
      </c>
      <c r="AH140" s="151">
        <f t="shared" si="58"/>
        <v>6180</v>
      </c>
      <c r="AI140" s="151">
        <f t="shared" si="58"/>
        <v>6340</v>
      </c>
      <c r="AJ140" s="151">
        <f t="shared" si="58"/>
        <v>5894</v>
      </c>
      <c r="AK140" s="151">
        <f t="shared" si="58"/>
        <v>5517</v>
      </c>
      <c r="AL140" s="151">
        <f t="shared" si="58"/>
        <v>5051</v>
      </c>
      <c r="AM140" s="151">
        <f t="shared" si="58"/>
        <v>4447</v>
      </c>
      <c r="AN140" s="151">
        <f t="shared" si="58"/>
        <v>4216</v>
      </c>
      <c r="AO140" s="151">
        <f t="shared" si="58"/>
        <v>4377</v>
      </c>
      <c r="AP140" s="151">
        <f t="shared" si="58"/>
        <v>4343</v>
      </c>
      <c r="AQ140" s="151">
        <f t="shared" si="58"/>
        <v>4226</v>
      </c>
      <c r="AR140" s="151">
        <f t="shared" si="58"/>
        <v>4263</v>
      </c>
      <c r="AS140" s="151">
        <f t="shared" si="58"/>
        <v>3903</v>
      </c>
      <c r="AT140" s="151">
        <f t="shared" si="58"/>
        <v>3814</v>
      </c>
      <c r="AU140" s="151">
        <f t="shared" si="58"/>
        <v>3839</v>
      </c>
      <c r="AV140" s="151">
        <f t="shared" ref="AV140:BA140" si="59">SUM(AV137:AV139)</f>
        <v>4027</v>
      </c>
      <c r="AW140" s="152">
        <f t="shared" si="59"/>
        <v>4230</v>
      </c>
      <c r="AX140" s="152">
        <f t="shared" si="59"/>
        <v>4369</v>
      </c>
      <c r="AY140" s="193">
        <f t="shared" si="59"/>
        <v>4468</v>
      </c>
      <c r="AZ140" s="193">
        <f t="shared" si="59"/>
        <v>4446</v>
      </c>
      <c r="BA140" s="398">
        <f t="shared" si="59"/>
        <v>4269</v>
      </c>
      <c r="BB140" s="398">
        <f t="shared" ref="BB140:BH140" si="60">SUM(BB137:BB139)</f>
        <v>3957</v>
      </c>
      <c r="BC140" s="398">
        <f t="shared" si="60"/>
        <v>4123</v>
      </c>
      <c r="BD140" s="524">
        <f t="shared" si="60"/>
        <v>4170</v>
      </c>
      <c r="BE140" s="524">
        <f t="shared" si="60"/>
        <v>4081</v>
      </c>
      <c r="BF140" s="524">
        <f t="shared" si="60"/>
        <v>4124</v>
      </c>
      <c r="BG140" s="524">
        <f t="shared" si="60"/>
        <v>4277</v>
      </c>
      <c r="BH140" s="524">
        <f t="shared" si="60"/>
        <v>4374</v>
      </c>
      <c r="BI140" s="415">
        <f>(BG140-BF140)/BF140</f>
        <v>3.7099903006789524E-2</v>
      </c>
      <c r="BJ140" s="415">
        <f>(BH140-BG140)/BG140</f>
        <v>2.2679448211363105E-2</v>
      </c>
      <c r="BK140" s="572">
        <f>BG140-BF140</f>
        <v>153</v>
      </c>
      <c r="BL140" s="572">
        <f>BH140-BG140</f>
        <v>97</v>
      </c>
      <c r="BM140" s="331"/>
      <c r="BN140" s="331"/>
    </row>
    <row r="141" spans="1:255" ht="6" customHeight="1">
      <c r="A141" s="125"/>
      <c r="B141" s="428"/>
      <c r="C141" s="428"/>
      <c r="D141" s="428"/>
      <c r="E141" s="428"/>
      <c r="F141" s="428"/>
      <c r="G141" s="428"/>
      <c r="H141" s="428"/>
      <c r="I141" s="428"/>
      <c r="J141" s="428"/>
      <c r="K141" s="42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68"/>
      <c r="Z141" s="368"/>
      <c r="AA141" s="368"/>
      <c r="AB141" s="368"/>
      <c r="AC141" s="368"/>
      <c r="AD141" s="368"/>
      <c r="AE141" s="368"/>
      <c r="AF141" s="368"/>
      <c r="AG141" s="368"/>
      <c r="AH141" s="368"/>
      <c r="AI141" s="368"/>
      <c r="AJ141" s="368"/>
      <c r="AK141" s="368"/>
      <c r="AL141" s="350"/>
      <c r="AM141" s="368"/>
      <c r="AN141" s="368"/>
      <c r="AO141" s="368"/>
      <c r="AP141" s="368"/>
      <c r="AQ141" s="368"/>
      <c r="AR141" s="368"/>
      <c r="AS141" s="368"/>
      <c r="AT141" s="368"/>
      <c r="AU141" s="368"/>
      <c r="AV141" s="369"/>
      <c r="AW141" s="429"/>
      <c r="AX141" s="293"/>
      <c r="AY141" s="293"/>
      <c r="AZ141" s="293"/>
      <c r="BA141" s="293"/>
      <c r="BB141" s="293"/>
      <c r="BC141" s="471"/>
      <c r="BD141" s="309"/>
      <c r="BE141" s="309"/>
      <c r="BF141" s="309"/>
      <c r="BG141" s="309"/>
      <c r="BH141" s="309"/>
      <c r="BI141" s="329"/>
      <c r="BJ141" s="329"/>
      <c r="BK141" s="570"/>
      <c r="BL141" s="570"/>
      <c r="BM141" s="331"/>
      <c r="BN141" s="331"/>
    </row>
    <row r="142" spans="1:255" ht="10.5" customHeight="1">
      <c r="A142" s="426" t="s">
        <v>111</v>
      </c>
      <c r="B142" s="365" t="s">
        <v>3</v>
      </c>
      <c r="C142" s="365" t="s">
        <v>3</v>
      </c>
      <c r="D142" s="365" t="s">
        <v>3</v>
      </c>
      <c r="E142" s="365" t="s">
        <v>3</v>
      </c>
      <c r="F142" s="365" t="s">
        <v>3</v>
      </c>
      <c r="G142" s="365" t="s">
        <v>3</v>
      </c>
      <c r="H142" s="365" t="s">
        <v>3</v>
      </c>
      <c r="I142" s="365" t="s">
        <v>3</v>
      </c>
      <c r="J142" s="365" t="s">
        <v>3</v>
      </c>
      <c r="K142" s="365" t="s">
        <v>3</v>
      </c>
      <c r="L142" s="365" t="s">
        <v>3</v>
      </c>
      <c r="M142" s="365" t="s">
        <v>3</v>
      </c>
      <c r="N142" s="365" t="s">
        <v>3</v>
      </c>
      <c r="O142" s="365" t="s">
        <v>3</v>
      </c>
      <c r="P142" s="365" t="s">
        <v>3</v>
      </c>
      <c r="Q142" s="365" t="s">
        <v>3</v>
      </c>
      <c r="R142" s="365" t="s">
        <v>3</v>
      </c>
      <c r="S142" s="365" t="s">
        <v>3</v>
      </c>
      <c r="T142" s="365" t="s">
        <v>3</v>
      </c>
      <c r="U142" s="365" t="s">
        <v>3</v>
      </c>
      <c r="V142" s="365" t="s">
        <v>3</v>
      </c>
      <c r="W142" s="365" t="s">
        <v>3</v>
      </c>
      <c r="X142" s="365" t="s">
        <v>3</v>
      </c>
      <c r="Y142" s="365" t="s">
        <v>3</v>
      </c>
      <c r="Z142" s="365" t="s">
        <v>3</v>
      </c>
      <c r="AA142" s="365" t="s">
        <v>3</v>
      </c>
      <c r="AB142" s="365" t="s">
        <v>3</v>
      </c>
      <c r="AC142" s="365" t="s">
        <v>3</v>
      </c>
      <c r="AD142" s="365" t="s">
        <v>3</v>
      </c>
      <c r="AE142" s="365" t="s">
        <v>3</v>
      </c>
      <c r="AF142" s="365" t="s">
        <v>3</v>
      </c>
      <c r="AG142" s="365" t="s">
        <v>3</v>
      </c>
      <c r="AH142" s="365" t="s">
        <v>3</v>
      </c>
      <c r="AI142" s="365" t="s">
        <v>3</v>
      </c>
      <c r="AJ142" s="365" t="s">
        <v>3</v>
      </c>
      <c r="AK142" s="365" t="s">
        <v>3</v>
      </c>
      <c r="AL142" s="365" t="s">
        <v>3</v>
      </c>
      <c r="AM142" s="365" t="s">
        <v>3</v>
      </c>
      <c r="AN142" s="365" t="s">
        <v>3</v>
      </c>
      <c r="AO142" s="365" t="s">
        <v>3</v>
      </c>
      <c r="AP142" s="365" t="s">
        <v>3</v>
      </c>
      <c r="AQ142" s="365" t="s">
        <v>3</v>
      </c>
      <c r="AR142" s="365" t="s">
        <v>3</v>
      </c>
      <c r="AS142" s="365" t="s">
        <v>3</v>
      </c>
      <c r="AT142" s="365" t="s">
        <v>3</v>
      </c>
      <c r="AU142" s="365" t="s">
        <v>3</v>
      </c>
      <c r="AV142" s="365" t="s">
        <v>3</v>
      </c>
      <c r="AW142" s="365" t="s">
        <v>3</v>
      </c>
      <c r="AX142" s="365" t="s">
        <v>3</v>
      </c>
      <c r="AY142" s="365" t="s">
        <v>3</v>
      </c>
      <c r="AZ142" s="365" t="s">
        <v>3</v>
      </c>
      <c r="BA142" s="356">
        <v>115</v>
      </c>
      <c r="BB142" s="356">
        <v>831</v>
      </c>
      <c r="BC142" s="356">
        <v>1162</v>
      </c>
      <c r="BD142" s="367">
        <v>1379</v>
      </c>
      <c r="BE142" s="367">
        <v>1464</v>
      </c>
      <c r="BF142" s="367">
        <v>1555</v>
      </c>
      <c r="BG142" s="367">
        <v>1714</v>
      </c>
      <c r="BH142" s="367">
        <v>1791</v>
      </c>
      <c r="BI142" s="385">
        <f>(BG142-BF142)/BF142</f>
        <v>0.10225080385852089</v>
      </c>
      <c r="BJ142" s="385">
        <f>(BH142-BG142)/BG142</f>
        <v>4.4924154025670945E-2</v>
      </c>
      <c r="BK142" s="569">
        <f>BG142-BF142</f>
        <v>159</v>
      </c>
      <c r="BL142" s="569">
        <f>BH142-BG142</f>
        <v>77</v>
      </c>
      <c r="BM142" s="331"/>
      <c r="BN142" s="331"/>
    </row>
    <row r="143" spans="1:255" ht="6" customHeight="1">
      <c r="A143" s="125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M143" s="71"/>
      <c r="AN143" s="71"/>
      <c r="AO143" s="71"/>
      <c r="AP143" s="71"/>
      <c r="AQ143" s="71"/>
      <c r="AR143" s="71"/>
      <c r="AS143" s="71"/>
      <c r="AT143" s="71"/>
      <c r="AU143" s="71"/>
      <c r="AV143" s="158"/>
      <c r="AW143" s="257"/>
      <c r="AX143" s="68"/>
      <c r="AY143" s="68"/>
      <c r="AZ143" s="308"/>
      <c r="BA143" s="293"/>
      <c r="BB143" s="293"/>
      <c r="BC143" s="471"/>
      <c r="BD143" s="309"/>
      <c r="BE143" s="309"/>
      <c r="BF143" s="309"/>
      <c r="BG143" s="309"/>
      <c r="BH143" s="309"/>
      <c r="BI143" s="329"/>
      <c r="BJ143" s="329"/>
      <c r="BK143" s="570"/>
      <c r="BL143" s="570"/>
      <c r="BM143" s="331"/>
      <c r="BN143" s="331"/>
    </row>
    <row r="144" spans="1:255" ht="11.1" customHeight="1">
      <c r="A144" s="125" t="s">
        <v>22</v>
      </c>
      <c r="B144" s="28">
        <v>251</v>
      </c>
      <c r="C144" s="28">
        <v>240</v>
      </c>
      <c r="D144" s="28">
        <v>233</v>
      </c>
      <c r="E144" s="28">
        <v>234</v>
      </c>
      <c r="F144" s="28">
        <v>234</v>
      </c>
      <c r="G144" s="28">
        <v>224</v>
      </c>
      <c r="H144" s="28">
        <v>227</v>
      </c>
      <c r="I144" s="28">
        <v>229</v>
      </c>
      <c r="J144" s="28">
        <v>231</v>
      </c>
      <c r="K144" s="28">
        <v>219</v>
      </c>
      <c r="L144" s="28">
        <v>232</v>
      </c>
      <c r="M144" s="12">
        <v>219</v>
      </c>
      <c r="N144" s="12">
        <v>229</v>
      </c>
      <c r="O144" s="12">
        <v>217</v>
      </c>
      <c r="P144" s="12">
        <v>200</v>
      </c>
      <c r="Q144" s="12">
        <v>211</v>
      </c>
      <c r="R144" s="12">
        <v>222</v>
      </c>
      <c r="S144" s="12">
        <v>241</v>
      </c>
      <c r="T144" s="12">
        <v>246</v>
      </c>
      <c r="U144" s="12">
        <v>251</v>
      </c>
      <c r="V144" s="12">
        <v>277</v>
      </c>
      <c r="W144" s="12">
        <v>281</v>
      </c>
      <c r="X144" s="12">
        <v>270</v>
      </c>
      <c r="Y144" s="12">
        <v>297</v>
      </c>
      <c r="Z144" s="12">
        <v>288</v>
      </c>
      <c r="AA144" s="12">
        <v>296</v>
      </c>
      <c r="AB144" s="12">
        <v>353</v>
      </c>
      <c r="AC144" s="12">
        <v>541</v>
      </c>
      <c r="AD144" s="12">
        <v>565</v>
      </c>
      <c r="AE144" s="12">
        <v>538</v>
      </c>
      <c r="AF144" s="12">
        <v>530</v>
      </c>
      <c r="AG144" s="12">
        <v>515</v>
      </c>
      <c r="AH144" s="12">
        <v>483</v>
      </c>
      <c r="AI144" s="12">
        <v>450</v>
      </c>
      <c r="AJ144" s="12">
        <v>425</v>
      </c>
      <c r="AK144" s="12">
        <v>392</v>
      </c>
      <c r="AL144" s="63">
        <v>362</v>
      </c>
      <c r="AM144" s="63">
        <v>318</v>
      </c>
      <c r="AN144" s="63">
        <v>299</v>
      </c>
      <c r="AO144" s="63">
        <v>295</v>
      </c>
      <c r="AP144" s="63">
        <v>287</v>
      </c>
      <c r="AQ144" s="63">
        <v>277</v>
      </c>
      <c r="AR144" s="63">
        <v>270</v>
      </c>
      <c r="AS144" s="63">
        <v>281</v>
      </c>
      <c r="AT144" s="63">
        <v>290</v>
      </c>
      <c r="AU144" s="63">
        <v>271</v>
      </c>
      <c r="AV144" s="265">
        <v>252</v>
      </c>
      <c r="AW144" s="266">
        <v>253</v>
      </c>
      <c r="AX144" s="68">
        <v>251</v>
      </c>
      <c r="AY144" s="68">
        <v>271</v>
      </c>
      <c r="AZ144" s="68">
        <v>277</v>
      </c>
      <c r="BA144" s="293">
        <v>286</v>
      </c>
      <c r="BB144" s="293">
        <v>288</v>
      </c>
      <c r="BC144" s="293">
        <v>273</v>
      </c>
      <c r="BD144" s="314">
        <v>278</v>
      </c>
      <c r="BE144" s="314">
        <v>277</v>
      </c>
      <c r="BF144" s="314">
        <v>290</v>
      </c>
      <c r="BG144" s="314">
        <v>310</v>
      </c>
      <c r="BH144" s="314">
        <v>306</v>
      </c>
      <c r="BI144" s="385">
        <f>(BG144-BF144)/BF144</f>
        <v>6.8965517241379309E-2</v>
      </c>
      <c r="BJ144" s="385">
        <f>(BH144-BG144)/BG144</f>
        <v>-1.2903225806451613E-2</v>
      </c>
      <c r="BK144" s="569">
        <f>BG144-BF144</f>
        <v>20</v>
      </c>
      <c r="BL144" s="569">
        <f>BH144-BG144</f>
        <v>-4</v>
      </c>
      <c r="BM144" s="331"/>
      <c r="BN144" s="331"/>
    </row>
    <row r="145" spans="1:66" ht="6" customHeight="1">
      <c r="A145" s="125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M145" s="71"/>
      <c r="AN145" s="71"/>
      <c r="AO145" s="71"/>
      <c r="AP145" s="71"/>
      <c r="AQ145" s="71"/>
      <c r="AR145" s="71"/>
      <c r="AS145" s="71"/>
      <c r="AT145" s="71"/>
      <c r="AU145" s="71"/>
      <c r="AV145" s="158"/>
      <c r="AW145" s="257"/>
      <c r="AX145" s="68"/>
      <c r="AY145" s="68"/>
      <c r="AZ145" s="308"/>
      <c r="BA145" s="293"/>
      <c r="BB145" s="293"/>
      <c r="BC145" s="293"/>
      <c r="BD145" s="309"/>
      <c r="BE145" s="309"/>
      <c r="BF145" s="309"/>
      <c r="BG145" s="309"/>
      <c r="BH145" s="309"/>
      <c r="BI145" s="329"/>
      <c r="BJ145" s="329"/>
      <c r="BK145" s="570"/>
      <c r="BL145" s="570"/>
      <c r="BM145" s="331"/>
      <c r="BN145" s="331"/>
    </row>
    <row r="146" spans="1:66" s="182" customFormat="1" ht="11.1" customHeight="1">
      <c r="A146" s="186" t="s">
        <v>5</v>
      </c>
      <c r="B146" s="587">
        <v>881</v>
      </c>
      <c r="C146" s="587">
        <v>984</v>
      </c>
      <c r="D146" s="587">
        <v>1099</v>
      </c>
      <c r="E146" s="587">
        <v>1227</v>
      </c>
      <c r="F146" s="587">
        <v>1370</v>
      </c>
      <c r="G146" s="587">
        <v>1489</v>
      </c>
      <c r="H146" s="587">
        <v>1641</v>
      </c>
      <c r="I146" s="587">
        <v>1933</v>
      </c>
      <c r="J146" s="587">
        <v>2305</v>
      </c>
      <c r="K146" s="587">
        <v>2571</v>
      </c>
      <c r="L146" s="587">
        <v>2705</v>
      </c>
      <c r="M146" s="590">
        <v>2491</v>
      </c>
      <c r="N146" s="590">
        <v>2537</v>
      </c>
      <c r="O146" s="590">
        <v>2574</v>
      </c>
      <c r="P146" s="590">
        <v>2607</v>
      </c>
      <c r="Q146" s="590">
        <v>2817</v>
      </c>
      <c r="R146" s="590">
        <v>3211</v>
      </c>
      <c r="S146" s="590">
        <v>3527</v>
      </c>
      <c r="T146" s="590">
        <v>3654</v>
      </c>
      <c r="U146" s="590">
        <v>3476</v>
      </c>
      <c r="V146" s="590">
        <v>3648</v>
      </c>
      <c r="W146" s="590">
        <v>3287</v>
      </c>
      <c r="X146" s="590">
        <v>3275</v>
      </c>
      <c r="Y146" s="590">
        <v>2728</v>
      </c>
      <c r="Z146" s="590">
        <v>2783</v>
      </c>
      <c r="AA146" s="590">
        <v>2921</v>
      </c>
      <c r="AB146" s="590">
        <v>3655</v>
      </c>
      <c r="AC146" s="590">
        <v>3199</v>
      </c>
      <c r="AD146" s="590">
        <v>3106</v>
      </c>
      <c r="AE146" s="590">
        <v>7532</v>
      </c>
      <c r="AF146" s="590">
        <v>4960</v>
      </c>
      <c r="AG146" s="590">
        <v>5231</v>
      </c>
      <c r="AH146" s="590">
        <v>7083</v>
      </c>
      <c r="AI146" s="588">
        <v>7278</v>
      </c>
      <c r="AJ146" s="590">
        <v>7097</v>
      </c>
      <c r="AK146" s="458">
        <v>7532</v>
      </c>
      <c r="AL146" s="458">
        <v>4960</v>
      </c>
      <c r="AM146" s="591">
        <v>4981</v>
      </c>
      <c r="AN146" s="591">
        <v>4347</v>
      </c>
      <c r="AO146" s="591">
        <v>4412</v>
      </c>
      <c r="AP146" s="591">
        <v>4236</v>
      </c>
      <c r="AQ146" s="591">
        <v>4155</v>
      </c>
      <c r="AR146" s="591">
        <v>3706</v>
      </c>
      <c r="AS146" s="591">
        <v>3554</v>
      </c>
      <c r="AT146" s="591">
        <v>3568</v>
      </c>
      <c r="AU146" s="591">
        <v>2961</v>
      </c>
      <c r="AV146" s="591">
        <v>2748</v>
      </c>
      <c r="AW146" s="216">
        <v>2857.9608561394002</v>
      </c>
      <c r="AX146" s="345">
        <v>2999</v>
      </c>
      <c r="AY146" s="345">
        <v>3530</v>
      </c>
      <c r="AZ146" s="345">
        <v>4560</v>
      </c>
      <c r="BA146" s="314">
        <v>5367</v>
      </c>
      <c r="BB146" s="314">
        <v>5243</v>
      </c>
      <c r="BC146" s="314">
        <v>4639</v>
      </c>
      <c r="BD146" s="314">
        <v>4696</v>
      </c>
      <c r="BE146" s="314">
        <v>4384</v>
      </c>
      <c r="BF146" s="314">
        <v>4219</v>
      </c>
      <c r="BG146" s="314">
        <v>3786</v>
      </c>
      <c r="BH146" s="314">
        <v>3660</v>
      </c>
      <c r="BI146" s="385">
        <f>(BG146-BF146)/BF146</f>
        <v>-0.10263095520265465</v>
      </c>
      <c r="BJ146" s="385">
        <f>(BH146-BG146)/BG146</f>
        <v>-3.328050713153724E-2</v>
      </c>
      <c r="BK146" s="569">
        <f>BG146-BF146</f>
        <v>-433</v>
      </c>
      <c r="BL146" s="569">
        <f>BH146-BG146</f>
        <v>-126</v>
      </c>
    </row>
    <row r="147" spans="1:66" ht="6" customHeight="1">
      <c r="A147" s="125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3"/>
      <c r="AJ147" s="12"/>
      <c r="AK147" s="84"/>
      <c r="AL147" s="84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257"/>
      <c r="AX147" s="233"/>
      <c r="AY147" s="233"/>
      <c r="AZ147" s="309"/>
      <c r="BA147" s="314"/>
      <c r="BB147" s="314"/>
      <c r="BC147" s="474"/>
      <c r="BD147" s="309"/>
      <c r="BE147" s="309"/>
      <c r="BF147" s="309"/>
      <c r="BG147" s="309"/>
      <c r="BH147" s="309"/>
      <c r="BI147" s="329"/>
      <c r="BJ147" s="329"/>
      <c r="BK147" s="570"/>
      <c r="BL147" s="570"/>
      <c r="BM147" s="331"/>
      <c r="BN147" s="331"/>
    </row>
    <row r="148" spans="1:66" ht="12" customHeight="1">
      <c r="A148" s="426" t="s">
        <v>114</v>
      </c>
      <c r="B148" s="345" t="s">
        <v>3</v>
      </c>
      <c r="C148" s="345" t="s">
        <v>3</v>
      </c>
      <c r="D148" s="345" t="s">
        <v>3</v>
      </c>
      <c r="E148" s="345" t="s">
        <v>3</v>
      </c>
      <c r="F148" s="345" t="s">
        <v>3</v>
      </c>
      <c r="G148" s="345" t="s">
        <v>3</v>
      </c>
      <c r="H148" s="345" t="s">
        <v>3</v>
      </c>
      <c r="I148" s="345" t="s">
        <v>3</v>
      </c>
      <c r="J148" s="345" t="s">
        <v>3</v>
      </c>
      <c r="K148" s="345" t="s">
        <v>3</v>
      </c>
      <c r="L148" s="345" t="s">
        <v>3</v>
      </c>
      <c r="M148" s="345" t="s">
        <v>3</v>
      </c>
      <c r="N148" s="345" t="s">
        <v>3</v>
      </c>
      <c r="O148" s="345" t="s">
        <v>3</v>
      </c>
      <c r="P148" s="345" t="s">
        <v>3</v>
      </c>
      <c r="Q148" s="345" t="s">
        <v>3</v>
      </c>
      <c r="R148" s="345" t="s">
        <v>3</v>
      </c>
      <c r="S148" s="345" t="s">
        <v>3</v>
      </c>
      <c r="T148" s="345" t="s">
        <v>3</v>
      </c>
      <c r="U148" s="345" t="s">
        <v>3</v>
      </c>
      <c r="V148" s="345" t="s">
        <v>3</v>
      </c>
      <c r="W148" s="345" t="s">
        <v>3</v>
      </c>
      <c r="X148" s="345" t="s">
        <v>3</v>
      </c>
      <c r="Y148" s="345" t="s">
        <v>3</v>
      </c>
      <c r="Z148" s="345" t="s">
        <v>3</v>
      </c>
      <c r="AA148" s="345" t="s">
        <v>3</v>
      </c>
      <c r="AB148" s="345" t="s">
        <v>3</v>
      </c>
      <c r="AC148" s="345" t="s">
        <v>3</v>
      </c>
      <c r="AD148" s="345" t="s">
        <v>3</v>
      </c>
      <c r="AE148" s="345" t="s">
        <v>3</v>
      </c>
      <c r="AF148" s="345" t="s">
        <v>3</v>
      </c>
      <c r="AG148" s="12">
        <v>1</v>
      </c>
      <c r="AH148" s="12">
        <v>9</v>
      </c>
      <c r="AI148" s="336">
        <v>9</v>
      </c>
      <c r="AJ148" s="12">
        <v>9</v>
      </c>
      <c r="AK148" s="84">
        <v>9</v>
      </c>
      <c r="AL148" s="84">
        <v>7</v>
      </c>
      <c r="AM148" s="337">
        <v>7</v>
      </c>
      <c r="AN148" s="337">
        <v>6</v>
      </c>
      <c r="AO148" s="337">
        <v>7</v>
      </c>
      <c r="AP148" s="337">
        <v>7</v>
      </c>
      <c r="AQ148" s="337">
        <v>7</v>
      </c>
      <c r="AR148" s="337">
        <v>7</v>
      </c>
      <c r="AS148" s="337">
        <v>7</v>
      </c>
      <c r="AT148" s="337">
        <v>7</v>
      </c>
      <c r="AU148" s="337">
        <v>7</v>
      </c>
      <c r="AV148" s="337">
        <v>7</v>
      </c>
      <c r="AW148" s="162">
        <v>18</v>
      </c>
      <c r="AX148" s="340">
        <v>18</v>
      </c>
      <c r="AY148" s="340">
        <v>9</v>
      </c>
      <c r="AZ148" s="314">
        <v>10</v>
      </c>
      <c r="BA148" s="314">
        <v>10</v>
      </c>
      <c r="BB148" s="314">
        <v>11</v>
      </c>
      <c r="BC148" s="314">
        <v>12</v>
      </c>
      <c r="BD148" s="314">
        <v>12</v>
      </c>
      <c r="BE148" s="314">
        <v>12</v>
      </c>
      <c r="BF148" s="314">
        <v>13</v>
      </c>
      <c r="BG148" s="314">
        <v>14</v>
      </c>
      <c r="BH148" s="314">
        <v>14</v>
      </c>
      <c r="BI148" s="385">
        <f>(BG148-BF148)/BF148</f>
        <v>7.6923076923076927E-2</v>
      </c>
      <c r="BJ148" s="385">
        <f>(BH148-BG148)/BG148</f>
        <v>0</v>
      </c>
      <c r="BK148" s="569">
        <f>BG148-BF148</f>
        <v>1</v>
      </c>
      <c r="BL148" s="569">
        <f>BH148-BG148</f>
        <v>0</v>
      </c>
      <c r="BM148" s="331"/>
      <c r="BN148" s="331"/>
    </row>
    <row r="149" spans="1:66" ht="6" customHeight="1">
      <c r="A149" s="125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336"/>
      <c r="AJ149" s="12"/>
      <c r="AK149" s="84"/>
      <c r="AL149" s="84"/>
      <c r="AM149" s="337"/>
      <c r="AN149" s="337"/>
      <c r="AO149" s="337"/>
      <c r="AP149" s="337"/>
      <c r="AQ149" s="337"/>
      <c r="AR149" s="337"/>
      <c r="AS149" s="337"/>
      <c r="AT149" s="337"/>
      <c r="AU149" s="337"/>
      <c r="AV149" s="337"/>
      <c r="AW149" s="257"/>
      <c r="AX149" s="340"/>
      <c r="AY149" s="340"/>
      <c r="AZ149" s="314"/>
      <c r="BA149" s="314"/>
      <c r="BB149" s="314"/>
      <c r="BC149" s="474"/>
      <c r="BD149" s="309"/>
      <c r="BE149" s="309"/>
      <c r="BF149" s="309"/>
      <c r="BG149" s="309"/>
      <c r="BH149" s="309"/>
      <c r="BI149" s="329"/>
      <c r="BJ149" s="329"/>
      <c r="BK149" s="570"/>
      <c r="BL149" s="570"/>
      <c r="BM149" s="331"/>
      <c r="BN149" s="331"/>
    </row>
    <row r="150" spans="1:66" ht="11.25" customHeight="1">
      <c r="A150" s="129" t="s">
        <v>140</v>
      </c>
      <c r="B150" s="30" t="s">
        <v>60</v>
      </c>
      <c r="C150" s="30" t="s">
        <v>60</v>
      </c>
      <c r="D150" s="30" t="s">
        <v>60</v>
      </c>
      <c r="E150" s="30" t="s">
        <v>60</v>
      </c>
      <c r="F150" s="30" t="s">
        <v>60</v>
      </c>
      <c r="G150" s="30" t="s">
        <v>60</v>
      </c>
      <c r="H150" s="30" t="s">
        <v>60</v>
      </c>
      <c r="I150" s="30" t="s">
        <v>60</v>
      </c>
      <c r="J150" s="30" t="s">
        <v>60</v>
      </c>
      <c r="K150" s="30" t="s">
        <v>60</v>
      </c>
      <c r="L150" s="30" t="s">
        <v>60</v>
      </c>
      <c r="M150" s="18" t="s">
        <v>60</v>
      </c>
      <c r="N150" s="18" t="s">
        <v>60</v>
      </c>
      <c r="O150" s="18" t="s">
        <v>60</v>
      </c>
      <c r="P150" s="18" t="s">
        <v>60</v>
      </c>
      <c r="Q150" s="18" t="s">
        <v>60</v>
      </c>
      <c r="R150" s="18" t="s">
        <v>60</v>
      </c>
      <c r="S150" s="18" t="s">
        <v>60</v>
      </c>
      <c r="T150" s="18" t="s">
        <v>60</v>
      </c>
      <c r="U150" s="18" t="s">
        <v>60</v>
      </c>
      <c r="V150" s="18" t="s">
        <v>60</v>
      </c>
      <c r="W150" s="18" t="s">
        <v>60</v>
      </c>
      <c r="X150" s="18" t="s">
        <v>60</v>
      </c>
      <c r="Y150" s="18" t="s">
        <v>60</v>
      </c>
      <c r="Z150" s="18" t="s">
        <v>60</v>
      </c>
      <c r="AA150" s="18" t="s">
        <v>60</v>
      </c>
      <c r="AB150" s="18" t="s">
        <v>60</v>
      </c>
      <c r="AC150" s="18" t="s">
        <v>60</v>
      </c>
      <c r="AD150" s="18" t="s">
        <v>60</v>
      </c>
      <c r="AE150" s="18" t="s">
        <v>60</v>
      </c>
      <c r="AF150" s="12">
        <v>54</v>
      </c>
      <c r="AG150" s="12">
        <v>88</v>
      </c>
      <c r="AH150" s="12">
        <v>118</v>
      </c>
      <c r="AI150" s="12">
        <v>114</v>
      </c>
      <c r="AJ150" s="12">
        <v>109</v>
      </c>
      <c r="AK150" s="12">
        <v>106</v>
      </c>
      <c r="AL150" s="26">
        <v>114</v>
      </c>
      <c r="AM150" s="71">
        <v>113</v>
      </c>
      <c r="AN150" s="71">
        <v>117</v>
      </c>
      <c r="AO150" s="71">
        <v>117</v>
      </c>
      <c r="AP150" s="71">
        <v>108</v>
      </c>
      <c r="AQ150" s="71">
        <v>105</v>
      </c>
      <c r="AR150" s="71">
        <v>112</v>
      </c>
      <c r="AS150" s="71">
        <v>105</v>
      </c>
      <c r="AT150" s="71">
        <v>109</v>
      </c>
      <c r="AU150" s="71">
        <v>122</v>
      </c>
      <c r="AV150" s="158">
        <v>133</v>
      </c>
      <c r="AW150" s="30">
        <v>133</v>
      </c>
      <c r="AX150" s="233">
        <v>138</v>
      </c>
      <c r="AY150" s="233">
        <v>109</v>
      </c>
      <c r="AZ150" s="314" t="s">
        <v>3</v>
      </c>
      <c r="BA150" s="314" t="s">
        <v>3</v>
      </c>
      <c r="BB150" s="314" t="s">
        <v>3</v>
      </c>
      <c r="BC150" s="314" t="s">
        <v>3</v>
      </c>
      <c r="BD150" s="314" t="s">
        <v>3</v>
      </c>
      <c r="BE150" s="314" t="s">
        <v>3</v>
      </c>
      <c r="BF150" s="314" t="s">
        <v>3</v>
      </c>
      <c r="BG150" s="314" t="s">
        <v>3</v>
      </c>
      <c r="BH150" s="314" t="s">
        <v>3</v>
      </c>
      <c r="BI150" s="424" t="s">
        <v>9</v>
      </c>
      <c r="BJ150" s="424" t="s">
        <v>9</v>
      </c>
      <c r="BK150" s="573" t="s">
        <v>9</v>
      </c>
      <c r="BL150" s="573" t="s">
        <v>9</v>
      </c>
      <c r="BM150" s="331"/>
      <c r="BN150" s="331"/>
    </row>
    <row r="151" spans="1:66" ht="6" customHeight="1">
      <c r="A151" s="125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M151" s="71"/>
      <c r="AN151" s="71"/>
      <c r="AO151" s="71"/>
      <c r="AP151" s="71"/>
      <c r="AQ151" s="71"/>
      <c r="AR151" s="71"/>
      <c r="AS151" s="71"/>
      <c r="AT151" s="71"/>
      <c r="AU151" s="71"/>
      <c r="AV151" s="158"/>
      <c r="AW151" s="257"/>
      <c r="AX151" s="233"/>
      <c r="AY151" s="233"/>
      <c r="AZ151" s="314"/>
      <c r="BA151" s="314"/>
      <c r="BB151" s="314"/>
      <c r="BC151" s="474"/>
      <c r="BD151" s="309"/>
      <c r="BE151" s="309"/>
      <c r="BF151" s="309"/>
      <c r="BG151" s="309"/>
      <c r="BH151" s="309"/>
      <c r="BI151" s="385"/>
      <c r="BJ151" s="385"/>
      <c r="BK151" s="571"/>
      <c r="BL151" s="571"/>
      <c r="BM151" s="331"/>
      <c r="BN151" s="331"/>
    </row>
    <row r="152" spans="1:66" ht="12" customHeight="1">
      <c r="A152" s="129" t="s">
        <v>141</v>
      </c>
      <c r="B152" s="233" t="s">
        <v>3</v>
      </c>
      <c r="C152" s="233" t="s">
        <v>3</v>
      </c>
      <c r="D152" s="233" t="s">
        <v>3</v>
      </c>
      <c r="E152" s="233" t="s">
        <v>3</v>
      </c>
      <c r="F152" s="233" t="s">
        <v>3</v>
      </c>
      <c r="G152" s="233" t="s">
        <v>3</v>
      </c>
      <c r="H152" s="233" t="s">
        <v>3</v>
      </c>
      <c r="I152" s="233" t="s">
        <v>3</v>
      </c>
      <c r="J152" s="233" t="s">
        <v>3</v>
      </c>
      <c r="K152" s="233" t="s">
        <v>3</v>
      </c>
      <c r="L152" s="233" t="s">
        <v>3</v>
      </c>
      <c r="M152" s="233" t="s">
        <v>3</v>
      </c>
      <c r="N152" s="233" t="s">
        <v>3</v>
      </c>
      <c r="O152" s="233" t="s">
        <v>3</v>
      </c>
      <c r="P152" s="233" t="s">
        <v>3</v>
      </c>
      <c r="Q152" s="233" t="s">
        <v>3</v>
      </c>
      <c r="R152" s="233" t="s">
        <v>3</v>
      </c>
      <c r="S152" s="233" t="s">
        <v>3</v>
      </c>
      <c r="T152" s="233" t="s">
        <v>3</v>
      </c>
      <c r="U152" s="233" t="s">
        <v>3</v>
      </c>
      <c r="V152" s="233" t="s">
        <v>3</v>
      </c>
      <c r="W152" s="233" t="s">
        <v>3</v>
      </c>
      <c r="X152" s="233" t="s">
        <v>3</v>
      </c>
      <c r="Y152" s="233" t="s">
        <v>3</v>
      </c>
      <c r="Z152" s="233" t="s">
        <v>3</v>
      </c>
      <c r="AA152" s="233" t="s">
        <v>3</v>
      </c>
      <c r="AB152" s="233" t="s">
        <v>3</v>
      </c>
      <c r="AC152" s="233" t="s">
        <v>3</v>
      </c>
      <c r="AD152" s="233" t="s">
        <v>3</v>
      </c>
      <c r="AE152" s="233" t="s">
        <v>3</v>
      </c>
      <c r="AF152" s="233" t="s">
        <v>3</v>
      </c>
      <c r="AG152" s="233" t="s">
        <v>3</v>
      </c>
      <c r="AH152" s="233" t="s">
        <v>3</v>
      </c>
      <c r="AI152" s="233" t="s">
        <v>3</v>
      </c>
      <c r="AJ152" s="233" t="s">
        <v>3</v>
      </c>
      <c r="AK152" s="233" t="s">
        <v>3</v>
      </c>
      <c r="AL152" s="233" t="s">
        <v>3</v>
      </c>
      <c r="AM152" s="233" t="s">
        <v>3</v>
      </c>
      <c r="AN152" s="233" t="s">
        <v>3</v>
      </c>
      <c r="AO152" s="233" t="s">
        <v>3</v>
      </c>
      <c r="AP152" s="233" t="s">
        <v>3</v>
      </c>
      <c r="AQ152" s="233" t="s">
        <v>3</v>
      </c>
      <c r="AR152" s="233" t="s">
        <v>3</v>
      </c>
      <c r="AS152" s="233" t="s">
        <v>3</v>
      </c>
      <c r="AT152" s="233" t="s">
        <v>3</v>
      </c>
      <c r="AU152" s="233" t="s">
        <v>3</v>
      </c>
      <c r="AV152" s="233" t="s">
        <v>3</v>
      </c>
      <c r="AW152" s="233" t="s">
        <v>3</v>
      </c>
      <c r="AX152" s="233" t="s">
        <v>3</v>
      </c>
      <c r="AY152" s="233">
        <v>83</v>
      </c>
      <c r="AZ152" s="314">
        <v>437</v>
      </c>
      <c r="BA152" s="314">
        <v>482</v>
      </c>
      <c r="BB152" s="314">
        <v>551</v>
      </c>
      <c r="BC152" s="314">
        <v>582</v>
      </c>
      <c r="BD152" s="314">
        <v>599</v>
      </c>
      <c r="BE152" s="314">
        <v>533</v>
      </c>
      <c r="BF152" s="314">
        <v>576</v>
      </c>
      <c r="BG152" s="314">
        <v>610</v>
      </c>
      <c r="BH152" s="314">
        <v>630</v>
      </c>
      <c r="BI152" s="385">
        <f>(BG152-BF152)/BF152</f>
        <v>5.9027777777777776E-2</v>
      </c>
      <c r="BJ152" s="385">
        <f>(BH152-BG152)/BG152</f>
        <v>3.2786885245901641E-2</v>
      </c>
      <c r="BK152" s="569">
        <f>BG152-BF152</f>
        <v>34</v>
      </c>
      <c r="BL152" s="569">
        <f>BH152-BG152</f>
        <v>20</v>
      </c>
      <c r="BM152" s="331"/>
      <c r="BN152" s="331"/>
    </row>
    <row r="153" spans="1:66" ht="6" customHeight="1">
      <c r="A153" s="125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M153" s="71"/>
      <c r="AN153" s="71"/>
      <c r="AO153" s="71"/>
      <c r="AP153" s="71"/>
      <c r="AQ153" s="71"/>
      <c r="AR153" s="71"/>
      <c r="AS153" s="71"/>
      <c r="AT153" s="71"/>
      <c r="AU153" s="71"/>
      <c r="AV153" s="158"/>
      <c r="AW153" s="257"/>
      <c r="AX153" s="233"/>
      <c r="AY153" s="233"/>
      <c r="AZ153" s="314"/>
      <c r="BA153" s="314"/>
      <c r="BB153" s="314"/>
      <c r="BC153" s="474"/>
      <c r="BD153" s="309"/>
      <c r="BE153" s="309"/>
      <c r="BF153" s="309"/>
      <c r="BG153" s="309"/>
      <c r="BH153" s="309"/>
      <c r="BI153" s="329"/>
      <c r="BJ153" s="329"/>
      <c r="BK153" s="570"/>
      <c r="BL153" s="570"/>
      <c r="BM153" s="331"/>
      <c r="BN153" s="331"/>
    </row>
    <row r="154" spans="1:66" ht="12" customHeight="1">
      <c r="A154" s="126" t="s">
        <v>142</v>
      </c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M154" s="71"/>
      <c r="AN154" s="71"/>
      <c r="AO154" s="71"/>
      <c r="AP154" s="71"/>
      <c r="AQ154" s="71"/>
      <c r="AR154" s="71"/>
      <c r="AS154" s="71"/>
      <c r="AT154" s="71"/>
      <c r="AU154" s="71"/>
      <c r="AV154" s="158"/>
      <c r="AW154" s="257"/>
      <c r="AX154" s="233"/>
      <c r="AY154" s="233"/>
      <c r="AZ154" s="309"/>
      <c r="BA154" s="314"/>
      <c r="BB154" s="314"/>
      <c r="BC154" s="474"/>
      <c r="BD154" s="309"/>
      <c r="BE154" s="309"/>
      <c r="BF154" s="309"/>
      <c r="BG154" s="309"/>
      <c r="BH154" s="309"/>
      <c r="BI154" s="329"/>
      <c r="BJ154" s="329"/>
      <c r="BK154" s="570"/>
      <c r="BL154" s="570"/>
      <c r="BM154" s="331"/>
      <c r="BN154" s="331"/>
    </row>
    <row r="155" spans="1:66" ht="11.1" customHeight="1">
      <c r="A155" s="129" t="s">
        <v>143</v>
      </c>
      <c r="B155" s="30" t="s">
        <v>60</v>
      </c>
      <c r="C155" s="30" t="s">
        <v>60</v>
      </c>
      <c r="D155" s="30" t="s">
        <v>60</v>
      </c>
      <c r="E155" s="30" t="s">
        <v>60</v>
      </c>
      <c r="F155" s="30" t="s">
        <v>60</v>
      </c>
      <c r="G155" s="30" t="s">
        <v>60</v>
      </c>
      <c r="H155" s="30" t="s">
        <v>60</v>
      </c>
      <c r="I155" s="30" t="s">
        <v>60</v>
      </c>
      <c r="J155" s="30" t="s">
        <v>60</v>
      </c>
      <c r="K155" s="30" t="s">
        <v>60</v>
      </c>
      <c r="L155" s="30" t="s">
        <v>60</v>
      </c>
      <c r="M155" s="18" t="s">
        <v>60</v>
      </c>
      <c r="N155" s="18" t="s">
        <v>60</v>
      </c>
      <c r="O155" s="18" t="s">
        <v>60</v>
      </c>
      <c r="P155" s="18" t="s">
        <v>60</v>
      </c>
      <c r="Q155" s="18" t="s">
        <v>60</v>
      </c>
      <c r="R155" s="18" t="s">
        <v>60</v>
      </c>
      <c r="S155" s="12">
        <v>1273</v>
      </c>
      <c r="T155" s="12">
        <v>1337</v>
      </c>
      <c r="U155" s="12">
        <v>1411</v>
      </c>
      <c r="V155" s="12">
        <v>1589</v>
      </c>
      <c r="W155" s="12">
        <v>1733</v>
      </c>
      <c r="X155" s="12">
        <v>1796</v>
      </c>
      <c r="Y155" s="12">
        <v>1862</v>
      </c>
      <c r="Z155" s="12">
        <v>1885</v>
      </c>
      <c r="AA155" s="12">
        <v>1912</v>
      </c>
      <c r="AB155" s="12">
        <v>2087</v>
      </c>
      <c r="AC155" s="12">
        <v>2147</v>
      </c>
      <c r="AD155" s="12">
        <v>2209</v>
      </c>
      <c r="AE155" s="12">
        <v>2198</v>
      </c>
      <c r="AF155" s="12">
        <v>2217</v>
      </c>
      <c r="AG155" s="12">
        <v>2343</v>
      </c>
      <c r="AH155" s="12">
        <v>2587</v>
      </c>
      <c r="AI155" s="12">
        <v>2910</v>
      </c>
      <c r="AJ155" s="12">
        <v>3079</v>
      </c>
      <c r="AK155" s="12">
        <v>3074</v>
      </c>
      <c r="AL155" s="12">
        <v>3111</v>
      </c>
      <c r="AM155" s="71">
        <v>2980</v>
      </c>
      <c r="AN155" s="71">
        <v>2980</v>
      </c>
      <c r="AO155" s="71">
        <v>2927</v>
      </c>
      <c r="AP155" s="55">
        <v>3050</v>
      </c>
      <c r="AQ155" s="55">
        <v>2572</v>
      </c>
      <c r="AR155" s="55">
        <v>2607</v>
      </c>
      <c r="AS155" s="55">
        <v>2576</v>
      </c>
      <c r="AT155" s="55">
        <v>2587</v>
      </c>
      <c r="AU155" s="55">
        <v>2561</v>
      </c>
      <c r="AV155" s="56">
        <v>2658</v>
      </c>
      <c r="AW155" s="56">
        <v>2656</v>
      </c>
      <c r="AX155" s="252">
        <v>2674</v>
      </c>
      <c r="AY155" s="252">
        <v>2863</v>
      </c>
      <c r="AZ155" s="314">
        <v>3052</v>
      </c>
      <c r="BA155" s="314">
        <v>3397</v>
      </c>
      <c r="BB155" s="314">
        <v>3725</v>
      </c>
      <c r="BC155" s="314">
        <v>3969</v>
      </c>
      <c r="BD155" s="314">
        <v>5848</v>
      </c>
      <c r="BE155" s="314">
        <v>6076</v>
      </c>
      <c r="BF155" s="314">
        <v>6216</v>
      </c>
      <c r="BG155" s="314">
        <v>6216</v>
      </c>
      <c r="BH155" s="314">
        <v>6216</v>
      </c>
      <c r="BI155" s="385">
        <f t="shared" ref="BI155:BJ157" si="61">(BG155-BF155)/BF155</f>
        <v>0</v>
      </c>
      <c r="BJ155" s="385">
        <f t="shared" si="61"/>
        <v>0</v>
      </c>
      <c r="BK155" s="569">
        <f t="shared" ref="BK155:BL157" si="62">BG155-BF155</f>
        <v>0</v>
      </c>
      <c r="BL155" s="569">
        <f t="shared" si="62"/>
        <v>0</v>
      </c>
      <c r="BM155" s="331"/>
    </row>
    <row r="156" spans="1:66" ht="11.1" customHeight="1">
      <c r="A156" s="125" t="s">
        <v>23</v>
      </c>
      <c r="B156" s="28">
        <v>165</v>
      </c>
      <c r="C156" s="28">
        <v>171</v>
      </c>
      <c r="D156" s="28">
        <v>177</v>
      </c>
      <c r="E156" s="28">
        <v>184</v>
      </c>
      <c r="F156" s="28">
        <v>186</v>
      </c>
      <c r="G156" s="28">
        <v>193</v>
      </c>
      <c r="H156" s="28">
        <v>209</v>
      </c>
      <c r="I156" s="28">
        <v>221</v>
      </c>
      <c r="J156" s="28">
        <v>239</v>
      </c>
      <c r="K156" s="28">
        <v>251</v>
      </c>
      <c r="L156" s="32">
        <v>298</v>
      </c>
      <c r="M156" s="14">
        <v>194</v>
      </c>
      <c r="N156" s="14">
        <v>216</v>
      </c>
      <c r="O156" s="14">
        <v>245</v>
      </c>
      <c r="P156" s="14">
        <v>253</v>
      </c>
      <c r="Q156" s="14">
        <v>303</v>
      </c>
      <c r="R156" s="14">
        <v>308</v>
      </c>
      <c r="S156" s="14">
        <v>293</v>
      </c>
      <c r="T156" s="14">
        <v>314</v>
      </c>
      <c r="U156" s="14">
        <v>321</v>
      </c>
      <c r="V156" s="14">
        <v>333</v>
      </c>
      <c r="W156" s="14">
        <v>344</v>
      </c>
      <c r="X156" s="14">
        <v>324</v>
      </c>
      <c r="Y156" s="14">
        <v>343</v>
      </c>
      <c r="Z156" s="14">
        <v>386</v>
      </c>
      <c r="AA156" s="14">
        <v>419</v>
      </c>
      <c r="AB156" s="14">
        <v>335</v>
      </c>
      <c r="AC156" s="14">
        <v>400</v>
      </c>
      <c r="AD156" s="14">
        <v>420</v>
      </c>
      <c r="AE156" s="14">
        <v>415</v>
      </c>
      <c r="AF156" s="14">
        <v>419</v>
      </c>
      <c r="AG156" s="14">
        <v>499</v>
      </c>
      <c r="AH156" s="14">
        <v>524</v>
      </c>
      <c r="AI156" s="14">
        <v>598</v>
      </c>
      <c r="AJ156" s="14">
        <v>635</v>
      </c>
      <c r="AK156" s="14">
        <v>724</v>
      </c>
      <c r="AL156" s="14">
        <v>663</v>
      </c>
      <c r="AM156" s="75">
        <v>643</v>
      </c>
      <c r="AN156" s="75">
        <v>643</v>
      </c>
      <c r="AO156" s="75">
        <v>672</v>
      </c>
      <c r="AP156" s="92">
        <v>668</v>
      </c>
      <c r="AQ156" s="161">
        <v>816</v>
      </c>
      <c r="AR156" s="161">
        <v>815</v>
      </c>
      <c r="AS156" s="75">
        <v>818</v>
      </c>
      <c r="AT156" s="74">
        <v>845</v>
      </c>
      <c r="AU156" s="74">
        <v>254</v>
      </c>
      <c r="AV156" s="195">
        <v>254</v>
      </c>
      <c r="AW156" s="195">
        <v>258</v>
      </c>
      <c r="AX156" s="227">
        <v>258</v>
      </c>
      <c r="AY156" s="227">
        <v>283</v>
      </c>
      <c r="AZ156" s="315">
        <v>283</v>
      </c>
      <c r="BA156" s="315">
        <v>347</v>
      </c>
      <c r="BB156" s="315">
        <v>383</v>
      </c>
      <c r="BC156" s="315">
        <v>412</v>
      </c>
      <c r="BD156" s="315">
        <v>428</v>
      </c>
      <c r="BE156" s="315">
        <v>456</v>
      </c>
      <c r="BF156" s="315">
        <v>486</v>
      </c>
      <c r="BG156" s="315">
        <v>486</v>
      </c>
      <c r="BH156" s="315">
        <v>486</v>
      </c>
      <c r="BI156" s="385">
        <f t="shared" si="61"/>
        <v>0</v>
      </c>
      <c r="BJ156" s="385">
        <f t="shared" si="61"/>
        <v>0</v>
      </c>
      <c r="BK156" s="569">
        <f t="shared" si="62"/>
        <v>0</v>
      </c>
      <c r="BL156" s="569">
        <f t="shared" si="62"/>
        <v>0</v>
      </c>
      <c r="BM156" s="331"/>
      <c r="BN156" s="331"/>
    </row>
    <row r="157" spans="1:66" ht="11.1" customHeight="1">
      <c r="A157" s="128" t="s">
        <v>32</v>
      </c>
      <c r="B157" s="175">
        <f t="shared" ref="B157:K157" si="63">SUM(B155:B156)</f>
        <v>165</v>
      </c>
      <c r="C157" s="175">
        <f t="shared" si="63"/>
        <v>171</v>
      </c>
      <c r="D157" s="175">
        <f t="shared" si="63"/>
        <v>177</v>
      </c>
      <c r="E157" s="175">
        <f t="shared" si="63"/>
        <v>184</v>
      </c>
      <c r="F157" s="175">
        <f t="shared" si="63"/>
        <v>186</v>
      </c>
      <c r="G157" s="175">
        <f t="shared" si="63"/>
        <v>193</v>
      </c>
      <c r="H157" s="175">
        <f t="shared" si="63"/>
        <v>209</v>
      </c>
      <c r="I157" s="175">
        <f t="shared" si="63"/>
        <v>221</v>
      </c>
      <c r="J157" s="175">
        <f t="shared" si="63"/>
        <v>239</v>
      </c>
      <c r="K157" s="175">
        <f t="shared" si="63"/>
        <v>251</v>
      </c>
      <c r="L157" s="175">
        <f>SUM(L155:L156)</f>
        <v>298</v>
      </c>
      <c r="M157" s="95">
        <f t="shared" ref="M157:U157" si="64">SUM(M155:M156)</f>
        <v>194</v>
      </c>
      <c r="N157" s="95">
        <f t="shared" si="64"/>
        <v>216</v>
      </c>
      <c r="O157" s="95">
        <f t="shared" si="64"/>
        <v>245</v>
      </c>
      <c r="P157" s="95">
        <f t="shared" si="64"/>
        <v>253</v>
      </c>
      <c r="Q157" s="95">
        <f t="shared" si="64"/>
        <v>303</v>
      </c>
      <c r="R157" s="95">
        <f t="shared" si="64"/>
        <v>308</v>
      </c>
      <c r="S157" s="95">
        <f t="shared" si="64"/>
        <v>1566</v>
      </c>
      <c r="T157" s="95">
        <f t="shared" si="64"/>
        <v>1651</v>
      </c>
      <c r="U157" s="95">
        <f t="shared" si="64"/>
        <v>1732</v>
      </c>
      <c r="V157" s="95">
        <f t="shared" ref="V157:AE157" si="65">SUM(V155:V156)</f>
        <v>1922</v>
      </c>
      <c r="W157" s="95">
        <f t="shared" si="65"/>
        <v>2077</v>
      </c>
      <c r="X157" s="95">
        <f t="shared" si="65"/>
        <v>2120</v>
      </c>
      <c r="Y157" s="95">
        <f t="shared" si="65"/>
        <v>2205</v>
      </c>
      <c r="Z157" s="95">
        <f t="shared" si="65"/>
        <v>2271</v>
      </c>
      <c r="AA157" s="95">
        <f t="shared" si="65"/>
        <v>2331</v>
      </c>
      <c r="AB157" s="95">
        <f t="shared" si="65"/>
        <v>2422</v>
      </c>
      <c r="AC157" s="95">
        <f t="shared" si="65"/>
        <v>2547</v>
      </c>
      <c r="AD157" s="95">
        <f t="shared" si="65"/>
        <v>2629</v>
      </c>
      <c r="AE157" s="95">
        <f t="shared" si="65"/>
        <v>2613</v>
      </c>
      <c r="AF157" s="95">
        <f t="shared" ref="AF157:AV157" si="66">SUM(AF155:AF156)</f>
        <v>2636</v>
      </c>
      <c r="AG157" s="95">
        <f t="shared" si="66"/>
        <v>2842</v>
      </c>
      <c r="AH157" s="95">
        <f t="shared" si="66"/>
        <v>3111</v>
      </c>
      <c r="AI157" s="95">
        <f t="shared" si="66"/>
        <v>3508</v>
      </c>
      <c r="AJ157" s="95">
        <f t="shared" si="66"/>
        <v>3714</v>
      </c>
      <c r="AK157" s="95">
        <f t="shared" si="66"/>
        <v>3798</v>
      </c>
      <c r="AL157" s="95">
        <f t="shared" si="66"/>
        <v>3774</v>
      </c>
      <c r="AM157" s="95">
        <f t="shared" si="66"/>
        <v>3623</v>
      </c>
      <c r="AN157" s="95">
        <f t="shared" si="66"/>
        <v>3623</v>
      </c>
      <c r="AO157" s="95">
        <f t="shared" si="66"/>
        <v>3599</v>
      </c>
      <c r="AP157" s="95">
        <f t="shared" si="66"/>
        <v>3718</v>
      </c>
      <c r="AQ157" s="95">
        <f t="shared" si="66"/>
        <v>3388</v>
      </c>
      <c r="AR157" s="95">
        <f t="shared" si="66"/>
        <v>3422</v>
      </c>
      <c r="AS157" s="95">
        <f>SUM(AS155:AS156)</f>
        <v>3394</v>
      </c>
      <c r="AT157" s="95">
        <f t="shared" si="66"/>
        <v>3432</v>
      </c>
      <c r="AU157" s="95">
        <f t="shared" si="66"/>
        <v>2815</v>
      </c>
      <c r="AV157" s="151">
        <f t="shared" si="66"/>
        <v>2912</v>
      </c>
      <c r="AW157" s="151">
        <f t="shared" ref="AW157:BB157" si="67">SUM(AW155:AW156)</f>
        <v>2914</v>
      </c>
      <c r="AX157" s="151">
        <f t="shared" si="67"/>
        <v>2932</v>
      </c>
      <c r="AY157" s="151">
        <f t="shared" si="67"/>
        <v>3146</v>
      </c>
      <c r="AZ157" s="152">
        <f t="shared" si="67"/>
        <v>3335</v>
      </c>
      <c r="BA157" s="394">
        <f t="shared" si="67"/>
        <v>3744</v>
      </c>
      <c r="BB157" s="394">
        <f t="shared" si="67"/>
        <v>4108</v>
      </c>
      <c r="BC157" s="394">
        <f t="shared" ref="BC157:BH157" si="68">SUM(BC155:BC156)</f>
        <v>4381</v>
      </c>
      <c r="BD157" s="395">
        <f t="shared" si="68"/>
        <v>6276</v>
      </c>
      <c r="BE157" s="395">
        <f t="shared" si="68"/>
        <v>6532</v>
      </c>
      <c r="BF157" s="395">
        <f t="shared" si="68"/>
        <v>6702</v>
      </c>
      <c r="BG157" s="395">
        <f t="shared" si="68"/>
        <v>6702</v>
      </c>
      <c r="BH157" s="395">
        <f t="shared" si="68"/>
        <v>6702</v>
      </c>
      <c r="BI157" s="415">
        <f t="shared" si="61"/>
        <v>0</v>
      </c>
      <c r="BJ157" s="415">
        <f t="shared" si="61"/>
        <v>0</v>
      </c>
      <c r="BK157" s="572">
        <f t="shared" si="62"/>
        <v>0</v>
      </c>
      <c r="BL157" s="572">
        <f t="shared" si="62"/>
        <v>0</v>
      </c>
      <c r="BM157" s="331"/>
      <c r="BN157" s="331"/>
    </row>
    <row r="158" spans="1:66" ht="6" customHeight="1">
      <c r="A158" s="125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45"/>
      <c r="AM158" s="74"/>
      <c r="AN158" s="74"/>
      <c r="AO158" s="74"/>
      <c r="AP158" s="74"/>
      <c r="AQ158" s="74"/>
      <c r="AR158" s="74"/>
      <c r="AS158" s="74"/>
      <c r="AT158" s="74"/>
      <c r="AU158" s="74"/>
      <c r="AV158" s="195"/>
      <c r="AW158" s="257"/>
      <c r="AX158" s="68"/>
      <c r="AY158" s="68"/>
      <c r="AZ158" s="308"/>
      <c r="BA158" s="293"/>
      <c r="BB158" s="293"/>
      <c r="BC158" s="471"/>
      <c r="BD158" s="314"/>
      <c r="BE158" s="309"/>
      <c r="BF158" s="309"/>
      <c r="BG158" s="314"/>
      <c r="BH158" s="314"/>
      <c r="BI158" s="385"/>
      <c r="BJ158" s="385"/>
      <c r="BK158" s="571"/>
      <c r="BL158" s="571"/>
      <c r="BM158" s="331"/>
      <c r="BN158" s="331"/>
    </row>
    <row r="159" spans="1:66">
      <c r="A159" s="129" t="s">
        <v>144</v>
      </c>
      <c r="B159" s="28">
        <v>371</v>
      </c>
      <c r="C159" s="28">
        <v>390</v>
      </c>
      <c r="D159" s="28">
        <v>431</v>
      </c>
      <c r="E159" s="28">
        <v>417</v>
      </c>
      <c r="F159" s="28">
        <v>418</v>
      </c>
      <c r="G159" s="28">
        <v>432</v>
      </c>
      <c r="H159" s="28">
        <v>443</v>
      </c>
      <c r="I159" s="28">
        <v>458</v>
      </c>
      <c r="J159" s="28">
        <v>487</v>
      </c>
      <c r="K159" s="28">
        <v>455</v>
      </c>
      <c r="L159" s="32">
        <v>426</v>
      </c>
      <c r="M159" s="14">
        <v>416</v>
      </c>
      <c r="N159" s="14">
        <v>427</v>
      </c>
      <c r="O159" s="14">
        <v>412</v>
      </c>
      <c r="P159" s="14">
        <v>408</v>
      </c>
      <c r="Q159" s="14">
        <v>410</v>
      </c>
      <c r="R159" s="14">
        <v>406</v>
      </c>
      <c r="S159" s="14">
        <v>421</v>
      </c>
      <c r="T159" s="14">
        <v>420</v>
      </c>
      <c r="U159" s="14">
        <v>435</v>
      </c>
      <c r="V159" s="14">
        <v>443</v>
      </c>
      <c r="W159" s="14">
        <v>466</v>
      </c>
      <c r="X159" s="14">
        <v>432</v>
      </c>
      <c r="Y159" s="14">
        <v>367</v>
      </c>
      <c r="Z159" s="14">
        <v>385</v>
      </c>
      <c r="AA159" s="14">
        <v>403</v>
      </c>
      <c r="AB159" s="14">
        <v>456</v>
      </c>
      <c r="AC159" s="14">
        <v>466</v>
      </c>
      <c r="AD159" s="14">
        <v>564</v>
      </c>
      <c r="AE159" s="14">
        <v>608</v>
      </c>
      <c r="AF159" s="14">
        <v>662</v>
      </c>
      <c r="AG159" s="14">
        <v>665</v>
      </c>
      <c r="AH159" s="14">
        <v>697</v>
      </c>
      <c r="AI159" s="14">
        <v>695</v>
      </c>
      <c r="AJ159" s="14">
        <v>728</v>
      </c>
      <c r="AK159" s="14">
        <v>627</v>
      </c>
      <c r="AL159" s="92">
        <v>635</v>
      </c>
      <c r="AM159" s="92">
        <v>638</v>
      </c>
      <c r="AN159" s="92">
        <v>620</v>
      </c>
      <c r="AO159" s="92">
        <v>584</v>
      </c>
      <c r="AP159" s="92">
        <v>618</v>
      </c>
      <c r="AQ159" s="92">
        <v>622</v>
      </c>
      <c r="AR159" s="92">
        <v>652</v>
      </c>
      <c r="AS159" s="92">
        <v>624</v>
      </c>
      <c r="AT159" s="92">
        <v>581</v>
      </c>
      <c r="AU159" s="92">
        <v>635</v>
      </c>
      <c r="AV159" s="225">
        <v>657</v>
      </c>
      <c r="AW159" s="264">
        <v>644.26845637583892</v>
      </c>
      <c r="AX159" s="233">
        <v>664</v>
      </c>
      <c r="AY159" s="233">
        <v>672</v>
      </c>
      <c r="AZ159" s="233">
        <v>654</v>
      </c>
      <c r="BA159" s="314">
        <v>870</v>
      </c>
      <c r="BB159" s="314">
        <v>827</v>
      </c>
      <c r="BC159" s="314">
        <v>829</v>
      </c>
      <c r="BD159" s="314">
        <v>807</v>
      </c>
      <c r="BE159" s="314">
        <v>861</v>
      </c>
      <c r="BF159" s="314">
        <v>790</v>
      </c>
      <c r="BG159" s="314">
        <v>788</v>
      </c>
      <c r="BH159" s="314">
        <v>757</v>
      </c>
      <c r="BI159" s="385">
        <f>(BG159-BF159)/BF159</f>
        <v>-2.5316455696202532E-3</v>
      </c>
      <c r="BJ159" s="385">
        <f>(BH159-BG159)/BG159</f>
        <v>-3.934010152284264E-2</v>
      </c>
      <c r="BK159" s="569">
        <f>BG159-BF159</f>
        <v>-2</v>
      </c>
      <c r="BL159" s="569">
        <f>BH159-BG159</f>
        <v>-31</v>
      </c>
      <c r="BM159" s="331"/>
      <c r="BN159" s="331"/>
    </row>
    <row r="160" spans="1:66" ht="12.75" customHeight="1" thickBot="1">
      <c r="A160" s="404" t="s">
        <v>46</v>
      </c>
      <c r="B160" s="176">
        <f t="shared" ref="B160:J160" si="69">SUM(B140+B144+B146+B157+B159)</f>
        <v>2509</v>
      </c>
      <c r="C160" s="176">
        <f t="shared" si="69"/>
        <v>2763</v>
      </c>
      <c r="D160" s="176">
        <f t="shared" si="69"/>
        <v>3078</v>
      </c>
      <c r="E160" s="176">
        <f t="shared" si="69"/>
        <v>3386</v>
      </c>
      <c r="F160" s="176">
        <f t="shared" si="69"/>
        <v>3748</v>
      </c>
      <c r="G160" s="176">
        <f t="shared" si="69"/>
        <v>3999</v>
      </c>
      <c r="H160" s="176">
        <f t="shared" si="69"/>
        <v>4227</v>
      </c>
      <c r="I160" s="176">
        <f t="shared" si="69"/>
        <v>4613</v>
      </c>
      <c r="J160" s="176">
        <f t="shared" si="69"/>
        <v>5092</v>
      </c>
      <c r="K160" s="176">
        <f>SUM(K140+K144+K146+K157+K159)</f>
        <v>5509</v>
      </c>
      <c r="L160" s="150">
        <f>SUM(L140+L144+L146+L157+L159)</f>
        <v>5618</v>
      </c>
      <c r="M160" s="150">
        <f t="shared" ref="M160:AD160" si="70">SUM(M140+M144+M146+M157+M159)</f>
        <v>5463</v>
      </c>
      <c r="N160" s="150">
        <f t="shared" si="70"/>
        <v>5545</v>
      </c>
      <c r="O160" s="150">
        <f t="shared" si="70"/>
        <v>5697</v>
      </c>
      <c r="P160" s="150">
        <f>SUM(P140+P144+P146+P157+P159)</f>
        <v>5925</v>
      </c>
      <c r="Q160" s="150">
        <f t="shared" si="70"/>
        <v>6401</v>
      </c>
      <c r="R160" s="150">
        <f t="shared" si="70"/>
        <v>7021</v>
      </c>
      <c r="S160" s="150">
        <f t="shared" si="70"/>
        <v>8727</v>
      </c>
      <c r="T160" s="150">
        <f>SUM(T140+T144+T146+T157+T159)</f>
        <v>9062</v>
      </c>
      <c r="U160" s="150">
        <f t="shared" si="70"/>
        <v>8966</v>
      </c>
      <c r="V160" s="150">
        <f t="shared" si="70"/>
        <v>9524</v>
      </c>
      <c r="W160" s="150">
        <f>SUM(W140+W144+W146+W157+W159)</f>
        <v>9182</v>
      </c>
      <c r="X160" s="150">
        <f>SUM(X140+X144+X146+X157+X159)</f>
        <v>8936</v>
      </c>
      <c r="Y160" s="150">
        <f t="shared" si="70"/>
        <v>8443</v>
      </c>
      <c r="Z160" s="150">
        <f>SUM(Z140+Z144+Z146+Z157+Z159)</f>
        <v>8616</v>
      </c>
      <c r="AA160" s="150">
        <f t="shared" si="70"/>
        <v>8864</v>
      </c>
      <c r="AB160" s="150">
        <f>SUM(AB140+AB144+AB146+AB157+AB159)</f>
        <v>9799</v>
      </c>
      <c r="AC160" s="150">
        <f t="shared" si="70"/>
        <v>9806</v>
      </c>
      <c r="AD160" s="150">
        <f t="shared" si="70"/>
        <v>10133</v>
      </c>
      <c r="AE160" s="150">
        <f>SUM(AE140+AE144+AE146+AE157+AE159)</f>
        <v>18084</v>
      </c>
      <c r="AF160" s="150">
        <f>AF140+AF144+AF146+AF150+AF157+AF159</f>
        <v>15308</v>
      </c>
      <c r="AG160" s="150">
        <f>AG140+AG144+AG146+AG148+AG150+AG157+AG159</f>
        <v>15611</v>
      </c>
      <c r="AH160" s="150">
        <f t="shared" ref="AH160:AX160" si="71">AH140+AH144+AH146+AH148+AH150+AH157+AH159</f>
        <v>17681</v>
      </c>
      <c r="AI160" s="150">
        <f t="shared" si="71"/>
        <v>18394</v>
      </c>
      <c r="AJ160" s="150">
        <f t="shared" si="71"/>
        <v>17976</v>
      </c>
      <c r="AK160" s="150">
        <f t="shared" si="71"/>
        <v>17981</v>
      </c>
      <c r="AL160" s="150">
        <f t="shared" si="71"/>
        <v>14903</v>
      </c>
      <c r="AM160" s="150">
        <f t="shared" si="71"/>
        <v>14127</v>
      </c>
      <c r="AN160" s="150">
        <f t="shared" si="71"/>
        <v>13228</v>
      </c>
      <c r="AO160" s="150">
        <f t="shared" si="71"/>
        <v>13391</v>
      </c>
      <c r="AP160" s="150">
        <f t="shared" si="71"/>
        <v>13317</v>
      </c>
      <c r="AQ160" s="150">
        <f t="shared" si="71"/>
        <v>12780</v>
      </c>
      <c r="AR160" s="150">
        <f t="shared" si="71"/>
        <v>12432</v>
      </c>
      <c r="AS160" s="150">
        <f t="shared" si="71"/>
        <v>11868</v>
      </c>
      <c r="AT160" s="150">
        <f t="shared" si="71"/>
        <v>11801</v>
      </c>
      <c r="AU160" s="150">
        <f t="shared" si="71"/>
        <v>10650</v>
      </c>
      <c r="AV160" s="150">
        <f t="shared" si="71"/>
        <v>10736</v>
      </c>
      <c r="AW160" s="150">
        <f t="shared" si="71"/>
        <v>11050.229312515239</v>
      </c>
      <c r="AX160" s="150">
        <f t="shared" si="71"/>
        <v>11371</v>
      </c>
      <c r="AY160" s="260">
        <f>SUM(AY140+AY144+AY146+AY148+AY150+AY152+AY157+AY159)</f>
        <v>12288</v>
      </c>
      <c r="AZ160" s="260">
        <f>SUM(AZ140+AZ144+AZ146+AZ148+AZ152+AZ157+AZ159)</f>
        <v>13719</v>
      </c>
      <c r="BA160" s="397">
        <f t="shared" ref="BA160:BH160" si="72">SUM(BA140+BA142+BA144+BA146+BA148+BA152+BA157+BA159)</f>
        <v>15143</v>
      </c>
      <c r="BB160" s="397">
        <f t="shared" si="72"/>
        <v>15816</v>
      </c>
      <c r="BC160" s="397">
        <f t="shared" si="72"/>
        <v>16001</v>
      </c>
      <c r="BD160" s="523">
        <f t="shared" si="72"/>
        <v>18217</v>
      </c>
      <c r="BE160" s="523">
        <f t="shared" si="72"/>
        <v>18144</v>
      </c>
      <c r="BF160" s="523">
        <f t="shared" si="72"/>
        <v>18269</v>
      </c>
      <c r="BG160" s="523">
        <f t="shared" si="72"/>
        <v>18201</v>
      </c>
      <c r="BH160" s="523">
        <f t="shared" si="72"/>
        <v>18234</v>
      </c>
      <c r="BI160" s="422">
        <f>(BG160-BF160)/BF160</f>
        <v>-3.7221522798182713E-3</v>
      </c>
      <c r="BJ160" s="422">
        <f>(BH160-BG160)/BG160</f>
        <v>1.8130871930113731E-3</v>
      </c>
      <c r="BK160" s="574">
        <f>BG160-BF160</f>
        <v>-68</v>
      </c>
      <c r="BL160" s="574">
        <f>BH160-BG160</f>
        <v>33</v>
      </c>
      <c r="BM160" s="331"/>
      <c r="BN160" s="331"/>
    </row>
    <row r="161" spans="1:66" ht="11.1" customHeight="1">
      <c r="A161" s="125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M161" s="71"/>
      <c r="AN161" s="71"/>
      <c r="AO161" s="71"/>
      <c r="AP161" s="71"/>
      <c r="AQ161" s="71"/>
      <c r="AR161" s="71"/>
      <c r="AS161" s="71"/>
      <c r="AT161" s="71"/>
      <c r="AU161" s="71"/>
      <c r="AV161" s="158"/>
      <c r="AW161" s="257"/>
      <c r="AX161" s="68"/>
      <c r="AY161" s="68"/>
      <c r="AZ161" s="308"/>
      <c r="BA161" s="293"/>
      <c r="BB161" s="293"/>
      <c r="BC161" s="471"/>
      <c r="BD161" s="309"/>
      <c r="BE161" s="309"/>
      <c r="BF161" s="309"/>
      <c r="BG161" s="309"/>
      <c r="BH161" s="309"/>
      <c r="BI161" s="329"/>
      <c r="BJ161" s="329"/>
      <c r="BK161" s="570"/>
      <c r="BL161" s="570"/>
      <c r="BM161" s="331"/>
      <c r="BN161" s="331"/>
    </row>
    <row r="162" spans="1:66" ht="15.75" customHeight="1">
      <c r="A162" s="167" t="s">
        <v>47</v>
      </c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  <c r="AU162" s="161"/>
      <c r="AV162" s="161"/>
      <c r="AW162" s="161"/>
      <c r="AX162" s="161"/>
      <c r="AY162" s="161"/>
      <c r="AZ162" s="161"/>
      <c r="BA162" s="161"/>
      <c r="BB162" s="161"/>
      <c r="BC162" s="161"/>
      <c r="BD162" s="161"/>
      <c r="BE162" s="161"/>
      <c r="BF162" s="221"/>
      <c r="BG162" s="221"/>
      <c r="BH162" s="221"/>
      <c r="BI162" s="38"/>
      <c r="BJ162" s="38"/>
      <c r="BK162" s="570"/>
      <c r="BL162" s="570"/>
      <c r="BM162" s="331"/>
      <c r="BN162" s="331"/>
    </row>
    <row r="163" spans="1:66" ht="6" customHeight="1">
      <c r="A163" s="125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M163" s="71"/>
      <c r="AN163" s="71"/>
      <c r="AO163" s="71"/>
      <c r="AP163" s="71"/>
      <c r="AQ163" s="71"/>
      <c r="AR163" s="71"/>
      <c r="AS163" s="71"/>
      <c r="AT163" s="71"/>
      <c r="AU163" s="71"/>
      <c r="AV163" s="158"/>
      <c r="AW163" s="257"/>
      <c r="AX163" s="68"/>
      <c r="AY163" s="68"/>
      <c r="AZ163" s="308"/>
      <c r="BA163" s="293"/>
      <c r="BB163" s="293"/>
      <c r="BC163" s="471"/>
      <c r="BD163" s="309"/>
      <c r="BE163" s="309"/>
      <c r="BF163" s="309"/>
      <c r="BG163" s="309"/>
      <c r="BH163" s="309"/>
      <c r="BI163" s="329"/>
      <c r="BJ163" s="329"/>
      <c r="BK163" s="570"/>
      <c r="BL163" s="570"/>
      <c r="BM163" s="331"/>
      <c r="BN163" s="331"/>
    </row>
    <row r="164" spans="1:66" ht="11.85" customHeight="1">
      <c r="A164" s="126" t="s">
        <v>30</v>
      </c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M164" s="71"/>
      <c r="AN164" s="71"/>
      <c r="AO164" s="71"/>
      <c r="AP164" s="71"/>
      <c r="AQ164" s="71"/>
      <c r="AR164" s="71"/>
      <c r="AS164" s="71"/>
      <c r="AT164" s="71"/>
      <c r="AU164" s="71"/>
      <c r="AV164" s="158"/>
      <c r="AW164" s="257"/>
      <c r="AX164" s="68"/>
      <c r="AY164" s="68"/>
      <c r="AZ164" s="308"/>
      <c r="BA164" s="293"/>
      <c r="BB164" s="293"/>
      <c r="BC164" s="471"/>
      <c r="BD164" s="309"/>
      <c r="BE164" s="309"/>
      <c r="BF164" s="309"/>
      <c r="BG164" s="309"/>
      <c r="BH164" s="309"/>
      <c r="BI164" s="329"/>
      <c r="BJ164" s="329"/>
      <c r="BK164" s="570"/>
      <c r="BL164" s="570"/>
      <c r="BM164" s="331"/>
      <c r="BN164" s="331"/>
    </row>
    <row r="165" spans="1:66" ht="11.85" customHeight="1">
      <c r="A165" s="129" t="s">
        <v>145</v>
      </c>
      <c r="B165" s="28">
        <v>4385</v>
      </c>
      <c r="C165" s="28">
        <v>4512</v>
      </c>
      <c r="D165" s="28">
        <v>4561</v>
      </c>
      <c r="E165" s="28">
        <v>4865</v>
      </c>
      <c r="F165" s="28">
        <v>4579</v>
      </c>
      <c r="G165" s="28">
        <v>8008</v>
      </c>
      <c r="H165" s="28">
        <v>7810</v>
      </c>
      <c r="I165" s="28">
        <v>8715</v>
      </c>
      <c r="J165" s="28">
        <v>9055</v>
      </c>
      <c r="K165" s="28">
        <v>9528</v>
      </c>
      <c r="L165" s="12">
        <v>13686</v>
      </c>
      <c r="M165" s="12">
        <v>13193</v>
      </c>
      <c r="N165" s="12">
        <v>11742</v>
      </c>
      <c r="O165" s="12">
        <v>4971</v>
      </c>
      <c r="P165" s="12">
        <v>4641</v>
      </c>
      <c r="Q165" s="12">
        <v>4303</v>
      </c>
      <c r="R165" s="12">
        <v>4579</v>
      </c>
      <c r="S165" s="12">
        <v>3788</v>
      </c>
      <c r="T165" s="12">
        <v>2126</v>
      </c>
      <c r="U165" s="12">
        <v>2043</v>
      </c>
      <c r="V165" s="12">
        <v>2147</v>
      </c>
      <c r="W165" s="12">
        <v>1759</v>
      </c>
      <c r="X165" s="12">
        <v>3972</v>
      </c>
      <c r="Y165" s="12">
        <v>3578</v>
      </c>
      <c r="Z165" s="12">
        <v>3326</v>
      </c>
      <c r="AA165" s="12">
        <v>3247</v>
      </c>
      <c r="AB165" s="12">
        <v>3257</v>
      </c>
      <c r="AC165" s="12">
        <v>3217</v>
      </c>
      <c r="AD165" s="12">
        <v>3259</v>
      </c>
      <c r="AE165" s="12">
        <v>3243</v>
      </c>
      <c r="AF165" s="12">
        <v>3164</v>
      </c>
      <c r="AG165" s="12">
        <v>3455</v>
      </c>
      <c r="AH165" s="12">
        <v>3510</v>
      </c>
      <c r="AI165" s="12">
        <v>3411</v>
      </c>
      <c r="AJ165" s="12">
        <v>3334</v>
      </c>
      <c r="AK165" s="12">
        <v>3156</v>
      </c>
      <c r="AL165" s="12">
        <v>2795.2608695652175</v>
      </c>
      <c r="AM165" s="71">
        <v>2473</v>
      </c>
      <c r="AN165" s="71">
        <v>2660</v>
      </c>
      <c r="AO165" s="71">
        <v>2577</v>
      </c>
      <c r="AP165" s="71">
        <v>2595</v>
      </c>
      <c r="AQ165" s="71">
        <v>2604.6119402985078</v>
      </c>
      <c r="AR165" s="104">
        <v>2666</v>
      </c>
      <c r="AS165" s="104">
        <v>2621</v>
      </c>
      <c r="AT165" s="104">
        <v>2630</v>
      </c>
      <c r="AU165" s="104">
        <v>2601</v>
      </c>
      <c r="AV165" s="170">
        <v>2541</v>
      </c>
      <c r="AW165" s="170">
        <v>2399.135135135135</v>
      </c>
      <c r="AX165" s="216">
        <v>2420</v>
      </c>
      <c r="AY165" s="216">
        <v>2527.119565217391</v>
      </c>
      <c r="AZ165" s="216">
        <v>2288</v>
      </c>
      <c r="BA165" s="401">
        <v>2228</v>
      </c>
      <c r="BB165" s="401">
        <v>2142</v>
      </c>
      <c r="BC165" s="401">
        <v>2153</v>
      </c>
      <c r="BD165" s="401">
        <v>2106</v>
      </c>
      <c r="BE165" s="401">
        <v>2107</v>
      </c>
      <c r="BF165" s="401">
        <v>2091</v>
      </c>
      <c r="BG165" s="401">
        <v>2325</v>
      </c>
      <c r="BH165" s="401">
        <v>2325</v>
      </c>
      <c r="BI165" s="385">
        <f>(BG165-BF165)/BF165</f>
        <v>0.11190817790530846</v>
      </c>
      <c r="BJ165" s="385">
        <f>(BH165-BG165)/BG165</f>
        <v>0</v>
      </c>
      <c r="BK165" s="569">
        <f>BG165-BF165</f>
        <v>234</v>
      </c>
      <c r="BL165" s="569">
        <f>BH165-BG165</f>
        <v>0</v>
      </c>
      <c r="BM165" s="331"/>
      <c r="BN165" s="331"/>
    </row>
    <row r="166" spans="1:66" ht="6" customHeight="1">
      <c r="A166" s="125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M166" s="71"/>
      <c r="AN166" s="71"/>
      <c r="AO166" s="71"/>
      <c r="AP166" s="71"/>
      <c r="AQ166" s="71"/>
      <c r="AR166" s="71"/>
      <c r="AS166" s="71"/>
      <c r="AT166" s="71"/>
      <c r="AU166" s="71"/>
      <c r="AV166" s="158"/>
      <c r="AW166" s="257"/>
      <c r="AX166" s="68"/>
      <c r="AY166" s="68"/>
      <c r="AZ166" s="308"/>
      <c r="BA166" s="293"/>
      <c r="BB166" s="293"/>
      <c r="BC166" s="471"/>
      <c r="BD166" s="309"/>
      <c r="BE166" s="309"/>
      <c r="BF166" s="309"/>
      <c r="BG166" s="309"/>
      <c r="BH166" s="309"/>
      <c r="BI166" s="329"/>
      <c r="BJ166" s="329"/>
      <c r="BK166" s="570"/>
      <c r="BL166" s="570"/>
      <c r="BM166" s="331"/>
      <c r="BN166" s="331"/>
    </row>
    <row r="167" spans="1:66" ht="10.5" customHeight="1">
      <c r="A167" s="126" t="s">
        <v>50</v>
      </c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M167" s="71"/>
      <c r="AN167" s="71"/>
      <c r="AO167" s="71"/>
      <c r="AP167" s="71"/>
      <c r="AQ167" s="71"/>
      <c r="AR167" s="71"/>
      <c r="AS167" s="71"/>
      <c r="AT167" s="71"/>
      <c r="AU167" s="71"/>
      <c r="AV167" s="158"/>
      <c r="AW167" s="257"/>
      <c r="AX167" s="68"/>
      <c r="AY167" s="68"/>
      <c r="AZ167" s="308"/>
      <c r="BA167" s="293"/>
      <c r="BB167" s="293"/>
      <c r="BC167" s="471"/>
      <c r="BD167" s="309"/>
      <c r="BE167" s="309"/>
      <c r="BF167" s="309"/>
      <c r="BG167" s="309"/>
      <c r="BH167" s="309"/>
      <c r="BI167" s="329"/>
      <c r="BJ167" s="329"/>
      <c r="BK167" s="570"/>
      <c r="BL167" s="570"/>
      <c r="BM167" s="331"/>
      <c r="BN167" s="331"/>
    </row>
    <row r="168" spans="1:66" ht="10.5" customHeight="1">
      <c r="A168" s="125" t="s">
        <v>75</v>
      </c>
      <c r="B168" s="18" t="s">
        <v>3</v>
      </c>
      <c r="C168" s="18" t="s">
        <v>3</v>
      </c>
      <c r="D168" s="18" t="s">
        <v>3</v>
      </c>
      <c r="E168" s="18" t="s">
        <v>3</v>
      </c>
      <c r="F168" s="18" t="s">
        <v>3</v>
      </c>
      <c r="G168" s="18" t="s">
        <v>3</v>
      </c>
      <c r="H168" s="18" t="s">
        <v>3</v>
      </c>
      <c r="I168" s="18" t="s">
        <v>3</v>
      </c>
      <c r="J168" s="18" t="s">
        <v>3</v>
      </c>
      <c r="K168" s="18" t="s">
        <v>3</v>
      </c>
      <c r="L168" s="18" t="s">
        <v>3</v>
      </c>
      <c r="M168" s="18" t="s">
        <v>3</v>
      </c>
      <c r="N168" s="18" t="s">
        <v>3</v>
      </c>
      <c r="O168" s="18" t="s">
        <v>3</v>
      </c>
      <c r="P168" s="18" t="s">
        <v>3</v>
      </c>
      <c r="Q168" s="18" t="s">
        <v>3</v>
      </c>
      <c r="R168" s="18" t="s">
        <v>3</v>
      </c>
      <c r="S168" s="18" t="s">
        <v>3</v>
      </c>
      <c r="T168" s="18">
        <v>390</v>
      </c>
      <c r="U168" s="18">
        <v>444</v>
      </c>
      <c r="V168" s="12">
        <v>441</v>
      </c>
      <c r="W168" s="12">
        <v>391</v>
      </c>
      <c r="X168" s="12">
        <v>317</v>
      </c>
      <c r="Y168" s="12">
        <v>266</v>
      </c>
      <c r="Z168" s="12">
        <v>272</v>
      </c>
      <c r="AA168" s="12">
        <v>278</v>
      </c>
      <c r="AB168" s="12">
        <v>282</v>
      </c>
      <c r="AC168" s="12">
        <v>270</v>
      </c>
      <c r="AD168" s="12">
        <v>267</v>
      </c>
      <c r="AE168" s="12">
        <v>257</v>
      </c>
      <c r="AF168" s="12">
        <v>255</v>
      </c>
      <c r="AG168" s="12">
        <v>257</v>
      </c>
      <c r="AH168" s="12">
        <v>271</v>
      </c>
      <c r="AI168" s="12">
        <v>294</v>
      </c>
      <c r="AJ168" s="12">
        <v>293</v>
      </c>
      <c r="AK168" s="12">
        <f>207+1+65</f>
        <v>273</v>
      </c>
      <c r="AL168" s="26">
        <f>183+1+56</f>
        <v>240</v>
      </c>
      <c r="AM168" s="71">
        <v>222</v>
      </c>
      <c r="AN168" s="71">
        <v>227</v>
      </c>
      <c r="AO168" s="71">
        <v>222</v>
      </c>
      <c r="AP168" s="71">
        <v>214</v>
      </c>
      <c r="AQ168" s="71">
        <v>212</v>
      </c>
      <c r="AR168" s="71">
        <v>215</v>
      </c>
      <c r="AS168" s="71">
        <v>220</v>
      </c>
      <c r="AT168" s="71">
        <v>237</v>
      </c>
      <c r="AU168" s="71">
        <v>236</v>
      </c>
      <c r="AV168" s="158">
        <f>95+142</f>
        <v>237</v>
      </c>
      <c r="AW168" s="30">
        <f>93+139</f>
        <v>232</v>
      </c>
      <c r="AX168" s="68">
        <v>241</v>
      </c>
      <c r="AY168" s="68">
        <v>234</v>
      </c>
      <c r="AZ168" s="68">
        <v>235</v>
      </c>
      <c r="BA168" s="293">
        <v>275</v>
      </c>
      <c r="BB168" s="293">
        <v>257</v>
      </c>
      <c r="BC168" s="293">
        <v>255</v>
      </c>
      <c r="BD168" s="314">
        <v>250</v>
      </c>
      <c r="BE168" s="314">
        <f>121+139</f>
        <v>260</v>
      </c>
      <c r="BF168" s="314">
        <f>127+144</f>
        <v>271</v>
      </c>
      <c r="BG168" s="314">
        <f>160+170</f>
        <v>330</v>
      </c>
      <c r="BH168" s="314">
        <f>152+170</f>
        <v>322</v>
      </c>
      <c r="BI168" s="385">
        <f>(BG168-BF168)/BF168</f>
        <v>0.21771217712177121</v>
      </c>
      <c r="BJ168" s="385">
        <f>(BH168-BG168)/BG168</f>
        <v>-2.4242424242424242E-2</v>
      </c>
      <c r="BK168" s="569">
        <f>BG168-BF168</f>
        <v>59</v>
      </c>
      <c r="BL168" s="569">
        <f>BH168-BG168</f>
        <v>-8</v>
      </c>
      <c r="BM168" s="331"/>
      <c r="BN168" s="331"/>
    </row>
    <row r="169" spans="1:66" ht="9.75" customHeight="1">
      <c r="A169" s="125"/>
      <c r="B169" s="18"/>
      <c r="C169" s="28"/>
      <c r="D169" s="28"/>
      <c r="E169" s="28"/>
      <c r="F169" s="28"/>
      <c r="G169" s="28"/>
      <c r="H169" s="28"/>
      <c r="I169" s="28"/>
      <c r="J169" s="28"/>
      <c r="K169" s="28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M169" s="71"/>
      <c r="AN169" s="71"/>
      <c r="AO169" s="71"/>
      <c r="AP169" s="71"/>
      <c r="AQ169" s="71"/>
      <c r="AR169" s="71"/>
      <c r="AS169" s="71"/>
      <c r="AT169" s="71"/>
      <c r="AU169" s="71"/>
      <c r="AV169" s="158"/>
      <c r="AW169" s="257"/>
      <c r="AX169" s="68"/>
      <c r="AY169" s="68"/>
      <c r="AZ169" s="308"/>
      <c r="BA169" s="293"/>
      <c r="BB169" s="293"/>
      <c r="BC169" s="471"/>
      <c r="BD169" s="309"/>
      <c r="BE169" s="309"/>
      <c r="BF169" s="309"/>
      <c r="BG169" s="309"/>
      <c r="BH169" s="309"/>
      <c r="BI169" s="329"/>
      <c r="BJ169" s="329"/>
      <c r="BK169" s="570"/>
      <c r="BL169" s="570"/>
      <c r="BM169" s="331"/>
      <c r="BN169" s="331"/>
    </row>
    <row r="170" spans="1:66" ht="11.85" customHeight="1">
      <c r="A170" s="126" t="s">
        <v>42</v>
      </c>
      <c r="B170" s="18"/>
      <c r="C170" s="28"/>
      <c r="D170" s="28"/>
      <c r="E170" s="28"/>
      <c r="F170" s="28"/>
      <c r="G170" s="28"/>
      <c r="H170" s="28"/>
      <c r="I170" s="28"/>
      <c r="J170" s="28"/>
      <c r="K170" s="28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M170" s="71"/>
      <c r="AN170" s="71"/>
      <c r="AO170" s="71"/>
      <c r="AP170" s="71"/>
      <c r="AQ170" s="71"/>
      <c r="AR170" s="71"/>
      <c r="AS170" s="71"/>
      <c r="AT170" s="71"/>
      <c r="AU170" s="71"/>
      <c r="AV170" s="158"/>
      <c r="AW170" s="257"/>
      <c r="AX170" s="68"/>
      <c r="AY170" s="68"/>
      <c r="AZ170" s="308"/>
      <c r="BA170" s="293"/>
      <c r="BB170" s="293"/>
      <c r="BC170" s="471"/>
      <c r="BD170" s="309"/>
      <c r="BE170" s="309"/>
      <c r="BF170" s="309"/>
      <c r="BG170" s="309"/>
      <c r="BH170" s="309"/>
      <c r="BI170" s="385"/>
      <c r="BJ170" s="385"/>
      <c r="BK170" s="571"/>
      <c r="BL170" s="571"/>
      <c r="BM170" s="331"/>
      <c r="BN170" s="331"/>
    </row>
    <row r="171" spans="1:66" ht="11.1" customHeight="1">
      <c r="A171" s="129" t="s">
        <v>146</v>
      </c>
      <c r="B171" s="28">
        <v>865</v>
      </c>
      <c r="C171" s="28">
        <v>917</v>
      </c>
      <c r="D171" s="28">
        <v>982</v>
      </c>
      <c r="E171" s="28">
        <v>1204</v>
      </c>
      <c r="F171" s="28">
        <v>1161</v>
      </c>
      <c r="G171" s="28">
        <v>1152</v>
      </c>
      <c r="H171" s="28">
        <v>1154</v>
      </c>
      <c r="I171" s="28">
        <v>1166</v>
      </c>
      <c r="J171" s="28">
        <v>1145</v>
      </c>
      <c r="K171" s="28">
        <v>1152</v>
      </c>
      <c r="L171" s="12">
        <v>1178</v>
      </c>
      <c r="M171" s="12">
        <v>1088</v>
      </c>
      <c r="N171" s="12">
        <v>1130</v>
      </c>
      <c r="O171" s="12">
        <v>1155</v>
      </c>
      <c r="P171" s="12">
        <v>1230</v>
      </c>
      <c r="Q171" s="12">
        <v>1314</v>
      </c>
      <c r="R171" s="12">
        <v>1327</v>
      </c>
      <c r="S171" s="12">
        <v>887</v>
      </c>
      <c r="T171" s="12">
        <v>1177</v>
      </c>
      <c r="U171" s="12">
        <v>1499</v>
      </c>
      <c r="V171" s="12">
        <v>1653</v>
      </c>
      <c r="W171" s="12">
        <v>1637</v>
      </c>
      <c r="X171" s="12">
        <v>1594</v>
      </c>
      <c r="Y171" s="12">
        <v>1586</v>
      </c>
      <c r="Z171" s="12">
        <v>1645</v>
      </c>
      <c r="AA171" s="12">
        <v>1617</v>
      </c>
      <c r="AB171" s="12">
        <v>1597</v>
      </c>
      <c r="AC171" s="12">
        <v>1562</v>
      </c>
      <c r="AD171" s="12">
        <v>1544</v>
      </c>
      <c r="AE171" s="12">
        <v>1497</v>
      </c>
      <c r="AF171" s="12">
        <v>1475</v>
      </c>
      <c r="AG171" s="12">
        <v>1471</v>
      </c>
      <c r="AH171" s="12">
        <v>1498</v>
      </c>
      <c r="AI171" s="12">
        <v>1488</v>
      </c>
      <c r="AJ171" s="12">
        <v>1434</v>
      </c>
      <c r="AK171" s="12">
        <v>1522</v>
      </c>
      <c r="AL171" s="12">
        <v>1374</v>
      </c>
      <c r="AM171" s="71">
        <v>1335</v>
      </c>
      <c r="AN171" s="71">
        <v>1318</v>
      </c>
      <c r="AO171" s="71">
        <v>1299</v>
      </c>
      <c r="AP171" s="71">
        <v>1216</v>
      </c>
      <c r="AQ171" s="71">
        <v>1170</v>
      </c>
      <c r="AR171" s="71">
        <v>1188</v>
      </c>
      <c r="AS171" s="71">
        <v>1218</v>
      </c>
      <c r="AT171" s="71">
        <v>1228</v>
      </c>
      <c r="AU171" s="71">
        <v>1258</v>
      </c>
      <c r="AV171" s="158">
        <v>1263</v>
      </c>
      <c r="AW171" s="30">
        <v>1303</v>
      </c>
      <c r="AX171" s="342">
        <v>1282</v>
      </c>
      <c r="AY171" s="342">
        <v>1396</v>
      </c>
      <c r="AZ171" s="342">
        <v>1452</v>
      </c>
      <c r="BA171" s="293">
        <v>1467</v>
      </c>
      <c r="BB171" s="293">
        <v>1468</v>
      </c>
      <c r="BC171" s="293">
        <v>1451</v>
      </c>
      <c r="BD171" s="314">
        <v>1432</v>
      </c>
      <c r="BE171" s="314">
        <v>1456</v>
      </c>
      <c r="BF171" s="314">
        <v>1472</v>
      </c>
      <c r="BG171" s="314">
        <v>1465</v>
      </c>
      <c r="BH171" s="314">
        <v>1465</v>
      </c>
      <c r="BI171" s="385">
        <f>(BG171-BF171)/BF171</f>
        <v>-4.755434782608696E-3</v>
      </c>
      <c r="BJ171" s="385">
        <f>(BH171-BG171)/BG171</f>
        <v>0</v>
      </c>
      <c r="BK171" s="569">
        <f>BG171-BF171</f>
        <v>-7</v>
      </c>
      <c r="BL171" s="569">
        <f>BH171-BG171</f>
        <v>0</v>
      </c>
      <c r="BM171" s="331"/>
      <c r="BN171" s="331"/>
    </row>
    <row r="172" spans="1:66" ht="11.85" customHeight="1">
      <c r="A172" s="129" t="s">
        <v>147</v>
      </c>
      <c r="B172" s="18" t="s">
        <v>3</v>
      </c>
      <c r="C172" s="18" t="s">
        <v>3</v>
      </c>
      <c r="D172" s="18" t="s">
        <v>3</v>
      </c>
      <c r="E172" s="18" t="s">
        <v>3</v>
      </c>
      <c r="F172" s="18" t="s">
        <v>3</v>
      </c>
      <c r="G172" s="18" t="s">
        <v>3</v>
      </c>
      <c r="H172" s="18" t="s">
        <v>3</v>
      </c>
      <c r="I172" s="18" t="s">
        <v>3</v>
      </c>
      <c r="J172" s="18" t="s">
        <v>3</v>
      </c>
      <c r="K172" s="18" t="s">
        <v>3</v>
      </c>
      <c r="L172" s="18" t="s">
        <v>3</v>
      </c>
      <c r="M172" s="18" t="s">
        <v>3</v>
      </c>
      <c r="N172" s="18" t="s">
        <v>3</v>
      </c>
      <c r="O172" s="18" t="s">
        <v>3</v>
      </c>
      <c r="P172" s="12">
        <v>596</v>
      </c>
      <c r="Q172" s="12">
        <v>3148</v>
      </c>
      <c r="R172" s="12">
        <v>3371</v>
      </c>
      <c r="S172" s="12">
        <v>319</v>
      </c>
      <c r="T172" s="12">
        <v>1816</v>
      </c>
      <c r="U172" s="12">
        <v>1878</v>
      </c>
      <c r="V172" s="12">
        <v>2255</v>
      </c>
      <c r="W172" s="12">
        <f>1637+39</f>
        <v>1676</v>
      </c>
      <c r="X172" s="12">
        <v>876</v>
      </c>
      <c r="Y172" s="12">
        <v>600</v>
      </c>
      <c r="Z172" s="12">
        <v>434</v>
      </c>
      <c r="AA172" s="12">
        <v>350</v>
      </c>
      <c r="AB172" s="12">
        <v>348</v>
      </c>
      <c r="AC172" s="12">
        <v>288</v>
      </c>
      <c r="AD172" s="12">
        <v>223</v>
      </c>
      <c r="AE172" s="12">
        <v>253</v>
      </c>
      <c r="AF172" s="12">
        <v>184</v>
      </c>
      <c r="AG172" s="12">
        <v>162</v>
      </c>
      <c r="AH172" s="12">
        <v>154</v>
      </c>
      <c r="AI172" s="12">
        <v>145</v>
      </c>
      <c r="AJ172" s="12">
        <v>135</v>
      </c>
      <c r="AK172" s="12">
        <v>112</v>
      </c>
      <c r="AL172" s="12">
        <v>82</v>
      </c>
      <c r="AM172" s="71">
        <v>69</v>
      </c>
      <c r="AN172" s="71">
        <v>22</v>
      </c>
      <c r="AO172" s="71">
        <v>26</v>
      </c>
      <c r="AP172" s="71">
        <v>18</v>
      </c>
      <c r="AQ172" s="71">
        <v>19</v>
      </c>
      <c r="AR172" s="71">
        <v>11</v>
      </c>
      <c r="AS172" s="71">
        <v>8</v>
      </c>
      <c r="AT172" s="71">
        <v>5</v>
      </c>
      <c r="AU172" s="158" t="s">
        <v>3</v>
      </c>
      <c r="AV172" s="158" t="s">
        <v>3</v>
      </c>
      <c r="AW172" s="30" t="s">
        <v>3</v>
      </c>
      <c r="AX172" s="68" t="s">
        <v>3</v>
      </c>
      <c r="AY172" s="68" t="s">
        <v>3</v>
      </c>
      <c r="AZ172" s="68" t="s">
        <v>3</v>
      </c>
      <c r="BA172" s="293" t="s">
        <v>3</v>
      </c>
      <c r="BB172" s="293" t="s">
        <v>3</v>
      </c>
      <c r="BC172" s="293" t="s">
        <v>3</v>
      </c>
      <c r="BD172" s="314" t="s">
        <v>3</v>
      </c>
      <c r="BE172" s="314" t="s">
        <v>3</v>
      </c>
      <c r="BF172" s="314" t="s">
        <v>3</v>
      </c>
      <c r="BG172" s="314" t="s">
        <v>3</v>
      </c>
      <c r="BH172" s="314"/>
      <c r="BI172" s="392" t="s">
        <v>9</v>
      </c>
      <c r="BJ172" s="392" t="s">
        <v>9</v>
      </c>
      <c r="BK172" s="570"/>
      <c r="BL172" s="570"/>
      <c r="BM172" s="331"/>
      <c r="BN172" s="331"/>
    </row>
    <row r="173" spans="1:66" ht="11.85" customHeight="1">
      <c r="A173" s="404" t="s">
        <v>32</v>
      </c>
      <c r="B173" s="151">
        <f>SUM(B171:B172)</f>
        <v>865</v>
      </c>
      <c r="C173" s="151">
        <f t="shared" ref="C173:BH173" si="73">SUM(C171:C172)</f>
        <v>917</v>
      </c>
      <c r="D173" s="151">
        <f t="shared" si="73"/>
        <v>982</v>
      </c>
      <c r="E173" s="151">
        <f t="shared" si="73"/>
        <v>1204</v>
      </c>
      <c r="F173" s="151">
        <f t="shared" si="73"/>
        <v>1161</v>
      </c>
      <c r="G173" s="151">
        <f t="shared" si="73"/>
        <v>1152</v>
      </c>
      <c r="H173" s="151">
        <f t="shared" si="73"/>
        <v>1154</v>
      </c>
      <c r="I173" s="151">
        <f t="shared" si="73"/>
        <v>1166</v>
      </c>
      <c r="J173" s="151">
        <f t="shared" si="73"/>
        <v>1145</v>
      </c>
      <c r="K173" s="151">
        <f t="shared" si="73"/>
        <v>1152</v>
      </c>
      <c r="L173" s="151">
        <f t="shared" si="73"/>
        <v>1178</v>
      </c>
      <c r="M173" s="151">
        <f t="shared" si="73"/>
        <v>1088</v>
      </c>
      <c r="N173" s="151">
        <f t="shared" si="73"/>
        <v>1130</v>
      </c>
      <c r="O173" s="151">
        <f t="shared" si="73"/>
        <v>1155</v>
      </c>
      <c r="P173" s="151">
        <f t="shared" si="73"/>
        <v>1826</v>
      </c>
      <c r="Q173" s="151">
        <f t="shared" si="73"/>
        <v>4462</v>
      </c>
      <c r="R173" s="151">
        <f t="shared" si="73"/>
        <v>4698</v>
      </c>
      <c r="S173" s="151">
        <f t="shared" si="73"/>
        <v>1206</v>
      </c>
      <c r="T173" s="151">
        <f t="shared" si="73"/>
        <v>2993</v>
      </c>
      <c r="U173" s="151">
        <f t="shared" si="73"/>
        <v>3377</v>
      </c>
      <c r="V173" s="151">
        <f t="shared" si="73"/>
        <v>3908</v>
      </c>
      <c r="W173" s="151">
        <f t="shared" si="73"/>
        <v>3313</v>
      </c>
      <c r="X173" s="151">
        <f t="shared" si="73"/>
        <v>2470</v>
      </c>
      <c r="Y173" s="151">
        <f t="shared" si="73"/>
        <v>2186</v>
      </c>
      <c r="Z173" s="151">
        <f t="shared" si="73"/>
        <v>2079</v>
      </c>
      <c r="AA173" s="151">
        <f t="shared" si="73"/>
        <v>1967</v>
      </c>
      <c r="AB173" s="151">
        <f t="shared" si="73"/>
        <v>1945</v>
      </c>
      <c r="AC173" s="151">
        <f t="shared" si="73"/>
        <v>1850</v>
      </c>
      <c r="AD173" s="151">
        <f t="shared" si="73"/>
        <v>1767</v>
      </c>
      <c r="AE173" s="151">
        <f t="shared" si="73"/>
        <v>1750</v>
      </c>
      <c r="AF173" s="151">
        <f t="shared" si="73"/>
        <v>1659</v>
      </c>
      <c r="AG173" s="151">
        <f t="shared" si="73"/>
        <v>1633</v>
      </c>
      <c r="AH173" s="151">
        <f t="shared" si="73"/>
        <v>1652</v>
      </c>
      <c r="AI173" s="151">
        <f t="shared" si="73"/>
        <v>1633</v>
      </c>
      <c r="AJ173" s="151">
        <f t="shared" si="73"/>
        <v>1569</v>
      </c>
      <c r="AK173" s="151">
        <f t="shared" si="73"/>
        <v>1634</v>
      </c>
      <c r="AL173" s="151">
        <f t="shared" si="73"/>
        <v>1456</v>
      </c>
      <c r="AM173" s="151">
        <f t="shared" si="73"/>
        <v>1404</v>
      </c>
      <c r="AN173" s="151">
        <f t="shared" si="73"/>
        <v>1340</v>
      </c>
      <c r="AO173" s="151">
        <f t="shared" si="73"/>
        <v>1325</v>
      </c>
      <c r="AP173" s="151">
        <f t="shared" si="73"/>
        <v>1234</v>
      </c>
      <c r="AQ173" s="151">
        <f t="shared" si="73"/>
        <v>1189</v>
      </c>
      <c r="AR173" s="151">
        <f t="shared" si="73"/>
        <v>1199</v>
      </c>
      <c r="AS173" s="151">
        <f t="shared" si="73"/>
        <v>1226</v>
      </c>
      <c r="AT173" s="151">
        <f t="shared" si="73"/>
        <v>1233</v>
      </c>
      <c r="AU173" s="151">
        <f t="shared" si="73"/>
        <v>1258</v>
      </c>
      <c r="AV173" s="151">
        <f t="shared" si="73"/>
        <v>1263</v>
      </c>
      <c r="AW173" s="151">
        <f t="shared" si="73"/>
        <v>1303</v>
      </c>
      <c r="AX173" s="151">
        <f t="shared" si="73"/>
        <v>1282</v>
      </c>
      <c r="AY173" s="151">
        <f t="shared" si="73"/>
        <v>1396</v>
      </c>
      <c r="AZ173" s="151">
        <f t="shared" si="73"/>
        <v>1452</v>
      </c>
      <c r="BA173" s="151">
        <f t="shared" si="73"/>
        <v>1467</v>
      </c>
      <c r="BB173" s="394">
        <f t="shared" si="73"/>
        <v>1468</v>
      </c>
      <c r="BC173" s="394">
        <f t="shared" si="73"/>
        <v>1451</v>
      </c>
      <c r="BD173" s="395">
        <f t="shared" si="73"/>
        <v>1432</v>
      </c>
      <c r="BE173" s="395">
        <f t="shared" si="73"/>
        <v>1456</v>
      </c>
      <c r="BF173" s="395">
        <f t="shared" si="73"/>
        <v>1472</v>
      </c>
      <c r="BG173" s="395">
        <f t="shared" si="73"/>
        <v>1465</v>
      </c>
      <c r="BH173" s="395">
        <f t="shared" si="73"/>
        <v>1465</v>
      </c>
      <c r="BI173" s="415">
        <f>(BG173-BF173)/BF173</f>
        <v>-4.755434782608696E-3</v>
      </c>
      <c r="BJ173" s="415">
        <f>(BH173-BG173)/BG173</f>
        <v>0</v>
      </c>
      <c r="BK173" s="572">
        <f>BG173-BF173</f>
        <v>-7</v>
      </c>
      <c r="BL173" s="572">
        <f>BH173-BG173</f>
        <v>0</v>
      </c>
      <c r="BM173" s="331"/>
      <c r="BN173" s="331"/>
    </row>
    <row r="174" spans="1:66" ht="6" customHeight="1">
      <c r="A174" s="125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M174" s="71"/>
      <c r="AN174" s="71"/>
      <c r="AO174" s="71"/>
      <c r="AP174" s="71"/>
      <c r="AQ174" s="71"/>
      <c r="AR174" s="71"/>
      <c r="AS174" s="71"/>
      <c r="AT174" s="71"/>
      <c r="AU174" s="71"/>
      <c r="AV174" s="158"/>
      <c r="AW174" s="257"/>
      <c r="AX174" s="68"/>
      <c r="AY174" s="68"/>
      <c r="AZ174" s="308"/>
      <c r="BA174" s="293"/>
      <c r="BB174" s="293"/>
      <c r="BC174" s="471"/>
      <c r="BD174" s="309"/>
      <c r="BE174" s="309"/>
      <c r="BF174" s="309"/>
      <c r="BG174" s="309"/>
      <c r="BH174" s="309"/>
      <c r="BI174" s="329"/>
      <c r="BJ174" s="329"/>
      <c r="BK174" s="570"/>
      <c r="BL174" s="570"/>
      <c r="BM174" s="331"/>
      <c r="BN174" s="331"/>
    </row>
    <row r="175" spans="1:66" ht="9.75" customHeight="1">
      <c r="A175" s="126" t="s">
        <v>76</v>
      </c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587"/>
      <c r="BG175" s="587"/>
      <c r="BH175" s="587"/>
      <c r="BI175" s="329"/>
      <c r="BJ175" s="329"/>
      <c r="BK175" s="570"/>
      <c r="BL175" s="570"/>
      <c r="BM175" s="331"/>
      <c r="BN175" s="331"/>
    </row>
    <row r="176" spans="1:66" ht="10.5" customHeight="1">
      <c r="A176" s="125" t="s">
        <v>77</v>
      </c>
      <c r="B176" s="51" t="s">
        <v>3</v>
      </c>
      <c r="C176" s="51" t="s">
        <v>3</v>
      </c>
      <c r="D176" s="51" t="s">
        <v>3</v>
      </c>
      <c r="E176" s="51" t="s">
        <v>3</v>
      </c>
      <c r="F176" s="51" t="s">
        <v>3</v>
      </c>
      <c r="G176" s="51" t="s">
        <v>3</v>
      </c>
      <c r="H176" s="51" t="s">
        <v>3</v>
      </c>
      <c r="I176" s="51" t="s">
        <v>3</v>
      </c>
      <c r="J176" s="51" t="s">
        <v>3</v>
      </c>
      <c r="K176" s="51" t="s">
        <v>3</v>
      </c>
      <c r="L176" s="51" t="s">
        <v>3</v>
      </c>
      <c r="M176" s="51" t="s">
        <v>3</v>
      </c>
      <c r="N176" s="51" t="s">
        <v>3</v>
      </c>
      <c r="O176" s="51" t="s">
        <v>3</v>
      </c>
      <c r="P176" s="51" t="s">
        <v>3</v>
      </c>
      <c r="Q176" s="51" t="s">
        <v>3</v>
      </c>
      <c r="R176" s="51" t="s">
        <v>3</v>
      </c>
      <c r="S176" s="51" t="s">
        <v>3</v>
      </c>
      <c r="T176" s="51" t="s">
        <v>3</v>
      </c>
      <c r="U176" s="51" t="s">
        <v>3</v>
      </c>
      <c r="V176" s="51" t="s">
        <v>3</v>
      </c>
      <c r="W176" s="51" t="s">
        <v>3</v>
      </c>
      <c r="X176" s="51" t="s">
        <v>3</v>
      </c>
      <c r="Y176" s="51" t="s">
        <v>3</v>
      </c>
      <c r="Z176" s="51" t="s">
        <v>3</v>
      </c>
      <c r="AA176" s="51" t="s">
        <v>3</v>
      </c>
      <c r="AB176" s="51" t="s">
        <v>3</v>
      </c>
      <c r="AC176" s="51" t="s">
        <v>3</v>
      </c>
      <c r="AD176" s="51" t="s">
        <v>3</v>
      </c>
      <c r="AE176" s="51" t="s">
        <v>3</v>
      </c>
      <c r="AF176" s="56">
        <v>2</v>
      </c>
      <c r="AG176" s="12">
        <v>7</v>
      </c>
      <c r="AH176" s="12">
        <v>12</v>
      </c>
      <c r="AI176" s="12">
        <v>18</v>
      </c>
      <c r="AJ176" s="12">
        <v>26</v>
      </c>
      <c r="AK176" s="12">
        <v>28</v>
      </c>
      <c r="AL176" s="26">
        <v>31</v>
      </c>
      <c r="AM176" s="71">
        <f>13+22</f>
        <v>35</v>
      </c>
      <c r="AN176" s="71">
        <f>13+25</f>
        <v>38</v>
      </c>
      <c r="AO176" s="71">
        <v>47</v>
      </c>
      <c r="AP176" s="71">
        <v>71</v>
      </c>
      <c r="AQ176" s="71">
        <v>74</v>
      </c>
      <c r="AR176" s="71">
        <v>67</v>
      </c>
      <c r="AS176" s="71">
        <v>63</v>
      </c>
      <c r="AT176" s="71">
        <v>71</v>
      </c>
      <c r="AU176" s="71">
        <v>77</v>
      </c>
      <c r="AV176" s="158">
        <v>86</v>
      </c>
      <c r="AW176" s="30">
        <v>96</v>
      </c>
      <c r="AX176" s="233">
        <v>103</v>
      </c>
      <c r="AY176" s="233">
        <v>107</v>
      </c>
      <c r="AZ176" s="233">
        <v>112</v>
      </c>
      <c r="BA176" s="314">
        <v>112</v>
      </c>
      <c r="BB176" s="314">
        <v>100</v>
      </c>
      <c r="BC176" s="314">
        <f>1+96</f>
        <v>97</v>
      </c>
      <c r="BD176" s="314">
        <v>97</v>
      </c>
      <c r="BE176" s="314">
        <v>98</v>
      </c>
      <c r="BF176" s="314">
        <v>102</v>
      </c>
      <c r="BG176" s="314">
        <v>115</v>
      </c>
      <c r="BH176" s="314">
        <v>131</v>
      </c>
      <c r="BI176" s="385">
        <f>(BG176-BF176)/BF176</f>
        <v>0.12745098039215685</v>
      </c>
      <c r="BJ176" s="385">
        <f>(BH176-BG176)/BG176</f>
        <v>0.1391304347826087</v>
      </c>
      <c r="BK176" s="569">
        <f>BG176-BF176</f>
        <v>13</v>
      </c>
      <c r="BL176" s="569">
        <f>BH176-BG176</f>
        <v>16</v>
      </c>
      <c r="BM176" s="331"/>
      <c r="BN176" s="331"/>
    </row>
    <row r="177" spans="1:66" ht="9.75" customHeight="1">
      <c r="A177" s="125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M177" s="71"/>
      <c r="AN177" s="71"/>
      <c r="AO177" s="71"/>
      <c r="AP177" s="71"/>
      <c r="AQ177" s="71"/>
      <c r="AR177" s="71"/>
      <c r="AS177" s="71"/>
      <c r="AT177" s="71"/>
      <c r="AU177" s="71"/>
      <c r="AV177" s="158"/>
      <c r="AW177" s="257"/>
      <c r="AX177" s="68"/>
      <c r="AY177" s="68"/>
      <c r="AZ177" s="308"/>
      <c r="BA177" s="293"/>
      <c r="BB177" s="293"/>
      <c r="BC177" s="471"/>
      <c r="BD177" s="309"/>
      <c r="BE177" s="309"/>
      <c r="BF177" s="309"/>
      <c r="BI177" s="329"/>
      <c r="BJ177" s="329"/>
      <c r="BK177" s="570"/>
      <c r="BL177" s="570"/>
      <c r="BM177" s="331"/>
      <c r="BN177" s="331"/>
    </row>
    <row r="178" spans="1:66" ht="11.1" customHeight="1">
      <c r="A178" s="129" t="s">
        <v>148</v>
      </c>
      <c r="B178" s="28">
        <v>764</v>
      </c>
      <c r="C178" s="28">
        <v>803</v>
      </c>
      <c r="D178" s="28">
        <v>875</v>
      </c>
      <c r="E178" s="28">
        <v>889</v>
      </c>
      <c r="F178" s="28">
        <v>889</v>
      </c>
      <c r="G178" s="28">
        <v>855</v>
      </c>
      <c r="H178" s="28">
        <v>628</v>
      </c>
      <c r="I178" s="28">
        <v>660</v>
      </c>
      <c r="J178" s="28">
        <v>678</v>
      </c>
      <c r="K178" s="28">
        <v>677</v>
      </c>
      <c r="L178" s="12">
        <v>692</v>
      </c>
      <c r="M178" s="12">
        <v>664</v>
      </c>
      <c r="N178" s="12">
        <v>667</v>
      </c>
      <c r="O178" s="12">
        <v>670</v>
      </c>
      <c r="P178" s="12">
        <v>688</v>
      </c>
      <c r="Q178" s="12">
        <v>717</v>
      </c>
      <c r="R178" s="12">
        <v>752</v>
      </c>
      <c r="S178" s="12">
        <v>790</v>
      </c>
      <c r="T178" s="12">
        <v>807</v>
      </c>
      <c r="U178" s="12">
        <v>804</v>
      </c>
      <c r="V178" s="12">
        <v>778</v>
      </c>
      <c r="W178" s="12">
        <v>711</v>
      </c>
      <c r="X178" s="12">
        <v>569</v>
      </c>
      <c r="Y178" s="12">
        <v>479</v>
      </c>
      <c r="Z178" s="12">
        <v>403</v>
      </c>
      <c r="AA178" s="12">
        <v>90</v>
      </c>
      <c r="AB178" s="51" t="s">
        <v>3</v>
      </c>
      <c r="AC178" s="18" t="s">
        <v>3</v>
      </c>
      <c r="AD178" s="18" t="s">
        <v>3</v>
      </c>
      <c r="AE178" s="18" t="s">
        <v>3</v>
      </c>
      <c r="AF178" s="18" t="s">
        <v>3</v>
      </c>
      <c r="AG178" s="18" t="s">
        <v>3</v>
      </c>
      <c r="AH178" s="18" t="s">
        <v>3</v>
      </c>
      <c r="AI178" s="18" t="s">
        <v>3</v>
      </c>
      <c r="AJ178" s="18" t="s">
        <v>3</v>
      </c>
      <c r="AK178" s="18" t="s">
        <v>3</v>
      </c>
      <c r="AL178" s="18" t="s">
        <v>3</v>
      </c>
      <c r="AM178" s="18" t="s">
        <v>3</v>
      </c>
      <c r="AN178" s="18" t="s">
        <v>3</v>
      </c>
      <c r="AO178" s="18" t="s">
        <v>3</v>
      </c>
      <c r="AP178" s="18" t="s">
        <v>3</v>
      </c>
      <c r="AQ178" s="18" t="s">
        <v>3</v>
      </c>
      <c r="AR178" s="18" t="s">
        <v>3</v>
      </c>
      <c r="AS178" s="18" t="s">
        <v>3</v>
      </c>
      <c r="AT178" s="18" t="s">
        <v>3</v>
      </c>
      <c r="AU178" s="18" t="s">
        <v>3</v>
      </c>
      <c r="AV178" s="18" t="s">
        <v>3</v>
      </c>
      <c r="AW178" s="18" t="s">
        <v>3</v>
      </c>
      <c r="AX178" s="18" t="s">
        <v>3</v>
      </c>
      <c r="AY178" s="18" t="s">
        <v>3</v>
      </c>
      <c r="AZ178" s="30" t="s">
        <v>3</v>
      </c>
      <c r="BA178" s="369" t="s">
        <v>3</v>
      </c>
      <c r="BB178" s="369" t="s">
        <v>3</v>
      </c>
      <c r="BC178" s="369" t="s">
        <v>3</v>
      </c>
      <c r="BD178" s="430" t="s">
        <v>3</v>
      </c>
      <c r="BE178" s="430" t="s">
        <v>3</v>
      </c>
      <c r="BF178" s="430" t="s">
        <v>3</v>
      </c>
      <c r="BG178" s="430" t="s">
        <v>3</v>
      </c>
      <c r="BH178" s="430"/>
      <c r="BI178" s="419" t="s">
        <v>9</v>
      </c>
      <c r="BJ178" s="419" t="s">
        <v>9</v>
      </c>
      <c r="BK178" s="571"/>
      <c r="BL178" s="571"/>
      <c r="BM178" s="331"/>
      <c r="BN178" s="331"/>
    </row>
    <row r="179" spans="1:66" ht="6" customHeight="1">
      <c r="A179" s="125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M179" s="71"/>
      <c r="AN179" s="71"/>
      <c r="AO179" s="71"/>
      <c r="AP179" s="71"/>
      <c r="AQ179" s="71"/>
      <c r="AR179" s="71"/>
      <c r="AS179" s="71"/>
      <c r="AT179" s="71"/>
      <c r="AU179" s="71"/>
      <c r="AV179" s="158"/>
      <c r="AW179" s="257"/>
      <c r="AX179" s="68"/>
      <c r="AY179" s="68"/>
      <c r="AZ179" s="308"/>
      <c r="BA179" s="293"/>
      <c r="BB179" s="293"/>
      <c r="BC179" s="471"/>
      <c r="BD179" s="309"/>
      <c r="BE179" s="309"/>
      <c r="BF179" s="309"/>
      <c r="BG179" s="309"/>
      <c r="BH179" s="309"/>
      <c r="BI179" s="385"/>
      <c r="BJ179" s="385"/>
      <c r="BK179" s="571"/>
      <c r="BL179" s="571"/>
      <c r="BM179" s="331"/>
      <c r="BN179" s="331"/>
    </row>
    <row r="180" spans="1:66" ht="11.1" customHeight="1">
      <c r="A180" s="129" t="s">
        <v>149</v>
      </c>
      <c r="B180" s="28">
        <v>128</v>
      </c>
      <c r="C180" s="28">
        <v>131</v>
      </c>
      <c r="D180" s="28">
        <v>130</v>
      </c>
      <c r="E180" s="28">
        <v>124</v>
      </c>
      <c r="F180" s="28">
        <v>122</v>
      </c>
      <c r="G180" s="28">
        <v>126</v>
      </c>
      <c r="H180" s="28">
        <v>127</v>
      </c>
      <c r="I180" s="28">
        <v>140</v>
      </c>
      <c r="J180" s="28">
        <v>153</v>
      </c>
      <c r="K180" s="28">
        <v>155</v>
      </c>
      <c r="L180" s="12">
        <v>180</v>
      </c>
      <c r="M180" s="12">
        <v>168</v>
      </c>
      <c r="N180" s="12">
        <v>169</v>
      </c>
      <c r="O180" s="12">
        <v>167</v>
      </c>
      <c r="P180" s="12">
        <v>150</v>
      </c>
      <c r="Q180" s="12">
        <v>497</v>
      </c>
      <c r="R180" s="12">
        <v>373</v>
      </c>
      <c r="S180" s="12">
        <v>463</v>
      </c>
      <c r="T180" s="12">
        <v>459</v>
      </c>
      <c r="U180" s="12">
        <v>474</v>
      </c>
      <c r="V180" s="12">
        <v>459</v>
      </c>
      <c r="W180" s="12">
        <v>479</v>
      </c>
      <c r="X180" s="12">
        <v>480</v>
      </c>
      <c r="Y180" s="12">
        <v>485</v>
      </c>
      <c r="Z180" s="12">
        <v>492</v>
      </c>
      <c r="AA180" s="12">
        <v>512</v>
      </c>
      <c r="AB180" s="12">
        <v>480</v>
      </c>
      <c r="AC180" s="12">
        <v>491</v>
      </c>
      <c r="AD180" s="12">
        <v>510</v>
      </c>
      <c r="AE180" s="12">
        <v>529</v>
      </c>
      <c r="AF180" s="12">
        <v>527</v>
      </c>
      <c r="AG180" s="12">
        <v>551</v>
      </c>
      <c r="AH180" s="12">
        <v>592</v>
      </c>
      <c r="AI180" s="12">
        <v>562</v>
      </c>
      <c r="AJ180" s="12">
        <v>543</v>
      </c>
      <c r="AK180" s="12">
        <v>542</v>
      </c>
      <c r="AL180" s="82">
        <v>541</v>
      </c>
      <c r="AM180" s="82">
        <v>553</v>
      </c>
      <c r="AN180" s="82">
        <v>560</v>
      </c>
      <c r="AO180" s="82">
        <v>567</v>
      </c>
      <c r="AP180" s="82">
        <v>556</v>
      </c>
      <c r="AQ180" s="82">
        <v>546</v>
      </c>
      <c r="AR180" s="82">
        <v>488</v>
      </c>
      <c r="AS180" s="82">
        <v>521</v>
      </c>
      <c r="AT180" s="82">
        <v>517</v>
      </c>
      <c r="AU180" s="82">
        <v>487</v>
      </c>
      <c r="AV180" s="234">
        <v>493</v>
      </c>
      <c r="AW180" s="235">
        <v>437</v>
      </c>
      <c r="AX180" s="68">
        <v>449</v>
      </c>
      <c r="AY180" s="68">
        <v>498</v>
      </c>
      <c r="AZ180" s="68">
        <v>605</v>
      </c>
      <c r="BA180" s="293">
        <v>666</v>
      </c>
      <c r="BB180" s="293">
        <v>687</v>
      </c>
      <c r="BC180" s="293">
        <f>682+5</f>
        <v>687</v>
      </c>
      <c r="BD180" s="314">
        <v>700</v>
      </c>
      <c r="BE180" s="314">
        <v>690</v>
      </c>
      <c r="BF180" s="314">
        <v>716</v>
      </c>
      <c r="BG180" s="314">
        <v>702</v>
      </c>
      <c r="BH180" s="314">
        <v>664</v>
      </c>
      <c r="BI180" s="385">
        <f>(BG180-BF180)/BF180</f>
        <v>-1.9553072625698324E-2</v>
      </c>
      <c r="BJ180" s="385">
        <f>(BH180-BG180)/BG180</f>
        <v>-5.4131054131054131E-2</v>
      </c>
      <c r="BK180" s="569">
        <f>BG180-BF180</f>
        <v>-14</v>
      </c>
      <c r="BL180" s="569">
        <f>BH180-BG180</f>
        <v>-38</v>
      </c>
      <c r="BM180" s="331"/>
      <c r="BN180" s="331"/>
    </row>
    <row r="181" spans="1:66" ht="6" customHeight="1">
      <c r="A181" s="125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M181" s="71"/>
      <c r="AN181" s="71"/>
      <c r="AO181" s="71"/>
      <c r="AP181" s="71"/>
      <c r="AQ181" s="71"/>
      <c r="AR181" s="71"/>
      <c r="AS181" s="71"/>
      <c r="AT181" s="71"/>
      <c r="AU181" s="71"/>
      <c r="AV181" s="158"/>
      <c r="AW181" s="257"/>
      <c r="AX181" s="68"/>
      <c r="AY181" s="68"/>
      <c r="AZ181" s="308"/>
      <c r="BA181" s="293"/>
      <c r="BB181" s="293"/>
      <c r="BC181" s="293"/>
      <c r="BD181" s="309"/>
      <c r="BE181" s="309"/>
      <c r="BF181" s="309"/>
      <c r="BG181" s="309"/>
      <c r="BH181" s="309"/>
      <c r="BI181" s="329"/>
      <c r="BJ181" s="329"/>
      <c r="BK181" s="570"/>
      <c r="BL181" s="570"/>
      <c r="BM181" s="331"/>
      <c r="BN181" s="331"/>
    </row>
    <row r="182" spans="1:66" ht="11.1" customHeight="1">
      <c r="A182" s="125" t="s">
        <v>24</v>
      </c>
      <c r="B182" s="28">
        <v>1441</v>
      </c>
      <c r="C182" s="28">
        <v>1457</v>
      </c>
      <c r="D182" s="28">
        <v>1579</v>
      </c>
      <c r="E182" s="28">
        <v>1563</v>
      </c>
      <c r="F182" s="28">
        <v>1579</v>
      </c>
      <c r="G182" s="28">
        <v>1572</v>
      </c>
      <c r="H182" s="28">
        <v>1572</v>
      </c>
      <c r="I182" s="28">
        <v>1580</v>
      </c>
      <c r="J182" s="28">
        <v>1624</v>
      </c>
      <c r="K182" s="28">
        <v>1476</v>
      </c>
      <c r="L182" s="12">
        <v>1651</v>
      </c>
      <c r="M182" s="12">
        <v>1554</v>
      </c>
      <c r="N182" s="12">
        <v>1599</v>
      </c>
      <c r="O182" s="12">
        <v>1702</v>
      </c>
      <c r="P182" s="12">
        <v>1837</v>
      </c>
      <c r="Q182" s="12">
        <v>2005</v>
      </c>
      <c r="R182" s="12">
        <v>2077</v>
      </c>
      <c r="S182" s="12">
        <v>2124</v>
      </c>
      <c r="T182" s="12">
        <v>2125</v>
      </c>
      <c r="U182" s="12">
        <v>2159</v>
      </c>
      <c r="V182" s="12">
        <v>2216</v>
      </c>
      <c r="W182" s="12">
        <v>2124</v>
      </c>
      <c r="X182" s="12">
        <v>1978</v>
      </c>
      <c r="Y182" s="12">
        <v>1858</v>
      </c>
      <c r="Z182" s="12">
        <v>1942</v>
      </c>
      <c r="AA182" s="12">
        <v>1939</v>
      </c>
      <c r="AB182" s="12">
        <v>1825</v>
      </c>
      <c r="AC182" s="12">
        <v>1818</v>
      </c>
      <c r="AD182" s="12">
        <v>1831</v>
      </c>
      <c r="AE182" s="12">
        <v>1769</v>
      </c>
      <c r="AF182" s="12">
        <v>1734</v>
      </c>
      <c r="AG182" s="12">
        <v>1747</v>
      </c>
      <c r="AH182" s="12">
        <v>1806</v>
      </c>
      <c r="AI182" s="12">
        <v>1757</v>
      </c>
      <c r="AJ182" s="12">
        <v>1831</v>
      </c>
      <c r="AK182" s="12">
        <v>2112</v>
      </c>
      <c r="AL182" s="93">
        <v>2046</v>
      </c>
      <c r="AM182" s="93">
        <v>2032</v>
      </c>
      <c r="AN182" s="93">
        <v>2000</v>
      </c>
      <c r="AO182" s="93">
        <v>1917</v>
      </c>
      <c r="AP182" s="71">
        <f>198+1727</f>
        <v>1925</v>
      </c>
      <c r="AQ182" s="71">
        <f>216+1707</f>
        <v>1923</v>
      </c>
      <c r="AR182" s="71">
        <f>184+1800</f>
        <v>1984</v>
      </c>
      <c r="AS182" s="71">
        <v>2007</v>
      </c>
      <c r="AT182" s="71">
        <v>1974</v>
      </c>
      <c r="AU182" s="71">
        <v>1884</v>
      </c>
      <c r="AV182" s="158">
        <f>1797+8</f>
        <v>1805</v>
      </c>
      <c r="AW182" s="231">
        <f>8+1775</f>
        <v>1783</v>
      </c>
      <c r="AX182" s="233">
        <v>1767</v>
      </c>
      <c r="AY182" s="233">
        <v>1810</v>
      </c>
      <c r="AZ182" s="233">
        <v>1776</v>
      </c>
      <c r="BA182" s="314">
        <v>1772</v>
      </c>
      <c r="BB182" s="314">
        <v>1721</v>
      </c>
      <c r="BC182" s="314">
        <v>1723</v>
      </c>
      <c r="BD182" s="314">
        <v>1714</v>
      </c>
      <c r="BE182" s="314">
        <v>1684</v>
      </c>
      <c r="BF182" s="314">
        <v>1639</v>
      </c>
      <c r="BG182" s="314">
        <v>1650</v>
      </c>
      <c r="BH182" s="314">
        <v>1448</v>
      </c>
      <c r="BI182" s="385">
        <f>(BG182-BF182)/BF182</f>
        <v>6.7114093959731542E-3</v>
      </c>
      <c r="BJ182" s="385">
        <f>(BH182-BG182)/BG182</f>
        <v>-0.12242424242424242</v>
      </c>
      <c r="BK182" s="569">
        <f>BG182-BF182</f>
        <v>11</v>
      </c>
      <c r="BL182" s="569">
        <f>BH182-BG182</f>
        <v>-202</v>
      </c>
      <c r="BM182" s="331"/>
      <c r="BN182" s="331"/>
    </row>
    <row r="183" spans="1:66" ht="6" customHeight="1">
      <c r="A183" s="125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M183" s="71"/>
      <c r="AN183" s="71"/>
      <c r="AO183" s="71"/>
      <c r="AP183" s="71"/>
      <c r="AQ183" s="71"/>
      <c r="AR183" s="71"/>
      <c r="AS183" s="71"/>
      <c r="AT183" s="71"/>
      <c r="AU183" s="71"/>
      <c r="AV183" s="158"/>
      <c r="AW183" s="257"/>
      <c r="AX183" s="68"/>
      <c r="AY183" s="68"/>
      <c r="AZ183" s="308"/>
      <c r="BA183" s="293"/>
      <c r="BB183" s="293"/>
      <c r="BC183" s="471"/>
      <c r="BD183" s="309"/>
      <c r="BE183" s="309"/>
      <c r="BF183" s="309"/>
      <c r="BG183" s="309"/>
      <c r="BH183" s="309"/>
      <c r="BI183" s="329"/>
      <c r="BJ183" s="329"/>
      <c r="BK183" s="570"/>
      <c r="BL183" s="570"/>
      <c r="BM183" s="331"/>
      <c r="BN183" s="331"/>
    </row>
    <row r="184" spans="1:66" ht="11.1" customHeight="1">
      <c r="A184" s="125" t="s">
        <v>25</v>
      </c>
      <c r="B184" s="30" t="s">
        <v>3</v>
      </c>
      <c r="C184" s="30" t="s">
        <v>3</v>
      </c>
      <c r="D184" s="28">
        <v>188</v>
      </c>
      <c r="E184" s="28">
        <v>247</v>
      </c>
      <c r="F184" s="28">
        <v>249</v>
      </c>
      <c r="G184" s="28">
        <v>248</v>
      </c>
      <c r="H184" s="28">
        <v>261</v>
      </c>
      <c r="I184" s="28">
        <v>271</v>
      </c>
      <c r="J184" s="28">
        <v>271</v>
      </c>
      <c r="K184" s="28">
        <v>261</v>
      </c>
      <c r="L184" s="12">
        <v>252</v>
      </c>
      <c r="M184" s="12">
        <v>253</v>
      </c>
      <c r="N184" s="12">
        <v>272</v>
      </c>
      <c r="O184" s="12">
        <v>273</v>
      </c>
      <c r="P184" s="12">
        <v>289</v>
      </c>
      <c r="Q184" s="12">
        <v>303</v>
      </c>
      <c r="R184" s="12">
        <v>310</v>
      </c>
      <c r="S184" s="12">
        <v>305</v>
      </c>
      <c r="T184" s="12">
        <v>318</v>
      </c>
      <c r="U184" s="12">
        <v>335</v>
      </c>
      <c r="V184" s="12">
        <v>336</v>
      </c>
      <c r="W184" s="12">
        <v>315</v>
      </c>
      <c r="X184" s="12">
        <v>287</v>
      </c>
      <c r="Y184" s="12">
        <v>266</v>
      </c>
      <c r="Z184" s="12">
        <v>237</v>
      </c>
      <c r="AA184" s="12">
        <v>224</v>
      </c>
      <c r="AB184" s="12">
        <v>206</v>
      </c>
      <c r="AC184" s="12">
        <v>203</v>
      </c>
      <c r="AD184" s="12">
        <v>216</v>
      </c>
      <c r="AE184" s="12">
        <v>218</v>
      </c>
      <c r="AF184" s="12">
        <v>229</v>
      </c>
      <c r="AG184" s="12">
        <v>224</v>
      </c>
      <c r="AH184" s="12">
        <v>220</v>
      </c>
      <c r="AI184" s="12">
        <v>206</v>
      </c>
      <c r="AJ184" s="12">
        <v>199</v>
      </c>
      <c r="AK184" s="12">
        <v>196</v>
      </c>
      <c r="AL184" s="82">
        <v>159</v>
      </c>
      <c r="AM184" s="82">
        <v>143</v>
      </c>
      <c r="AN184" s="82">
        <v>139</v>
      </c>
      <c r="AO184" s="82">
        <v>139</v>
      </c>
      <c r="AP184" s="82">
        <v>128</v>
      </c>
      <c r="AQ184" s="82">
        <v>121</v>
      </c>
      <c r="AR184" s="82">
        <v>127</v>
      </c>
      <c r="AS184" s="82">
        <v>129</v>
      </c>
      <c r="AT184" s="82">
        <v>129</v>
      </c>
      <c r="AU184" s="82">
        <v>124</v>
      </c>
      <c r="AV184" s="234">
        <v>121</v>
      </c>
      <c r="AW184" s="235">
        <v>119</v>
      </c>
      <c r="AX184" s="68">
        <v>115</v>
      </c>
      <c r="AY184" s="68">
        <v>120</v>
      </c>
      <c r="AZ184" s="68">
        <v>127</v>
      </c>
      <c r="BA184" s="293">
        <v>128</v>
      </c>
      <c r="BB184" s="293">
        <v>123</v>
      </c>
      <c r="BC184" s="293">
        <v>119</v>
      </c>
      <c r="BD184" s="314">
        <v>113</v>
      </c>
      <c r="BE184" s="314">
        <v>117</v>
      </c>
      <c r="BF184" s="314">
        <v>123</v>
      </c>
      <c r="BG184" s="314">
        <v>125</v>
      </c>
      <c r="BH184" s="314">
        <v>127</v>
      </c>
      <c r="BI184" s="385">
        <f>(BG184-BF184)/BF184</f>
        <v>1.6260162601626018E-2</v>
      </c>
      <c r="BJ184" s="385">
        <f>(BH184-BG184)/BG184</f>
        <v>1.6E-2</v>
      </c>
      <c r="BK184" s="569">
        <f>BG184-BF184</f>
        <v>2</v>
      </c>
      <c r="BL184" s="569">
        <f>BH184-BG184</f>
        <v>2</v>
      </c>
      <c r="BM184" s="331"/>
      <c r="BN184" s="331"/>
    </row>
    <row r="185" spans="1:66" ht="6" customHeight="1">
      <c r="A185" s="125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M185" s="71"/>
      <c r="AN185" s="71"/>
      <c r="AO185" s="71"/>
      <c r="AP185" s="71"/>
      <c r="AQ185" s="71"/>
      <c r="AR185" s="71"/>
      <c r="AS185" s="71"/>
      <c r="AT185" s="71"/>
      <c r="AU185" s="71"/>
      <c r="AV185" s="158"/>
      <c r="AW185" s="257"/>
      <c r="AX185" s="68"/>
      <c r="AY185" s="68"/>
      <c r="AZ185" s="308"/>
      <c r="BA185" s="293"/>
      <c r="BB185" s="293"/>
      <c r="BC185" s="471"/>
      <c r="BD185" s="309"/>
      <c r="BE185" s="309"/>
      <c r="BF185" s="309"/>
      <c r="BG185" s="309"/>
      <c r="BH185" s="309"/>
      <c r="BI185" s="329"/>
      <c r="BJ185" s="329"/>
      <c r="BK185" s="570"/>
      <c r="BL185" s="570"/>
      <c r="BM185" s="331"/>
      <c r="BN185" s="331"/>
    </row>
    <row r="186" spans="1:66" ht="11.1" customHeight="1">
      <c r="A186" s="294" t="s">
        <v>150</v>
      </c>
      <c r="B186" s="28">
        <v>2410</v>
      </c>
      <c r="C186" s="28">
        <v>2429</v>
      </c>
      <c r="D186" s="28">
        <v>2474</v>
      </c>
      <c r="E186" s="28">
        <v>2468</v>
      </c>
      <c r="F186" s="28">
        <v>2479</v>
      </c>
      <c r="G186" s="28">
        <v>2474</v>
      </c>
      <c r="H186" s="28">
        <v>1988</v>
      </c>
      <c r="I186" s="28">
        <v>1987</v>
      </c>
      <c r="J186" s="28">
        <v>1906</v>
      </c>
      <c r="K186" s="28">
        <v>1907</v>
      </c>
      <c r="L186" s="12">
        <v>1917</v>
      </c>
      <c r="M186" s="12">
        <v>1731</v>
      </c>
      <c r="N186" s="12">
        <v>1676</v>
      </c>
      <c r="O186" s="12">
        <v>1765</v>
      </c>
      <c r="P186" s="12">
        <v>1874</v>
      </c>
      <c r="Q186" s="12">
        <v>1986</v>
      </c>
      <c r="R186" s="12">
        <v>2085</v>
      </c>
      <c r="S186" s="12">
        <v>2066</v>
      </c>
      <c r="T186" s="12">
        <v>2053</v>
      </c>
      <c r="U186" s="12">
        <v>2031</v>
      </c>
      <c r="V186" s="12">
        <v>2041</v>
      </c>
      <c r="W186" s="12">
        <v>1852</v>
      </c>
      <c r="X186" s="12">
        <v>1564</v>
      </c>
      <c r="Y186" s="12">
        <v>1307</v>
      </c>
      <c r="Z186" s="12">
        <v>1158</v>
      </c>
      <c r="AA186" s="12">
        <v>914</v>
      </c>
      <c r="AB186" s="12">
        <v>804</v>
      </c>
      <c r="AC186" s="12">
        <v>732</v>
      </c>
      <c r="AD186" s="12">
        <v>710</v>
      </c>
      <c r="AE186" s="12">
        <v>698</v>
      </c>
      <c r="AF186" s="12">
        <v>664</v>
      </c>
      <c r="AG186" s="12">
        <v>629</v>
      </c>
      <c r="AH186" s="12">
        <v>613</v>
      </c>
      <c r="AI186" s="12">
        <v>625</v>
      </c>
      <c r="AJ186" s="12">
        <v>608</v>
      </c>
      <c r="AK186" s="12">
        <v>416</v>
      </c>
      <c r="AL186" s="12">
        <v>86</v>
      </c>
      <c r="AM186" s="18" t="s">
        <v>10</v>
      </c>
      <c r="AN186" s="18" t="s">
        <v>3</v>
      </c>
      <c r="AO186" s="18" t="s">
        <v>3</v>
      </c>
      <c r="AP186" s="18" t="s">
        <v>3</v>
      </c>
      <c r="AQ186" s="18" t="s">
        <v>3</v>
      </c>
      <c r="AR186" s="18" t="s">
        <v>3</v>
      </c>
      <c r="AS186" s="18" t="s">
        <v>3</v>
      </c>
      <c r="AT186" s="18" t="s">
        <v>3</v>
      </c>
      <c r="AU186" s="18" t="s">
        <v>3</v>
      </c>
      <c r="AV186" s="18" t="s">
        <v>3</v>
      </c>
      <c r="AW186" s="18" t="s">
        <v>3</v>
      </c>
      <c r="AX186" s="18" t="s">
        <v>3</v>
      </c>
      <c r="AY186" s="18" t="s">
        <v>3</v>
      </c>
      <c r="AZ186" s="30" t="s">
        <v>3</v>
      </c>
      <c r="BA186" s="369" t="s">
        <v>3</v>
      </c>
      <c r="BB186" s="369" t="s">
        <v>3</v>
      </c>
      <c r="BC186" s="369" t="s">
        <v>3</v>
      </c>
      <c r="BD186" s="430" t="s">
        <v>3</v>
      </c>
      <c r="BE186" s="430" t="s">
        <v>3</v>
      </c>
      <c r="BF186" s="430" t="s">
        <v>3</v>
      </c>
      <c r="BG186" s="430" t="s">
        <v>3</v>
      </c>
      <c r="BH186" s="430" t="s">
        <v>3</v>
      </c>
      <c r="BI186" s="419" t="s">
        <v>9</v>
      </c>
      <c r="BJ186" s="419" t="s">
        <v>9</v>
      </c>
      <c r="BK186" s="571"/>
      <c r="BL186" s="571"/>
      <c r="BM186" s="331"/>
      <c r="BN186" s="331"/>
    </row>
    <row r="187" spans="1:66" ht="6" customHeight="1">
      <c r="A187" s="125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M187" s="71"/>
      <c r="AN187" s="71"/>
      <c r="AO187" s="71"/>
      <c r="AP187" s="71"/>
      <c r="AQ187" s="71"/>
      <c r="AR187" s="71"/>
      <c r="AS187" s="71"/>
      <c r="AT187" s="71"/>
      <c r="AU187" s="71"/>
      <c r="AV187" s="158"/>
      <c r="AW187" s="257"/>
      <c r="AX187" s="68"/>
      <c r="AY187" s="68"/>
      <c r="AZ187" s="308"/>
      <c r="BA187" s="293"/>
      <c r="BB187" s="293"/>
      <c r="BC187" s="471"/>
      <c r="BD187" s="309"/>
      <c r="BE187" s="309"/>
      <c r="BF187" s="309"/>
      <c r="BG187" s="309"/>
      <c r="BH187" s="309"/>
      <c r="BI187" s="385"/>
      <c r="BJ187" s="385"/>
      <c r="BK187" s="571"/>
      <c r="BL187" s="571"/>
      <c r="BM187" s="331"/>
      <c r="BN187" s="331"/>
    </row>
    <row r="188" spans="1:66" ht="11.1" customHeight="1">
      <c r="A188" s="129" t="s">
        <v>151</v>
      </c>
      <c r="B188" s="28">
        <v>307</v>
      </c>
      <c r="C188" s="28">
        <v>286</v>
      </c>
      <c r="D188" s="28">
        <v>282</v>
      </c>
      <c r="E188" s="28">
        <v>226</v>
      </c>
      <c r="F188" s="28">
        <v>225</v>
      </c>
      <c r="G188" s="28">
        <v>184</v>
      </c>
      <c r="H188" s="28">
        <v>179</v>
      </c>
      <c r="I188" s="28">
        <v>175</v>
      </c>
      <c r="J188" s="28">
        <v>185</v>
      </c>
      <c r="K188" s="28">
        <v>200</v>
      </c>
      <c r="L188" s="14">
        <v>235</v>
      </c>
      <c r="M188" s="14">
        <v>237</v>
      </c>
      <c r="N188" s="14">
        <v>230</v>
      </c>
      <c r="O188" s="14">
        <v>217</v>
      </c>
      <c r="P188" s="14">
        <v>194</v>
      </c>
      <c r="Q188" s="14">
        <v>191</v>
      </c>
      <c r="R188" s="14">
        <v>192</v>
      </c>
      <c r="S188" s="14">
        <v>178</v>
      </c>
      <c r="T188" s="14">
        <v>166</v>
      </c>
      <c r="U188" s="14">
        <v>85</v>
      </c>
      <c r="V188" s="86" t="s">
        <v>3</v>
      </c>
      <c r="W188" s="86" t="s">
        <v>3</v>
      </c>
      <c r="X188" s="86" t="s">
        <v>3</v>
      </c>
      <c r="Y188" s="86" t="s">
        <v>3</v>
      </c>
      <c r="Z188" s="86" t="s">
        <v>3</v>
      </c>
      <c r="AA188" s="86" t="s">
        <v>3</v>
      </c>
      <c r="AB188" s="86" t="s">
        <v>3</v>
      </c>
      <c r="AC188" s="86" t="s">
        <v>3</v>
      </c>
      <c r="AD188" s="86" t="s">
        <v>3</v>
      </c>
      <c r="AE188" s="86" t="s">
        <v>3</v>
      </c>
      <c r="AF188" s="86" t="s">
        <v>3</v>
      </c>
      <c r="AG188" s="86" t="s">
        <v>3</v>
      </c>
      <c r="AH188" s="86" t="s">
        <v>3</v>
      </c>
      <c r="AI188" s="86" t="s">
        <v>3</v>
      </c>
      <c r="AJ188" s="86" t="s">
        <v>3</v>
      </c>
      <c r="AK188" s="86" t="s">
        <v>3</v>
      </c>
      <c r="AL188" s="86" t="s">
        <v>3</v>
      </c>
      <c r="AM188" s="86" t="s">
        <v>3</v>
      </c>
      <c r="AN188" s="86" t="s">
        <v>3</v>
      </c>
      <c r="AO188" s="86" t="s">
        <v>3</v>
      </c>
      <c r="AP188" s="86" t="s">
        <v>3</v>
      </c>
      <c r="AQ188" s="86" t="s">
        <v>3</v>
      </c>
      <c r="AR188" s="86" t="s">
        <v>3</v>
      </c>
      <c r="AS188" s="86" t="s">
        <v>3</v>
      </c>
      <c r="AT188" s="86" t="s">
        <v>3</v>
      </c>
      <c r="AU188" s="86" t="s">
        <v>3</v>
      </c>
      <c r="AV188" s="86" t="s">
        <v>3</v>
      </c>
      <c r="AW188" s="86" t="s">
        <v>3</v>
      </c>
      <c r="AX188" s="86" t="s">
        <v>3</v>
      </c>
      <c r="AY188" s="86" t="s">
        <v>3</v>
      </c>
      <c r="AZ188" s="102" t="s">
        <v>3</v>
      </c>
      <c r="BA188" s="365" t="s">
        <v>3</v>
      </c>
      <c r="BB188" s="365" t="s">
        <v>3</v>
      </c>
      <c r="BC188" s="365" t="s">
        <v>3</v>
      </c>
      <c r="BD188" s="314" t="s">
        <v>3</v>
      </c>
      <c r="BE188" s="314" t="s">
        <v>3</v>
      </c>
      <c r="BF188" s="314" t="s">
        <v>3</v>
      </c>
      <c r="BG188" s="314" t="s">
        <v>3</v>
      </c>
      <c r="BH188" s="314" t="s">
        <v>3</v>
      </c>
      <c r="BI188" s="419" t="s">
        <v>9</v>
      </c>
      <c r="BJ188" s="419" t="s">
        <v>9</v>
      </c>
      <c r="BK188" s="571"/>
      <c r="BL188" s="571"/>
      <c r="BM188" s="331"/>
      <c r="BN188" s="331"/>
    </row>
    <row r="189" spans="1:66" ht="12.75" customHeight="1" thickBot="1">
      <c r="A189" s="128" t="s">
        <v>48</v>
      </c>
      <c r="B189" s="150">
        <f>B165+B173+B178+B180+B182+B186+B188</f>
        <v>10300</v>
      </c>
      <c r="C189" s="150">
        <f>C165+C173+C178+C180+C182+C186+C188</f>
        <v>10535</v>
      </c>
      <c r="D189" s="150">
        <f t="shared" ref="D189:S189" si="74">D165+D173+D178+D180+D182+D186+D188+D184</f>
        <v>11071</v>
      </c>
      <c r="E189" s="150">
        <f t="shared" si="74"/>
        <v>11586</v>
      </c>
      <c r="F189" s="150">
        <f t="shared" si="74"/>
        <v>11283</v>
      </c>
      <c r="G189" s="150">
        <f t="shared" si="74"/>
        <v>14619</v>
      </c>
      <c r="H189" s="150">
        <f t="shared" si="74"/>
        <v>13719</v>
      </c>
      <c r="I189" s="150">
        <f t="shared" si="74"/>
        <v>14694</v>
      </c>
      <c r="J189" s="150">
        <f t="shared" si="74"/>
        <v>15017</v>
      </c>
      <c r="K189" s="150">
        <f t="shared" si="74"/>
        <v>15356</v>
      </c>
      <c r="L189" s="150">
        <f t="shared" si="74"/>
        <v>19791</v>
      </c>
      <c r="M189" s="150">
        <f t="shared" si="74"/>
        <v>18888</v>
      </c>
      <c r="N189" s="150">
        <f t="shared" si="74"/>
        <v>17485</v>
      </c>
      <c r="O189" s="150">
        <f t="shared" si="74"/>
        <v>10920</v>
      </c>
      <c r="P189" s="150">
        <f t="shared" si="74"/>
        <v>11499</v>
      </c>
      <c r="Q189" s="150">
        <f t="shared" si="74"/>
        <v>14464</v>
      </c>
      <c r="R189" s="150">
        <f t="shared" si="74"/>
        <v>15066</v>
      </c>
      <c r="S189" s="150">
        <f t="shared" si="74"/>
        <v>10920</v>
      </c>
      <c r="T189" s="150">
        <f>T165+T173+T178+T180+T182+T186+T188+T184+T168</f>
        <v>11437</v>
      </c>
      <c r="U189" s="150">
        <f>U165+U173+U178+U180+U182+U186+U188+U184+U168</f>
        <v>11752</v>
      </c>
      <c r="V189" s="150">
        <f t="shared" ref="V189:AA189" si="75">V165+V173+V178+V180+V182+V186+V184+V168</f>
        <v>12326</v>
      </c>
      <c r="W189" s="150">
        <f t="shared" si="75"/>
        <v>10944</v>
      </c>
      <c r="X189" s="150">
        <f t="shared" si="75"/>
        <v>11637</v>
      </c>
      <c r="Y189" s="150">
        <f t="shared" si="75"/>
        <v>10425</v>
      </c>
      <c r="Z189" s="150">
        <f t="shared" si="75"/>
        <v>9909</v>
      </c>
      <c r="AA189" s="150">
        <f t="shared" si="75"/>
        <v>9171</v>
      </c>
      <c r="AB189" s="150">
        <f>AB165+AB173+AB180+AB182+AB186+AB184+AB168</f>
        <v>8799</v>
      </c>
      <c r="AC189" s="150">
        <f>AC165+AC173+AC180+AC182+AC186+AC184+AC168</f>
        <v>8581</v>
      </c>
      <c r="AD189" s="150">
        <f>AD165+AD173+AD180+AD182+AD186+AD184+AD168</f>
        <v>8560</v>
      </c>
      <c r="AE189" s="150">
        <f>AE165+AE173+AE180+AE182+AE186+AE184+AE168</f>
        <v>8464</v>
      </c>
      <c r="AF189" s="150">
        <f t="shared" ref="AF189:AL189" si="76">AF165+AF173+AF180+AF182+AF186+AF184+AF168+AF176</f>
        <v>8234</v>
      </c>
      <c r="AG189" s="150">
        <f t="shared" si="76"/>
        <v>8503</v>
      </c>
      <c r="AH189" s="150">
        <f t="shared" si="76"/>
        <v>8676</v>
      </c>
      <c r="AI189" s="150">
        <f t="shared" si="76"/>
        <v>8506</v>
      </c>
      <c r="AJ189" s="150">
        <f t="shared" si="76"/>
        <v>8403</v>
      </c>
      <c r="AK189" s="150">
        <f t="shared" si="76"/>
        <v>8357</v>
      </c>
      <c r="AL189" s="150">
        <f t="shared" si="76"/>
        <v>7354.2608695652179</v>
      </c>
      <c r="AM189" s="150">
        <f t="shared" ref="AM189:BH189" si="77">AM165+AM173+AM180+AM182+AM184+AM168+AM176</f>
        <v>6862</v>
      </c>
      <c r="AN189" s="150">
        <f t="shared" si="77"/>
        <v>6964</v>
      </c>
      <c r="AO189" s="150">
        <f t="shared" si="77"/>
        <v>6794</v>
      </c>
      <c r="AP189" s="150">
        <f t="shared" si="77"/>
        <v>6723</v>
      </c>
      <c r="AQ189" s="150">
        <f t="shared" si="77"/>
        <v>6669.6119402985078</v>
      </c>
      <c r="AR189" s="150">
        <f t="shared" si="77"/>
        <v>6746</v>
      </c>
      <c r="AS189" s="150">
        <f t="shared" si="77"/>
        <v>6787</v>
      </c>
      <c r="AT189" s="150">
        <f t="shared" si="77"/>
        <v>6791</v>
      </c>
      <c r="AU189" s="150">
        <f t="shared" si="77"/>
        <v>6667</v>
      </c>
      <c r="AV189" s="150">
        <f t="shared" si="77"/>
        <v>6546</v>
      </c>
      <c r="AW189" s="150">
        <f t="shared" si="77"/>
        <v>6369.135135135135</v>
      </c>
      <c r="AX189" s="150">
        <f t="shared" si="77"/>
        <v>6377</v>
      </c>
      <c r="AY189" s="150">
        <f t="shared" si="77"/>
        <v>6692.119565217391</v>
      </c>
      <c r="AZ189" s="150">
        <f t="shared" si="77"/>
        <v>6595</v>
      </c>
      <c r="BA189" s="150">
        <f t="shared" si="77"/>
        <v>6648</v>
      </c>
      <c r="BB189" s="150">
        <f t="shared" si="77"/>
        <v>6498</v>
      </c>
      <c r="BC189" s="400">
        <f t="shared" si="77"/>
        <v>6485</v>
      </c>
      <c r="BD189" s="527">
        <f t="shared" si="77"/>
        <v>6412</v>
      </c>
      <c r="BE189" s="527">
        <f t="shared" si="77"/>
        <v>6412</v>
      </c>
      <c r="BF189" s="527">
        <f t="shared" si="77"/>
        <v>6414</v>
      </c>
      <c r="BG189" s="527">
        <f t="shared" si="77"/>
        <v>6712</v>
      </c>
      <c r="BH189" s="527">
        <f t="shared" si="77"/>
        <v>6482</v>
      </c>
      <c r="BI189" s="422">
        <f>(BG189-BF189)/BF189</f>
        <v>4.6460866853757408E-2</v>
      </c>
      <c r="BJ189" s="422">
        <f>(BH189-BG189)/BG189</f>
        <v>-3.4266984505363529E-2</v>
      </c>
      <c r="BK189" s="574">
        <f>BG189-BF189</f>
        <v>298</v>
      </c>
      <c r="BL189" s="574">
        <f>BH189-BG189</f>
        <v>-230</v>
      </c>
      <c r="BM189" s="331"/>
      <c r="BN189" s="331"/>
    </row>
    <row r="190" spans="1:66" ht="11.1" customHeight="1">
      <c r="A190" s="125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M190" s="71"/>
      <c r="AN190" s="71"/>
      <c r="AO190" s="71"/>
      <c r="AP190" s="71"/>
      <c r="AQ190" s="71"/>
      <c r="AR190" s="71"/>
      <c r="AS190" s="71"/>
      <c r="AT190" s="71"/>
      <c r="AU190" s="71"/>
      <c r="AV190" s="158"/>
      <c r="AW190" s="256"/>
      <c r="AX190" s="237"/>
      <c r="AY190" s="237"/>
      <c r="AZ190" s="308"/>
      <c r="BA190" s="293"/>
      <c r="BB190" s="293"/>
      <c r="BC190" s="471"/>
      <c r="BD190" s="309"/>
      <c r="BE190" s="309"/>
      <c r="BF190" s="309"/>
      <c r="BG190" s="309"/>
      <c r="BH190" s="309"/>
      <c r="BI190" s="385"/>
      <c r="BJ190" s="385"/>
      <c r="BK190" s="356"/>
      <c r="BL190" s="356"/>
      <c r="BM190" s="331"/>
      <c r="BN190" s="331"/>
    </row>
    <row r="191" spans="1:66" ht="15.75" customHeight="1">
      <c r="A191" s="167" t="s">
        <v>49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61"/>
      <c r="AT191" s="161"/>
      <c r="AU191" s="161"/>
      <c r="AV191" s="161"/>
      <c r="AW191" s="161"/>
      <c r="AX191" s="161"/>
      <c r="AY191" s="161"/>
      <c r="AZ191" s="161"/>
      <c r="BA191" s="161"/>
      <c r="BB191" s="161"/>
      <c r="BC191" s="161"/>
      <c r="BD191" s="161"/>
      <c r="BE191" s="161"/>
      <c r="BF191" s="221"/>
      <c r="BG191" s="221"/>
      <c r="BH191" s="221"/>
      <c r="BI191" s="385"/>
      <c r="BJ191" s="385"/>
      <c r="BK191" s="356" t="s">
        <v>79</v>
      </c>
      <c r="BL191" s="356"/>
      <c r="BM191" s="331"/>
      <c r="BN191" s="331"/>
    </row>
    <row r="192" spans="1:66" ht="6" customHeight="1">
      <c r="A192" s="125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M192" s="71"/>
      <c r="AN192" s="71"/>
      <c r="AO192" s="71"/>
      <c r="AP192" s="71"/>
      <c r="AQ192" s="71"/>
      <c r="AR192" s="71"/>
      <c r="AS192" s="71"/>
      <c r="AT192" s="71"/>
      <c r="AU192" s="71"/>
      <c r="AV192" s="158"/>
      <c r="AW192" s="256"/>
      <c r="AX192" s="237"/>
      <c r="AY192" s="237"/>
      <c r="AZ192" s="308"/>
      <c r="BA192" s="293"/>
      <c r="BB192" s="293"/>
      <c r="BC192" s="471"/>
      <c r="BD192" s="309"/>
      <c r="BE192" s="309"/>
      <c r="BF192" s="309"/>
      <c r="BG192" s="309"/>
      <c r="BH192" s="309"/>
      <c r="BI192" s="385"/>
      <c r="BJ192" s="385"/>
      <c r="BK192" s="356"/>
      <c r="BL192" s="356"/>
      <c r="BM192" s="331"/>
      <c r="BN192" s="331"/>
    </row>
    <row r="193" spans="1:66" ht="11.1" customHeight="1">
      <c r="A193" s="129" t="s">
        <v>152</v>
      </c>
      <c r="B193" s="18" t="s">
        <v>3</v>
      </c>
      <c r="C193" s="18" t="s">
        <v>3</v>
      </c>
      <c r="D193" s="18" t="s">
        <v>3</v>
      </c>
      <c r="E193" s="18" t="s">
        <v>3</v>
      </c>
      <c r="F193" s="18" t="s">
        <v>3</v>
      </c>
      <c r="G193" s="18" t="s">
        <v>3</v>
      </c>
      <c r="H193" s="18" t="s">
        <v>3</v>
      </c>
      <c r="I193" s="18" t="s">
        <v>3</v>
      </c>
      <c r="J193" s="18" t="s">
        <v>3</v>
      </c>
      <c r="K193" s="18" t="s">
        <v>3</v>
      </c>
      <c r="L193" s="18" t="s">
        <v>3</v>
      </c>
      <c r="M193" s="12">
        <v>3</v>
      </c>
      <c r="N193" s="12">
        <v>27</v>
      </c>
      <c r="O193" s="12">
        <v>37</v>
      </c>
      <c r="P193" s="12">
        <v>37</v>
      </c>
      <c r="Q193" s="12">
        <v>37</v>
      </c>
      <c r="R193" s="12">
        <v>40</v>
      </c>
      <c r="S193" s="12">
        <v>35</v>
      </c>
      <c r="T193" s="12">
        <v>35</v>
      </c>
      <c r="U193" s="12">
        <v>27</v>
      </c>
      <c r="V193" s="12">
        <v>21</v>
      </c>
      <c r="W193" s="18" t="s">
        <v>3</v>
      </c>
      <c r="X193" s="18" t="s">
        <v>3</v>
      </c>
      <c r="Y193" s="18" t="s">
        <v>3</v>
      </c>
      <c r="Z193" s="18" t="s">
        <v>3</v>
      </c>
      <c r="AA193" s="18" t="s">
        <v>3</v>
      </c>
      <c r="AB193" s="18" t="s">
        <v>3</v>
      </c>
      <c r="AC193" s="18" t="s">
        <v>3</v>
      </c>
      <c r="AD193" s="18" t="s">
        <v>3</v>
      </c>
      <c r="AE193" s="18" t="s">
        <v>3</v>
      </c>
      <c r="AF193" s="18" t="s">
        <v>3</v>
      </c>
      <c r="AG193" s="18" t="s">
        <v>3</v>
      </c>
      <c r="AH193" s="18" t="s">
        <v>3</v>
      </c>
      <c r="AI193" s="18" t="s">
        <v>3</v>
      </c>
      <c r="AJ193" s="18" t="s">
        <v>3</v>
      </c>
      <c r="AK193" s="18" t="s">
        <v>3</v>
      </c>
      <c r="AL193" s="18" t="s">
        <v>3</v>
      </c>
      <c r="AM193" s="18" t="s">
        <v>3</v>
      </c>
      <c r="AN193" s="18" t="s">
        <v>3</v>
      </c>
      <c r="AO193" s="18" t="s">
        <v>3</v>
      </c>
      <c r="AP193" s="18" t="s">
        <v>3</v>
      </c>
      <c r="AQ193" s="18" t="s">
        <v>3</v>
      </c>
      <c r="AR193" s="18" t="s">
        <v>3</v>
      </c>
      <c r="AS193" s="18" t="s">
        <v>3</v>
      </c>
      <c r="AT193" s="18" t="s">
        <v>3</v>
      </c>
      <c r="AU193" s="18" t="s">
        <v>3</v>
      </c>
      <c r="AV193" s="30" t="s">
        <v>3</v>
      </c>
      <c r="AW193" s="30" t="s">
        <v>3</v>
      </c>
      <c r="AX193" s="30" t="s">
        <v>3</v>
      </c>
      <c r="AY193" s="30" t="s">
        <v>3</v>
      </c>
      <c r="AZ193" s="30" t="s">
        <v>3</v>
      </c>
      <c r="BA193" s="369" t="s">
        <v>3</v>
      </c>
      <c r="BB193" s="369" t="s">
        <v>3</v>
      </c>
      <c r="BC193" s="369" t="s">
        <v>3</v>
      </c>
      <c r="BD193" s="430" t="s">
        <v>3</v>
      </c>
      <c r="BE193" s="430" t="s">
        <v>3</v>
      </c>
      <c r="BF193" s="430" t="s">
        <v>3</v>
      </c>
      <c r="BG193" s="430" t="s">
        <v>3</v>
      </c>
      <c r="BH193" s="430" t="s">
        <v>3</v>
      </c>
      <c r="BI193" s="419" t="s">
        <v>9</v>
      </c>
      <c r="BJ193" s="419" t="s">
        <v>9</v>
      </c>
      <c r="BK193" s="419" t="s">
        <v>9</v>
      </c>
      <c r="BL193" s="419" t="s">
        <v>9</v>
      </c>
      <c r="BM193" s="331"/>
      <c r="BN193" s="331"/>
    </row>
    <row r="194" spans="1:66" ht="6" customHeight="1">
      <c r="A194" s="125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M194" s="71"/>
      <c r="AN194" s="71"/>
      <c r="AO194" s="71"/>
      <c r="AP194" s="71"/>
      <c r="AQ194" s="71"/>
      <c r="AR194" s="71"/>
      <c r="AS194" s="71"/>
      <c r="AT194" s="71"/>
      <c r="AU194" s="71"/>
      <c r="AV194" s="30"/>
      <c r="AW194" s="257"/>
      <c r="AX194" s="68"/>
      <c r="AY194" s="68"/>
      <c r="AZ194" s="68"/>
      <c r="BA194" s="293"/>
      <c r="BB194" s="293"/>
      <c r="BC194" s="293"/>
      <c r="BD194" s="314"/>
      <c r="BE194" s="309"/>
      <c r="BF194" s="309"/>
      <c r="BG194" s="314"/>
      <c r="BH194" s="309"/>
      <c r="BI194" s="385"/>
      <c r="BJ194" s="385"/>
      <c r="BK194" s="356"/>
      <c r="BL194" s="356"/>
      <c r="BM194" s="331"/>
      <c r="BN194" s="331"/>
    </row>
    <row r="195" spans="1:66" ht="11.1" customHeight="1">
      <c r="A195" s="129" t="s">
        <v>153</v>
      </c>
      <c r="B195" s="18" t="s">
        <v>3</v>
      </c>
      <c r="C195" s="18" t="s">
        <v>3</v>
      </c>
      <c r="D195" s="18" t="s">
        <v>3</v>
      </c>
      <c r="E195" s="18" t="s">
        <v>3</v>
      </c>
      <c r="F195" s="18" t="s">
        <v>3</v>
      </c>
      <c r="G195" s="18" t="s">
        <v>3</v>
      </c>
      <c r="H195" s="18" t="s">
        <v>3</v>
      </c>
      <c r="I195" s="18" t="s">
        <v>3</v>
      </c>
      <c r="J195" s="18" t="s">
        <v>3</v>
      </c>
      <c r="K195" s="18" t="s">
        <v>3</v>
      </c>
      <c r="L195" s="18" t="s">
        <v>3</v>
      </c>
      <c r="M195" s="18" t="s">
        <v>3</v>
      </c>
      <c r="N195" s="18" t="s">
        <v>3</v>
      </c>
      <c r="O195" s="18" t="s">
        <v>3</v>
      </c>
      <c r="P195" s="18" t="s">
        <v>3</v>
      </c>
      <c r="Q195" s="12">
        <v>17</v>
      </c>
      <c r="R195" s="12">
        <v>57</v>
      </c>
      <c r="S195" s="12">
        <v>46</v>
      </c>
      <c r="T195" s="12">
        <v>52</v>
      </c>
      <c r="U195" s="12">
        <v>90</v>
      </c>
      <c r="V195" s="12">
        <v>230</v>
      </c>
      <c r="W195" s="12">
        <v>105</v>
      </c>
      <c r="X195" s="18">
        <v>0</v>
      </c>
      <c r="Y195" s="18" t="s">
        <v>3</v>
      </c>
      <c r="Z195" s="18" t="s">
        <v>3</v>
      </c>
      <c r="AA195" s="18" t="s">
        <v>3</v>
      </c>
      <c r="AB195" s="18" t="s">
        <v>3</v>
      </c>
      <c r="AC195" s="18" t="s">
        <v>3</v>
      </c>
      <c r="AD195" s="18" t="s">
        <v>3</v>
      </c>
      <c r="AE195" s="18" t="s">
        <v>3</v>
      </c>
      <c r="AF195" s="18" t="s">
        <v>3</v>
      </c>
      <c r="AG195" s="18" t="s">
        <v>3</v>
      </c>
      <c r="AH195" s="18" t="s">
        <v>3</v>
      </c>
      <c r="AI195" s="18" t="s">
        <v>3</v>
      </c>
      <c r="AJ195" s="18" t="s">
        <v>3</v>
      </c>
      <c r="AK195" s="18" t="s">
        <v>3</v>
      </c>
      <c r="AL195" s="18" t="s">
        <v>3</v>
      </c>
      <c r="AM195" s="18" t="s">
        <v>3</v>
      </c>
      <c r="AN195" s="18" t="s">
        <v>3</v>
      </c>
      <c r="AO195" s="18" t="s">
        <v>3</v>
      </c>
      <c r="AP195" s="18" t="s">
        <v>3</v>
      </c>
      <c r="AQ195" s="18" t="s">
        <v>3</v>
      </c>
      <c r="AR195" s="18" t="s">
        <v>3</v>
      </c>
      <c r="AS195" s="18" t="s">
        <v>3</v>
      </c>
      <c r="AT195" s="18" t="s">
        <v>3</v>
      </c>
      <c r="AU195" s="18" t="s">
        <v>3</v>
      </c>
      <c r="AV195" s="30" t="s">
        <v>3</v>
      </c>
      <c r="AW195" s="30" t="s">
        <v>3</v>
      </c>
      <c r="AX195" s="30" t="s">
        <v>3</v>
      </c>
      <c r="AY195" s="30" t="s">
        <v>3</v>
      </c>
      <c r="AZ195" s="30" t="s">
        <v>3</v>
      </c>
      <c r="BA195" s="369" t="s">
        <v>3</v>
      </c>
      <c r="BB195" s="369" t="s">
        <v>3</v>
      </c>
      <c r="BC195" s="369" t="s">
        <v>3</v>
      </c>
      <c r="BD195" s="430" t="s">
        <v>3</v>
      </c>
      <c r="BE195" s="430" t="s">
        <v>3</v>
      </c>
      <c r="BF195" s="430" t="s">
        <v>3</v>
      </c>
      <c r="BG195" s="430" t="s">
        <v>3</v>
      </c>
      <c r="BH195" s="314" t="s">
        <v>3</v>
      </c>
      <c r="BI195" s="419" t="s">
        <v>9</v>
      </c>
      <c r="BJ195" s="419" t="s">
        <v>9</v>
      </c>
      <c r="BK195" s="419" t="s">
        <v>9</v>
      </c>
      <c r="BL195" s="419" t="s">
        <v>9</v>
      </c>
      <c r="BM195" s="331"/>
      <c r="BN195" s="331"/>
    </row>
    <row r="196" spans="1:66" ht="6" customHeight="1">
      <c r="A196" s="125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M196" s="71"/>
      <c r="AN196" s="71"/>
      <c r="AO196" s="71"/>
      <c r="AP196" s="71"/>
      <c r="AQ196" s="71"/>
      <c r="AR196" s="71"/>
      <c r="AS196" s="71"/>
      <c r="AT196" s="71"/>
      <c r="AU196" s="71"/>
      <c r="AV196" s="30"/>
      <c r="AW196" s="257"/>
      <c r="AX196" s="68"/>
      <c r="AY196" s="68"/>
      <c r="AZ196" s="308"/>
      <c r="BA196" s="293"/>
      <c r="BB196" s="293"/>
      <c r="BC196" s="471"/>
      <c r="BD196" s="314"/>
      <c r="BE196" s="309"/>
      <c r="BF196" s="309"/>
      <c r="BG196" s="314"/>
      <c r="BH196" s="314"/>
      <c r="BI196" s="385"/>
      <c r="BJ196" s="385"/>
      <c r="BK196" s="356"/>
      <c r="BL196" s="356"/>
      <c r="BM196" s="331"/>
      <c r="BN196" s="331"/>
    </row>
    <row r="197" spans="1:66" ht="11.1" customHeight="1">
      <c r="A197" s="126" t="s">
        <v>50</v>
      </c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M197" s="71"/>
      <c r="AN197" s="71"/>
      <c r="AO197" s="71"/>
      <c r="AP197" s="71"/>
      <c r="AQ197" s="71"/>
      <c r="AR197" s="71"/>
      <c r="AS197" s="71"/>
      <c r="AT197" s="71"/>
      <c r="AU197" s="71"/>
      <c r="AV197" s="30"/>
      <c r="AW197" s="257"/>
      <c r="AX197" s="68"/>
      <c r="AY197" s="68"/>
      <c r="AZ197" s="308"/>
      <c r="BA197" s="293"/>
      <c r="BB197" s="293"/>
      <c r="BC197" s="471"/>
      <c r="BD197" s="309"/>
      <c r="BE197" s="309"/>
      <c r="BF197" s="309"/>
      <c r="BG197" s="309"/>
      <c r="BH197" s="309"/>
      <c r="BI197" s="385"/>
      <c r="BJ197" s="385"/>
      <c r="BK197" s="356"/>
      <c r="BL197" s="356"/>
      <c r="BM197" s="331"/>
      <c r="BN197" s="331"/>
    </row>
    <row r="198" spans="1:66" ht="11.1" customHeight="1">
      <c r="A198" s="129" t="s">
        <v>154</v>
      </c>
      <c r="B198" s="28">
        <v>228</v>
      </c>
      <c r="C198" s="28">
        <v>226</v>
      </c>
      <c r="D198" s="28">
        <v>256</v>
      </c>
      <c r="E198" s="28">
        <v>264</v>
      </c>
      <c r="F198" s="28">
        <v>264</v>
      </c>
      <c r="G198" s="28">
        <v>275</v>
      </c>
      <c r="H198" s="28">
        <v>259</v>
      </c>
      <c r="I198" s="28">
        <v>279</v>
      </c>
      <c r="J198" s="28">
        <v>278</v>
      </c>
      <c r="K198" s="28">
        <v>274</v>
      </c>
      <c r="L198" s="13">
        <v>259</v>
      </c>
      <c r="M198" s="13">
        <v>243</v>
      </c>
      <c r="N198" s="13">
        <v>312</v>
      </c>
      <c r="O198" s="13">
        <v>255</v>
      </c>
      <c r="P198" s="13">
        <v>274</v>
      </c>
      <c r="Q198" s="13">
        <v>306</v>
      </c>
      <c r="R198" s="13">
        <v>265</v>
      </c>
      <c r="S198" s="13">
        <v>221</v>
      </c>
      <c r="T198" s="13">
        <v>181</v>
      </c>
      <c r="U198" s="13">
        <v>195</v>
      </c>
      <c r="V198" s="13">
        <v>326</v>
      </c>
      <c r="W198" s="13">
        <v>397</v>
      </c>
      <c r="X198" s="13">
        <v>359</v>
      </c>
      <c r="Y198" s="13">
        <v>405</v>
      </c>
      <c r="Z198" s="13">
        <v>512</v>
      </c>
      <c r="AA198" s="13">
        <v>576</v>
      </c>
      <c r="AB198" s="13">
        <v>686</v>
      </c>
      <c r="AC198" s="13">
        <v>698</v>
      </c>
      <c r="AD198" s="13">
        <v>265</v>
      </c>
      <c r="AE198" s="13">
        <v>254</v>
      </c>
      <c r="AF198" s="13">
        <v>240</v>
      </c>
      <c r="AG198" s="13">
        <v>275</v>
      </c>
      <c r="AH198" s="26">
        <v>246</v>
      </c>
      <c r="AI198" s="13">
        <v>287</v>
      </c>
      <c r="AJ198" s="13">
        <v>309</v>
      </c>
      <c r="AK198" s="13">
        <v>250</v>
      </c>
      <c r="AL198" s="13">
        <v>234</v>
      </c>
      <c r="AM198" s="13">
        <v>228</v>
      </c>
      <c r="AN198" s="71">
        <v>281</v>
      </c>
      <c r="AO198" s="71">
        <v>215</v>
      </c>
      <c r="AP198" s="71">
        <v>221</v>
      </c>
      <c r="AQ198" s="71">
        <v>252</v>
      </c>
      <c r="AR198" s="71">
        <v>277</v>
      </c>
      <c r="AS198" s="26">
        <v>270</v>
      </c>
      <c r="AT198" s="71">
        <v>383</v>
      </c>
      <c r="AU198" s="71">
        <v>345</v>
      </c>
      <c r="AV198" s="30">
        <v>301</v>
      </c>
      <c r="AW198" s="30">
        <v>293.21256038647346</v>
      </c>
      <c r="AX198" s="233">
        <v>285.71428571428572</v>
      </c>
      <c r="AY198" s="233">
        <v>290.74407582938392</v>
      </c>
      <c r="AZ198" s="233">
        <v>286</v>
      </c>
      <c r="BA198" s="314">
        <v>280</v>
      </c>
      <c r="BB198" s="314">
        <v>268</v>
      </c>
      <c r="BC198" s="314">
        <v>264</v>
      </c>
      <c r="BD198" s="314">
        <v>252</v>
      </c>
      <c r="BE198" s="314">
        <v>247</v>
      </c>
      <c r="BF198" s="314">
        <v>276</v>
      </c>
      <c r="BG198" s="314">
        <v>281</v>
      </c>
      <c r="BH198" s="314">
        <v>310</v>
      </c>
      <c r="BI198" s="385">
        <f t="shared" ref="BI198:BJ201" si="78">(BG198-BF198)/BF198</f>
        <v>1.8115942028985508E-2</v>
      </c>
      <c r="BJ198" s="385">
        <f t="shared" si="78"/>
        <v>0.10320284697508897</v>
      </c>
      <c r="BK198" s="569">
        <f t="shared" ref="BK198:BL201" si="79">BG198-BF198</f>
        <v>5</v>
      </c>
      <c r="BL198" s="569">
        <f t="shared" si="79"/>
        <v>29</v>
      </c>
      <c r="BM198" s="331"/>
      <c r="BN198" s="331"/>
    </row>
    <row r="199" spans="1:66" ht="11.1" customHeight="1">
      <c r="A199" s="129" t="s">
        <v>155</v>
      </c>
      <c r="B199" s="18" t="s">
        <v>3</v>
      </c>
      <c r="C199" s="18" t="s">
        <v>3</v>
      </c>
      <c r="D199" s="18" t="s">
        <v>3</v>
      </c>
      <c r="E199" s="18" t="s">
        <v>3</v>
      </c>
      <c r="F199" s="18" t="s">
        <v>3</v>
      </c>
      <c r="G199" s="18" t="s">
        <v>3</v>
      </c>
      <c r="H199" s="18" t="s">
        <v>3</v>
      </c>
      <c r="I199" s="18" t="s">
        <v>3</v>
      </c>
      <c r="J199" s="18" t="s">
        <v>3</v>
      </c>
      <c r="K199" s="18" t="s">
        <v>3</v>
      </c>
      <c r="L199" s="18" t="s">
        <v>3</v>
      </c>
      <c r="M199" s="18" t="s">
        <v>3</v>
      </c>
      <c r="N199" s="18" t="s">
        <v>3</v>
      </c>
      <c r="O199" s="18" t="s">
        <v>3</v>
      </c>
      <c r="P199" s="18" t="s">
        <v>3</v>
      </c>
      <c r="Q199" s="18" t="s">
        <v>3</v>
      </c>
      <c r="R199" s="18" t="s">
        <v>3</v>
      </c>
      <c r="S199" s="18" t="s">
        <v>3</v>
      </c>
      <c r="T199" s="18" t="s">
        <v>3</v>
      </c>
      <c r="U199" s="18" t="s">
        <v>3</v>
      </c>
      <c r="V199" s="18" t="s">
        <v>3</v>
      </c>
      <c r="W199" s="18" t="s">
        <v>3</v>
      </c>
      <c r="X199" s="18" t="s">
        <v>3</v>
      </c>
      <c r="Y199" s="18" t="s">
        <v>3</v>
      </c>
      <c r="Z199" s="18" t="s">
        <v>3</v>
      </c>
      <c r="AA199" s="18" t="s">
        <v>3</v>
      </c>
      <c r="AB199" s="18" t="s">
        <v>3</v>
      </c>
      <c r="AC199" s="18" t="s">
        <v>3</v>
      </c>
      <c r="AD199" s="13">
        <v>467</v>
      </c>
      <c r="AE199" s="13">
        <v>496</v>
      </c>
      <c r="AF199" s="13">
        <v>508</v>
      </c>
      <c r="AG199" s="13">
        <v>478</v>
      </c>
      <c r="AH199" s="13">
        <v>443</v>
      </c>
      <c r="AI199" s="13">
        <v>399</v>
      </c>
      <c r="AJ199" s="13">
        <v>379</v>
      </c>
      <c r="AK199" s="13">
        <v>362</v>
      </c>
      <c r="AL199" s="13">
        <v>347</v>
      </c>
      <c r="AM199" s="71">
        <v>335</v>
      </c>
      <c r="AN199" s="71">
        <v>362</v>
      </c>
      <c r="AO199" s="71">
        <v>378</v>
      </c>
      <c r="AP199" s="71">
        <v>398</v>
      </c>
      <c r="AQ199" s="71">
        <v>388</v>
      </c>
      <c r="AR199" s="71">
        <v>358</v>
      </c>
      <c r="AS199" s="71">
        <v>367</v>
      </c>
      <c r="AT199" s="71">
        <v>365</v>
      </c>
      <c r="AU199" s="71">
        <v>362</v>
      </c>
      <c r="AV199" s="30">
        <v>353</v>
      </c>
      <c r="AW199" s="30">
        <v>366</v>
      </c>
      <c r="AX199" s="233">
        <v>357</v>
      </c>
      <c r="AY199" s="233">
        <v>330</v>
      </c>
      <c r="AZ199" s="233">
        <v>324</v>
      </c>
      <c r="BA199" s="314">
        <v>351</v>
      </c>
      <c r="BB199" s="314">
        <v>369</v>
      </c>
      <c r="BC199" s="314">
        <v>379</v>
      </c>
      <c r="BD199" s="314">
        <v>365</v>
      </c>
      <c r="BE199" s="314">
        <v>352</v>
      </c>
      <c r="BF199" s="314">
        <v>373</v>
      </c>
      <c r="BG199" s="314">
        <v>416</v>
      </c>
      <c r="BH199" s="314">
        <v>427</v>
      </c>
      <c r="BI199" s="385">
        <f t="shared" si="78"/>
        <v>0.11528150134048257</v>
      </c>
      <c r="BJ199" s="385">
        <f t="shared" si="78"/>
        <v>2.6442307692307692E-2</v>
      </c>
      <c r="BK199" s="569">
        <f t="shared" si="79"/>
        <v>43</v>
      </c>
      <c r="BL199" s="569">
        <f t="shared" si="79"/>
        <v>11</v>
      </c>
      <c r="BM199" s="331"/>
      <c r="BN199" s="331"/>
    </row>
    <row r="200" spans="1:66" ht="11.1" customHeight="1">
      <c r="A200" s="129" t="s">
        <v>4</v>
      </c>
      <c r="B200" s="28">
        <v>2440</v>
      </c>
      <c r="C200" s="28">
        <v>2440</v>
      </c>
      <c r="D200" s="28">
        <v>2521</v>
      </c>
      <c r="E200" s="28">
        <v>2561</v>
      </c>
      <c r="F200" s="28">
        <v>2560</v>
      </c>
      <c r="G200" s="28">
        <v>2583</v>
      </c>
      <c r="H200" s="28">
        <v>2598</v>
      </c>
      <c r="I200" s="28">
        <v>2756</v>
      </c>
      <c r="J200" s="28">
        <v>2807</v>
      </c>
      <c r="K200" s="28">
        <v>2803</v>
      </c>
      <c r="L200" s="14">
        <v>2829</v>
      </c>
      <c r="M200" s="14">
        <v>2656</v>
      </c>
      <c r="N200" s="14">
        <v>2636</v>
      </c>
      <c r="O200" s="14">
        <v>2718</v>
      </c>
      <c r="P200" s="14">
        <v>2932</v>
      </c>
      <c r="Q200" s="14">
        <v>2960</v>
      </c>
      <c r="R200" s="14">
        <v>2990</v>
      </c>
      <c r="S200" s="14">
        <v>2884</v>
      </c>
      <c r="T200" s="14">
        <v>2769</v>
      </c>
      <c r="U200" s="14">
        <v>2777</v>
      </c>
      <c r="V200" s="14">
        <v>2660</v>
      </c>
      <c r="W200" s="14">
        <v>2660</v>
      </c>
      <c r="X200" s="14">
        <v>2661</v>
      </c>
      <c r="Y200" s="14">
        <v>2935</v>
      </c>
      <c r="Z200" s="14">
        <v>3079</v>
      </c>
      <c r="AA200" s="14">
        <v>3150</v>
      </c>
      <c r="AB200" s="14">
        <v>3180</v>
      </c>
      <c r="AC200" s="14">
        <v>3093</v>
      </c>
      <c r="AD200" s="14">
        <v>3391</v>
      </c>
      <c r="AE200" s="14">
        <v>3719</v>
      </c>
      <c r="AF200" s="14">
        <v>4059</v>
      </c>
      <c r="AG200" s="14">
        <v>4394</v>
      </c>
      <c r="AH200" s="14">
        <v>4598</v>
      </c>
      <c r="AI200" s="15">
        <v>4890</v>
      </c>
      <c r="AJ200" s="15">
        <v>4977</v>
      </c>
      <c r="AK200" s="15">
        <v>5003</v>
      </c>
      <c r="AL200" s="15">
        <v>5125</v>
      </c>
      <c r="AM200" s="71">
        <v>5134</v>
      </c>
      <c r="AN200" s="75">
        <v>5300</v>
      </c>
      <c r="AO200" s="75">
        <v>5860</v>
      </c>
      <c r="AP200" s="75">
        <v>6128</v>
      </c>
      <c r="AQ200" s="75">
        <v>6278</v>
      </c>
      <c r="AR200" s="75">
        <v>6593</v>
      </c>
      <c r="AS200" s="75">
        <v>6581</v>
      </c>
      <c r="AT200" s="75">
        <v>6579</v>
      </c>
      <c r="AU200" s="75">
        <v>6825</v>
      </c>
      <c r="AV200" s="47">
        <v>7446</v>
      </c>
      <c r="AW200" s="229">
        <v>8291</v>
      </c>
      <c r="AX200" s="68">
        <v>8962</v>
      </c>
      <c r="AY200" s="68">
        <v>9594</v>
      </c>
      <c r="AZ200" s="68">
        <v>9430</v>
      </c>
      <c r="BA200" s="293">
        <v>9991</v>
      </c>
      <c r="BB200" s="293">
        <v>10469</v>
      </c>
      <c r="BC200" s="293">
        <v>11103</v>
      </c>
      <c r="BD200" s="314">
        <v>11894</v>
      </c>
      <c r="BE200" s="314">
        <v>12469</v>
      </c>
      <c r="BF200" s="314">
        <v>12436</v>
      </c>
      <c r="BG200" s="314">
        <v>12769</v>
      </c>
      <c r="BH200" s="314">
        <v>13249</v>
      </c>
      <c r="BI200" s="385">
        <f t="shared" si="78"/>
        <v>2.6777098745577356E-2</v>
      </c>
      <c r="BJ200" s="385">
        <f t="shared" si="78"/>
        <v>3.7591040801942206E-2</v>
      </c>
      <c r="BK200" s="569">
        <f t="shared" si="79"/>
        <v>333</v>
      </c>
      <c r="BL200" s="569">
        <f t="shared" si="79"/>
        <v>480</v>
      </c>
      <c r="BM200" s="331"/>
      <c r="BN200" s="331"/>
    </row>
    <row r="201" spans="1:66" ht="11.1" customHeight="1">
      <c r="A201" s="404" t="s">
        <v>32</v>
      </c>
      <c r="B201" s="95">
        <f t="shared" ref="B201:K201" si="80">SUM(B198:B200)</f>
        <v>2668</v>
      </c>
      <c r="C201" s="95">
        <f t="shared" si="80"/>
        <v>2666</v>
      </c>
      <c r="D201" s="95">
        <f t="shared" si="80"/>
        <v>2777</v>
      </c>
      <c r="E201" s="95">
        <f t="shared" si="80"/>
        <v>2825</v>
      </c>
      <c r="F201" s="95">
        <f t="shared" si="80"/>
        <v>2824</v>
      </c>
      <c r="G201" s="95">
        <f t="shared" si="80"/>
        <v>2858</v>
      </c>
      <c r="H201" s="95">
        <f t="shared" si="80"/>
        <v>2857</v>
      </c>
      <c r="I201" s="95">
        <f t="shared" si="80"/>
        <v>3035</v>
      </c>
      <c r="J201" s="95">
        <f t="shared" si="80"/>
        <v>3085</v>
      </c>
      <c r="K201" s="95">
        <f t="shared" si="80"/>
        <v>3077</v>
      </c>
      <c r="L201" s="95">
        <f>SUM(L198:L200)</f>
        <v>3088</v>
      </c>
      <c r="M201" s="95">
        <f t="shared" ref="M201:U201" si="81">SUM(M198:M200)</f>
        <v>2899</v>
      </c>
      <c r="N201" s="95">
        <f t="shared" si="81"/>
        <v>2948</v>
      </c>
      <c r="O201" s="95">
        <f t="shared" si="81"/>
        <v>2973</v>
      </c>
      <c r="P201" s="95">
        <f t="shared" si="81"/>
        <v>3206</v>
      </c>
      <c r="Q201" s="95">
        <f t="shared" si="81"/>
        <v>3266</v>
      </c>
      <c r="R201" s="95">
        <f t="shared" si="81"/>
        <v>3255</v>
      </c>
      <c r="S201" s="95">
        <f t="shared" si="81"/>
        <v>3105</v>
      </c>
      <c r="T201" s="95">
        <f t="shared" si="81"/>
        <v>2950</v>
      </c>
      <c r="U201" s="95">
        <f t="shared" si="81"/>
        <v>2972</v>
      </c>
      <c r="V201" s="95">
        <f t="shared" ref="V201:AE201" si="82">SUM(V198:V200)</f>
        <v>2986</v>
      </c>
      <c r="W201" s="95">
        <f t="shared" si="82"/>
        <v>3057</v>
      </c>
      <c r="X201" s="95">
        <f t="shared" si="82"/>
        <v>3020</v>
      </c>
      <c r="Y201" s="95">
        <f t="shared" si="82"/>
        <v>3340</v>
      </c>
      <c r="Z201" s="95">
        <f t="shared" si="82"/>
        <v>3591</v>
      </c>
      <c r="AA201" s="95">
        <f t="shared" si="82"/>
        <v>3726</v>
      </c>
      <c r="AB201" s="95">
        <f t="shared" si="82"/>
        <v>3866</v>
      </c>
      <c r="AC201" s="95">
        <f t="shared" si="82"/>
        <v>3791</v>
      </c>
      <c r="AD201" s="95">
        <f t="shared" si="82"/>
        <v>4123</v>
      </c>
      <c r="AE201" s="95">
        <f t="shared" si="82"/>
        <v>4469</v>
      </c>
      <c r="AF201" s="95">
        <f t="shared" ref="AF201:AK201" si="83">SUM(AF198:AF200)</f>
        <v>4807</v>
      </c>
      <c r="AG201" s="95">
        <f t="shared" si="83"/>
        <v>5147</v>
      </c>
      <c r="AH201" s="95">
        <f t="shared" si="83"/>
        <v>5287</v>
      </c>
      <c r="AI201" s="95">
        <f t="shared" si="83"/>
        <v>5576</v>
      </c>
      <c r="AJ201" s="95">
        <f t="shared" si="83"/>
        <v>5665</v>
      </c>
      <c r="AK201" s="95">
        <f t="shared" si="83"/>
        <v>5615</v>
      </c>
      <c r="AL201" s="95">
        <f t="shared" ref="AL201:AR201" si="84">SUM(AL198:AL200)</f>
        <v>5706</v>
      </c>
      <c r="AM201" s="95">
        <f t="shared" si="84"/>
        <v>5697</v>
      </c>
      <c r="AN201" s="95">
        <f t="shared" si="84"/>
        <v>5943</v>
      </c>
      <c r="AO201" s="95">
        <f t="shared" si="84"/>
        <v>6453</v>
      </c>
      <c r="AP201" s="95">
        <f t="shared" si="84"/>
        <v>6747</v>
      </c>
      <c r="AQ201" s="95">
        <f t="shared" si="84"/>
        <v>6918</v>
      </c>
      <c r="AR201" s="95">
        <f t="shared" si="84"/>
        <v>7228</v>
      </c>
      <c r="AS201" s="95">
        <f t="shared" ref="AS201:BA201" si="85">SUM(AS198:AS200)</f>
        <v>7218</v>
      </c>
      <c r="AT201" s="95">
        <f t="shared" si="85"/>
        <v>7327</v>
      </c>
      <c r="AU201" s="95">
        <f t="shared" si="85"/>
        <v>7532</v>
      </c>
      <c r="AV201" s="152">
        <f t="shared" si="85"/>
        <v>8100</v>
      </c>
      <c r="AW201" s="152">
        <f t="shared" si="85"/>
        <v>8950.2125603864733</v>
      </c>
      <c r="AX201" s="152">
        <f t="shared" si="85"/>
        <v>9604.7142857142862</v>
      </c>
      <c r="AY201" s="394">
        <f t="shared" si="85"/>
        <v>10214.744075829383</v>
      </c>
      <c r="AZ201" s="394">
        <f t="shared" si="85"/>
        <v>10040</v>
      </c>
      <c r="BA201" s="394">
        <f t="shared" si="85"/>
        <v>10622</v>
      </c>
      <c r="BB201" s="394">
        <f t="shared" ref="BB201:BH201" si="86">SUM(BB198:BB200)</f>
        <v>11106</v>
      </c>
      <c r="BC201" s="394">
        <f t="shared" si="86"/>
        <v>11746</v>
      </c>
      <c r="BD201" s="395">
        <f t="shared" si="86"/>
        <v>12511</v>
      </c>
      <c r="BE201" s="395">
        <f t="shared" si="86"/>
        <v>13068</v>
      </c>
      <c r="BF201" s="395">
        <f t="shared" si="86"/>
        <v>13085</v>
      </c>
      <c r="BG201" s="395">
        <f t="shared" si="86"/>
        <v>13466</v>
      </c>
      <c r="BH201" s="395">
        <f t="shared" si="86"/>
        <v>13986</v>
      </c>
      <c r="BI201" s="415">
        <f t="shared" si="78"/>
        <v>2.9117309896828428E-2</v>
      </c>
      <c r="BJ201" s="415">
        <f t="shared" si="78"/>
        <v>3.8615773058072185E-2</v>
      </c>
      <c r="BK201" s="572">
        <f t="shared" si="79"/>
        <v>381</v>
      </c>
      <c r="BL201" s="572">
        <f t="shared" si="79"/>
        <v>520</v>
      </c>
      <c r="BM201" s="331"/>
      <c r="BN201" s="331"/>
    </row>
    <row r="202" spans="1:66" ht="6" customHeight="1">
      <c r="A202" s="125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71"/>
      <c r="AN202" s="71"/>
      <c r="AO202" s="71"/>
      <c r="AP202" s="71"/>
      <c r="AQ202" s="71"/>
      <c r="AR202" s="71"/>
      <c r="AS202" s="71"/>
      <c r="AT202" s="71"/>
      <c r="AU202" s="71"/>
      <c r="AV202" s="30"/>
      <c r="AW202" s="257"/>
      <c r="AX202" s="68"/>
      <c r="AY202" s="293"/>
      <c r="AZ202" s="293"/>
      <c r="BA202" s="293"/>
      <c r="BB202" s="293"/>
      <c r="BC202" s="471"/>
      <c r="BD202" s="309"/>
      <c r="BE202" s="309"/>
      <c r="BF202" s="309"/>
      <c r="BG202" s="309"/>
      <c r="BH202" s="309"/>
      <c r="BI202" s="329"/>
      <c r="BJ202" s="329"/>
      <c r="BK202" s="570"/>
      <c r="BL202" s="570"/>
      <c r="BM202" s="331"/>
      <c r="BN202" s="331"/>
    </row>
    <row r="203" spans="1:66" ht="11.1" customHeight="1">
      <c r="A203" s="126" t="s">
        <v>35</v>
      </c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1"/>
      <c r="AT203" s="161"/>
      <c r="AU203" s="161"/>
      <c r="AV203" s="161"/>
      <c r="AW203" s="161"/>
      <c r="AX203" s="161"/>
      <c r="AY203" s="161"/>
      <c r="AZ203" s="161"/>
      <c r="BA203" s="161"/>
      <c r="BB203" s="161"/>
      <c r="BC203" s="161"/>
      <c r="BD203" s="161"/>
      <c r="BE203" s="161"/>
      <c r="BF203" s="221"/>
      <c r="BG203" s="221"/>
      <c r="BH203" s="221"/>
      <c r="BI203" s="329"/>
      <c r="BJ203" s="329"/>
      <c r="BK203" s="570"/>
      <c r="BL203" s="570"/>
      <c r="BM203" s="331"/>
      <c r="BN203" s="331"/>
    </row>
    <row r="204" spans="1:66" ht="11.1" customHeight="1">
      <c r="A204" s="125" t="s">
        <v>11</v>
      </c>
      <c r="B204" s="28">
        <v>526</v>
      </c>
      <c r="C204" s="28">
        <v>548</v>
      </c>
      <c r="D204" s="28">
        <v>609</v>
      </c>
      <c r="E204" s="28">
        <v>622</v>
      </c>
      <c r="F204" s="28">
        <v>613</v>
      </c>
      <c r="G204" s="28">
        <v>617</v>
      </c>
      <c r="H204" s="28">
        <v>618</v>
      </c>
      <c r="I204" s="28">
        <v>619</v>
      </c>
      <c r="J204" s="28">
        <v>620</v>
      </c>
      <c r="K204" s="28">
        <v>561</v>
      </c>
      <c r="L204" s="12">
        <v>607</v>
      </c>
      <c r="M204" s="12">
        <v>585</v>
      </c>
      <c r="N204" s="12">
        <v>605</v>
      </c>
      <c r="O204" s="12">
        <v>616</v>
      </c>
      <c r="P204" s="12">
        <v>622</v>
      </c>
      <c r="Q204" s="12">
        <v>676</v>
      </c>
      <c r="R204" s="12">
        <v>813</v>
      </c>
      <c r="S204" s="12">
        <v>861</v>
      </c>
      <c r="T204" s="12">
        <v>906</v>
      </c>
      <c r="U204" s="12">
        <v>987</v>
      </c>
      <c r="V204" s="12">
        <v>971</v>
      </c>
      <c r="W204" s="12">
        <v>938</v>
      </c>
      <c r="X204" s="12">
        <v>798</v>
      </c>
      <c r="Y204" s="12">
        <v>740</v>
      </c>
      <c r="Z204" s="12">
        <v>684</v>
      </c>
      <c r="AA204" s="12">
        <v>631</v>
      </c>
      <c r="AB204" s="12">
        <v>662</v>
      </c>
      <c r="AC204" s="12">
        <v>565</v>
      </c>
      <c r="AD204" s="12">
        <v>515</v>
      </c>
      <c r="AE204" s="12">
        <v>508</v>
      </c>
      <c r="AF204" s="12">
        <v>513</v>
      </c>
      <c r="AG204" s="12">
        <v>544</v>
      </c>
      <c r="AH204" s="12">
        <v>588</v>
      </c>
      <c r="AI204" s="12">
        <v>587</v>
      </c>
      <c r="AJ204" s="12">
        <v>634</v>
      </c>
      <c r="AK204" s="12">
        <v>731</v>
      </c>
      <c r="AL204" s="12">
        <v>748</v>
      </c>
      <c r="AM204" s="71">
        <v>767</v>
      </c>
      <c r="AN204" s="71">
        <v>796</v>
      </c>
      <c r="AO204" s="71">
        <v>804</v>
      </c>
      <c r="AP204" s="71">
        <v>748</v>
      </c>
      <c r="AQ204" s="71">
        <v>771</v>
      </c>
      <c r="AR204" s="71">
        <f>525+247</f>
        <v>772</v>
      </c>
      <c r="AS204" s="71">
        <v>769</v>
      </c>
      <c r="AT204" s="71">
        <v>785</v>
      </c>
      <c r="AU204" s="71">
        <v>792</v>
      </c>
      <c r="AV204" s="30">
        <f>588+175</f>
        <v>763</v>
      </c>
      <c r="AW204" s="30">
        <f>180+587</f>
        <v>767</v>
      </c>
      <c r="AX204" s="68">
        <v>790</v>
      </c>
      <c r="AY204" s="68">
        <v>762</v>
      </c>
      <c r="AZ204" s="68">
        <v>798</v>
      </c>
      <c r="BA204" s="293">
        <v>760</v>
      </c>
      <c r="BB204" s="293">
        <f>407+298</f>
        <v>705</v>
      </c>
      <c r="BC204" s="293">
        <v>654</v>
      </c>
      <c r="BD204" s="314">
        <f>118+480</f>
        <v>598</v>
      </c>
      <c r="BE204" s="367">
        <v>638</v>
      </c>
      <c r="BF204" s="367">
        <v>689</v>
      </c>
      <c r="BG204" s="367">
        <v>694</v>
      </c>
      <c r="BH204" s="367">
        <v>695</v>
      </c>
      <c r="BI204" s="385">
        <f>(BG204-BF204)/BF204</f>
        <v>7.2568940493468797E-3</v>
      </c>
      <c r="BJ204" s="385">
        <f>(BH204-BG204)/BG204</f>
        <v>1.440922190201729E-3</v>
      </c>
      <c r="BK204" s="569">
        <f>BG204-BF204</f>
        <v>5</v>
      </c>
      <c r="BL204" s="569">
        <f>BH204-BG204</f>
        <v>1</v>
      </c>
      <c r="BM204" s="331"/>
      <c r="BN204" s="331"/>
    </row>
    <row r="205" spans="1:66" ht="6" customHeight="1">
      <c r="A205" s="125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71"/>
      <c r="AN205" s="71"/>
      <c r="AO205" s="71"/>
      <c r="AP205" s="71"/>
      <c r="AQ205" s="71"/>
      <c r="AR205" s="71"/>
      <c r="AS205" s="71"/>
      <c r="AT205" s="71"/>
      <c r="AU205" s="71"/>
      <c r="AV205" s="30"/>
      <c r="AW205" s="257"/>
      <c r="AX205" s="68"/>
      <c r="AY205" s="68"/>
      <c r="AZ205" s="308"/>
      <c r="BA205" s="293"/>
      <c r="BB205" s="293"/>
      <c r="BC205" s="471"/>
      <c r="BD205" s="309"/>
      <c r="BE205" s="309"/>
      <c r="BF205" s="309"/>
      <c r="BG205" s="309"/>
      <c r="BH205" s="309"/>
      <c r="BI205" s="385"/>
      <c r="BJ205" s="385"/>
      <c r="BK205" s="571"/>
      <c r="BL205" s="571"/>
      <c r="BM205" s="331"/>
      <c r="BN205" s="331"/>
    </row>
    <row r="206" spans="1:66" ht="13.5" customHeight="1">
      <c r="A206" s="126" t="s">
        <v>125</v>
      </c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71"/>
      <c r="AN206" s="71"/>
      <c r="AO206" s="71"/>
      <c r="AP206" s="71"/>
      <c r="AQ206" s="71"/>
      <c r="AR206" s="71"/>
      <c r="AS206" s="71"/>
      <c r="AT206" s="71"/>
      <c r="AU206" s="71"/>
      <c r="AV206" s="30"/>
      <c r="AW206" s="257"/>
      <c r="AX206" s="342"/>
      <c r="AY206" s="342"/>
      <c r="AZ206" s="308"/>
      <c r="BA206" s="293"/>
      <c r="BB206" s="293"/>
      <c r="BC206" s="471"/>
      <c r="BD206" s="309"/>
      <c r="BE206" s="309"/>
      <c r="BF206" s="309"/>
      <c r="BG206" s="309"/>
      <c r="BH206" s="309"/>
      <c r="BI206" s="385"/>
      <c r="BJ206" s="385"/>
      <c r="BK206" s="571"/>
      <c r="BL206" s="571"/>
      <c r="BM206" s="331"/>
      <c r="BN206" s="331"/>
    </row>
    <row r="207" spans="1:66" ht="12" customHeight="1">
      <c r="A207" s="129" t="s">
        <v>160</v>
      </c>
      <c r="B207" s="18" t="s">
        <v>3</v>
      </c>
      <c r="C207" s="18" t="s">
        <v>3</v>
      </c>
      <c r="D207" s="18" t="s">
        <v>3</v>
      </c>
      <c r="E207" s="18" t="s">
        <v>3</v>
      </c>
      <c r="F207" s="18" t="s">
        <v>3</v>
      </c>
      <c r="G207" s="18" t="s">
        <v>3</v>
      </c>
      <c r="H207" s="18" t="s">
        <v>3</v>
      </c>
      <c r="I207" s="18" t="s">
        <v>3</v>
      </c>
      <c r="J207" s="18" t="s">
        <v>3</v>
      </c>
      <c r="K207" s="18" t="s">
        <v>3</v>
      </c>
      <c r="L207" s="18" t="s">
        <v>3</v>
      </c>
      <c r="M207" s="18" t="s">
        <v>3</v>
      </c>
      <c r="N207" s="18" t="s">
        <v>3</v>
      </c>
      <c r="O207" s="18" t="s">
        <v>3</v>
      </c>
      <c r="P207" s="18" t="s">
        <v>3</v>
      </c>
      <c r="Q207" s="18" t="s">
        <v>3</v>
      </c>
      <c r="R207" s="18" t="s">
        <v>3</v>
      </c>
      <c r="S207" s="18" t="s">
        <v>3</v>
      </c>
      <c r="T207" s="18" t="s">
        <v>3</v>
      </c>
      <c r="U207" s="12">
        <v>83</v>
      </c>
      <c r="V207" s="12">
        <v>97</v>
      </c>
      <c r="W207" s="12">
        <v>75</v>
      </c>
      <c r="X207" s="12">
        <v>82</v>
      </c>
      <c r="Y207" s="12">
        <v>82</v>
      </c>
      <c r="Z207" s="12">
        <v>83</v>
      </c>
      <c r="AA207" s="12">
        <v>83</v>
      </c>
      <c r="AB207" s="12">
        <v>82</v>
      </c>
      <c r="AC207" s="12">
        <v>67</v>
      </c>
      <c r="AD207" s="12">
        <v>69</v>
      </c>
      <c r="AE207" s="12">
        <v>61</v>
      </c>
      <c r="AF207" s="12">
        <v>57</v>
      </c>
      <c r="AG207" s="12">
        <v>59</v>
      </c>
      <c r="AH207" s="12">
        <v>59</v>
      </c>
      <c r="AI207" s="12">
        <v>59</v>
      </c>
      <c r="AJ207" s="12">
        <v>53</v>
      </c>
      <c r="AK207" s="12">
        <v>65</v>
      </c>
      <c r="AL207" s="12">
        <v>47</v>
      </c>
      <c r="AM207" s="71">
        <v>45</v>
      </c>
      <c r="AN207" s="71">
        <v>44</v>
      </c>
      <c r="AO207" s="71">
        <v>41</v>
      </c>
      <c r="AP207" s="71">
        <v>49</v>
      </c>
      <c r="AQ207" s="71">
        <v>47</v>
      </c>
      <c r="AR207" s="71">
        <v>49</v>
      </c>
      <c r="AS207" s="71">
        <v>55</v>
      </c>
      <c r="AT207" s="71">
        <v>59</v>
      </c>
      <c r="AU207" s="12">
        <v>50</v>
      </c>
      <c r="AV207" s="30">
        <v>48</v>
      </c>
      <c r="AW207" s="162">
        <v>48</v>
      </c>
      <c r="AX207" s="342">
        <v>45</v>
      </c>
      <c r="AY207" s="342">
        <v>45</v>
      </c>
      <c r="AZ207" s="293">
        <v>44</v>
      </c>
      <c r="BA207" s="293">
        <v>45</v>
      </c>
      <c r="BB207" s="293">
        <v>44</v>
      </c>
      <c r="BC207" s="293">
        <v>47</v>
      </c>
      <c r="BD207" s="314">
        <v>43</v>
      </c>
      <c r="BE207" s="314">
        <v>44</v>
      </c>
      <c r="BF207" s="314">
        <v>51</v>
      </c>
      <c r="BG207" s="314">
        <v>49</v>
      </c>
      <c r="BH207" s="314">
        <v>53</v>
      </c>
      <c r="BI207" s="385">
        <f>(BG207-BF207)/BF207</f>
        <v>-3.9215686274509803E-2</v>
      </c>
      <c r="BJ207" s="385">
        <f>(BH207-BG207)/BG207</f>
        <v>8.1632653061224483E-2</v>
      </c>
      <c r="BK207" s="569">
        <f>BG207-BF207</f>
        <v>-2</v>
      </c>
      <c r="BL207" s="569">
        <f>BH207-BG207</f>
        <v>4</v>
      </c>
      <c r="BM207" s="331"/>
      <c r="BN207" s="331"/>
    </row>
    <row r="208" spans="1:66" ht="6" customHeight="1">
      <c r="A208" s="125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71"/>
      <c r="AN208" s="71"/>
      <c r="AO208" s="71"/>
      <c r="AP208" s="71"/>
      <c r="AQ208" s="71"/>
      <c r="AR208" s="71"/>
      <c r="AS208" s="71"/>
      <c r="AT208" s="71"/>
      <c r="AU208" s="12"/>
      <c r="AV208" s="30"/>
      <c r="AW208" s="162"/>
      <c r="AX208" s="342"/>
      <c r="AY208" s="342"/>
      <c r="AZ208" s="308"/>
      <c r="BA208" s="293"/>
      <c r="BB208" s="293"/>
      <c r="BC208" s="471"/>
      <c r="BD208" s="309"/>
      <c r="BE208" s="309"/>
      <c r="BF208" s="309"/>
      <c r="BG208" s="309"/>
      <c r="BH208" s="309"/>
      <c r="BI208" s="385"/>
      <c r="BJ208" s="385"/>
      <c r="BK208" s="571"/>
      <c r="BL208" s="571"/>
      <c r="BM208" s="331"/>
      <c r="BN208" s="331"/>
    </row>
    <row r="209" spans="1:66" ht="13.5" customHeight="1">
      <c r="A209" s="126" t="s">
        <v>124</v>
      </c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71"/>
      <c r="AN209" s="71"/>
      <c r="AO209" s="71"/>
      <c r="AP209" s="71"/>
      <c r="AQ209" s="71"/>
      <c r="AR209" s="71"/>
      <c r="AS209" s="71"/>
      <c r="AT209" s="71"/>
      <c r="AU209" s="12"/>
      <c r="AV209" s="30"/>
      <c r="AW209" s="162"/>
      <c r="AX209" s="342"/>
      <c r="AY209" s="342"/>
      <c r="AZ209" s="308"/>
      <c r="BA209" s="293"/>
      <c r="BD209" s="402"/>
      <c r="BE209" s="309"/>
      <c r="BF209" s="309"/>
      <c r="BG209" s="309"/>
      <c r="BH209" s="309"/>
      <c r="BI209" s="513"/>
      <c r="BJ209" s="513"/>
      <c r="BK209" s="578"/>
      <c r="BL209" s="578"/>
      <c r="BM209" s="331"/>
      <c r="BN209" s="331"/>
    </row>
    <row r="210" spans="1:66" ht="12" customHeight="1">
      <c r="A210" s="140" t="s">
        <v>157</v>
      </c>
      <c r="B210" s="18" t="s">
        <v>3</v>
      </c>
      <c r="C210" s="18" t="s">
        <v>3</v>
      </c>
      <c r="D210" s="18" t="s">
        <v>3</v>
      </c>
      <c r="E210" s="18" t="s">
        <v>3</v>
      </c>
      <c r="F210" s="18" t="s">
        <v>3</v>
      </c>
      <c r="G210" s="18" t="s">
        <v>3</v>
      </c>
      <c r="H210" s="18" t="s">
        <v>3</v>
      </c>
      <c r="I210" s="18" t="s">
        <v>3</v>
      </c>
      <c r="J210" s="18" t="s">
        <v>3</v>
      </c>
      <c r="K210" s="18" t="s">
        <v>3</v>
      </c>
      <c r="L210" s="18" t="s">
        <v>3</v>
      </c>
      <c r="M210" s="18" t="s">
        <v>3</v>
      </c>
      <c r="N210" s="18" t="s">
        <v>3</v>
      </c>
      <c r="O210" s="18" t="s">
        <v>3</v>
      </c>
      <c r="P210" s="18" t="s">
        <v>3</v>
      </c>
      <c r="Q210" s="18" t="s">
        <v>3</v>
      </c>
      <c r="R210" s="18" t="s">
        <v>3</v>
      </c>
      <c r="S210" s="18" t="s">
        <v>3</v>
      </c>
      <c r="T210" s="12">
        <v>66</v>
      </c>
      <c r="U210" s="12">
        <v>93</v>
      </c>
      <c r="V210" s="12">
        <v>172</v>
      </c>
      <c r="W210" s="12">
        <v>144</v>
      </c>
      <c r="X210" s="12">
        <v>133</v>
      </c>
      <c r="Y210" s="12">
        <v>101</v>
      </c>
      <c r="Z210" s="12">
        <v>114</v>
      </c>
      <c r="AA210" s="12">
        <v>107</v>
      </c>
      <c r="AB210" s="12">
        <v>109</v>
      </c>
      <c r="AC210" s="12">
        <v>100</v>
      </c>
      <c r="AD210" s="12">
        <v>92</v>
      </c>
      <c r="AE210" s="12">
        <v>78</v>
      </c>
      <c r="AF210" s="12">
        <v>59</v>
      </c>
      <c r="AG210" s="12">
        <v>68</v>
      </c>
      <c r="AH210" s="12">
        <v>50</v>
      </c>
      <c r="AI210" s="12">
        <v>37</v>
      </c>
      <c r="AJ210" s="12">
        <v>62</v>
      </c>
      <c r="AK210" s="12">
        <v>88</v>
      </c>
      <c r="AL210" s="12">
        <v>49</v>
      </c>
      <c r="AM210" s="71">
        <v>44</v>
      </c>
      <c r="AN210" s="71">
        <v>43</v>
      </c>
      <c r="AO210" s="71">
        <v>39</v>
      </c>
      <c r="AP210" s="71">
        <v>42</v>
      </c>
      <c r="AQ210" s="71">
        <v>30</v>
      </c>
      <c r="AR210" s="71">
        <v>32</v>
      </c>
      <c r="AS210" s="71">
        <v>34</v>
      </c>
      <c r="AT210" s="71">
        <v>27</v>
      </c>
      <c r="AU210" s="6">
        <v>34</v>
      </c>
      <c r="AV210" s="30">
        <v>35</v>
      </c>
      <c r="AW210" s="162">
        <v>35</v>
      </c>
      <c r="AX210" s="342">
        <v>32</v>
      </c>
      <c r="AY210" s="342">
        <v>35</v>
      </c>
      <c r="AZ210" s="293">
        <v>33</v>
      </c>
      <c r="BA210" s="293">
        <v>46</v>
      </c>
      <c r="BB210" s="293">
        <v>46</v>
      </c>
      <c r="BC210" s="293">
        <v>46</v>
      </c>
      <c r="BD210" s="314">
        <v>46</v>
      </c>
      <c r="BE210" s="314">
        <v>46</v>
      </c>
      <c r="BF210" s="314">
        <v>50</v>
      </c>
      <c r="BG210" s="314">
        <v>51</v>
      </c>
      <c r="BH210" s="314">
        <v>52</v>
      </c>
      <c r="BI210" s="385">
        <f>(BG210-BF210)/BF210</f>
        <v>0.02</v>
      </c>
      <c r="BJ210" s="385">
        <f>(BH210-BG210)/BG210</f>
        <v>1.9607843137254902E-2</v>
      </c>
      <c r="BK210" s="569">
        <f>BG210-BF210</f>
        <v>1</v>
      </c>
      <c r="BL210" s="569">
        <f>BH210-BG210</f>
        <v>1</v>
      </c>
      <c r="BM210" s="331"/>
      <c r="BN210" s="331"/>
    </row>
    <row r="211" spans="1:66" ht="9.75" customHeight="1">
      <c r="A211" s="125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71"/>
      <c r="AN211" s="71"/>
      <c r="AO211" s="71"/>
      <c r="AP211" s="71"/>
      <c r="AQ211" s="71"/>
      <c r="AR211" s="71"/>
      <c r="AS211" s="71"/>
      <c r="AT211" s="71"/>
      <c r="AU211" s="71"/>
      <c r="AV211" s="30"/>
      <c r="AW211" s="257"/>
      <c r="AX211" s="342"/>
      <c r="AY211" s="342"/>
      <c r="AZ211" s="308"/>
      <c r="BA211" s="293"/>
      <c r="BB211" s="293"/>
      <c r="BC211" s="471"/>
      <c r="BD211" s="309"/>
      <c r="BE211" s="309"/>
      <c r="BF211" s="309"/>
      <c r="BG211" s="309"/>
      <c r="BH211" s="309"/>
      <c r="BI211" s="329"/>
      <c r="BJ211" s="329"/>
      <c r="BK211" s="570"/>
      <c r="BL211" s="570"/>
      <c r="BM211" s="331"/>
      <c r="BN211" s="331"/>
    </row>
    <row r="212" spans="1:66" ht="11.1" customHeight="1">
      <c r="A212" s="125" t="s">
        <v>18</v>
      </c>
      <c r="B212" s="18" t="s">
        <v>3</v>
      </c>
      <c r="C212" s="18" t="s">
        <v>3</v>
      </c>
      <c r="D212" s="18" t="s">
        <v>3</v>
      </c>
      <c r="E212" s="18" t="s">
        <v>3</v>
      </c>
      <c r="F212" s="18" t="s">
        <v>3</v>
      </c>
      <c r="G212" s="18" t="s">
        <v>3</v>
      </c>
      <c r="H212" s="18" t="s">
        <v>3</v>
      </c>
      <c r="I212" s="18" t="s">
        <v>3</v>
      </c>
      <c r="J212" s="18" t="s">
        <v>3</v>
      </c>
      <c r="K212" s="18" t="s">
        <v>3</v>
      </c>
      <c r="L212" s="18" t="s">
        <v>3</v>
      </c>
      <c r="M212" s="18" t="s">
        <v>3</v>
      </c>
      <c r="N212" s="18" t="s">
        <v>3</v>
      </c>
      <c r="O212" s="18" t="s">
        <v>3</v>
      </c>
      <c r="P212" s="18" t="s">
        <v>3</v>
      </c>
      <c r="Q212" s="12">
        <v>62</v>
      </c>
      <c r="R212" s="12">
        <v>147</v>
      </c>
      <c r="S212" s="12">
        <v>188</v>
      </c>
      <c r="T212" s="12">
        <v>242</v>
      </c>
      <c r="U212" s="12">
        <v>262</v>
      </c>
      <c r="V212" s="12">
        <v>258</v>
      </c>
      <c r="W212" s="12">
        <v>257</v>
      </c>
      <c r="X212" s="12">
        <v>237</v>
      </c>
      <c r="Y212" s="12">
        <v>225</v>
      </c>
      <c r="Z212" s="12">
        <v>230</v>
      </c>
      <c r="AA212" s="12">
        <v>242</v>
      </c>
      <c r="AB212" s="12">
        <v>230</v>
      </c>
      <c r="AC212" s="12">
        <v>235</v>
      </c>
      <c r="AD212" s="12">
        <v>252</v>
      </c>
      <c r="AE212" s="12">
        <v>251</v>
      </c>
      <c r="AF212" s="12">
        <v>241</v>
      </c>
      <c r="AG212" s="12">
        <v>254</v>
      </c>
      <c r="AH212" s="12">
        <v>266</v>
      </c>
      <c r="AI212" s="12">
        <v>270</v>
      </c>
      <c r="AJ212" s="12">
        <v>292</v>
      </c>
      <c r="AK212" s="12">
        <v>315</v>
      </c>
      <c r="AL212" s="82">
        <v>309</v>
      </c>
      <c r="AM212" s="82">
        <v>297</v>
      </c>
      <c r="AN212" s="82">
        <v>303</v>
      </c>
      <c r="AO212" s="82">
        <v>323</v>
      </c>
      <c r="AP212" s="82">
        <v>343</v>
      </c>
      <c r="AQ212" s="82">
        <v>345</v>
      </c>
      <c r="AR212" s="82">
        <v>352</v>
      </c>
      <c r="AS212" s="82">
        <v>360</v>
      </c>
      <c r="AT212" s="82">
        <v>373</v>
      </c>
      <c r="AU212" s="82">
        <v>377</v>
      </c>
      <c r="AV212" s="234">
        <v>368</v>
      </c>
      <c r="AW212" s="235">
        <v>350</v>
      </c>
      <c r="AX212" s="68">
        <v>349</v>
      </c>
      <c r="AY212" s="68">
        <v>359</v>
      </c>
      <c r="AZ212" s="68">
        <v>356</v>
      </c>
      <c r="BA212" s="293">
        <v>347</v>
      </c>
      <c r="BB212" s="293">
        <v>347</v>
      </c>
      <c r="BC212" s="293">
        <v>344</v>
      </c>
      <c r="BD212" s="314">
        <v>329</v>
      </c>
      <c r="BE212" s="314">
        <v>331</v>
      </c>
      <c r="BF212" s="314">
        <v>330</v>
      </c>
      <c r="BG212" s="314">
        <v>340</v>
      </c>
      <c r="BH212" s="314">
        <v>340</v>
      </c>
      <c r="BI212" s="385">
        <f>(BG212-BF212)/BF212</f>
        <v>3.0303030303030304E-2</v>
      </c>
      <c r="BJ212" s="385">
        <f>(BH212-BG212)/BG212</f>
        <v>0</v>
      </c>
      <c r="BK212" s="569">
        <f>BG212-BF212</f>
        <v>10</v>
      </c>
      <c r="BL212" s="569">
        <f>BH212-BG212</f>
        <v>0</v>
      </c>
      <c r="BM212" s="331"/>
      <c r="BN212" s="331"/>
    </row>
    <row r="213" spans="1:66" ht="6" customHeight="1">
      <c r="A213" s="125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71"/>
      <c r="AN213" s="71"/>
      <c r="AO213" s="71"/>
      <c r="AP213" s="71"/>
      <c r="AQ213" s="71"/>
      <c r="AR213" s="71"/>
      <c r="AS213" s="71"/>
      <c r="AT213" s="71"/>
      <c r="AU213" s="71"/>
      <c r="AV213" s="30"/>
      <c r="AW213" s="257"/>
      <c r="AX213" s="68"/>
      <c r="AY213" s="68"/>
      <c r="AZ213" s="308"/>
      <c r="BA213" s="293"/>
      <c r="BB213" s="293"/>
      <c r="BC213" s="471"/>
      <c r="BD213" s="309"/>
      <c r="BE213" s="309"/>
      <c r="BF213" s="309"/>
      <c r="BG213" s="309"/>
      <c r="BH213" s="309"/>
      <c r="BI213" s="329"/>
      <c r="BJ213" s="329"/>
      <c r="BK213" s="570"/>
      <c r="BL213" s="570"/>
      <c r="BM213" s="331"/>
      <c r="BN213" s="331"/>
    </row>
    <row r="214" spans="1:66" ht="11.1" customHeight="1">
      <c r="A214" s="125" t="s">
        <v>14</v>
      </c>
      <c r="B214" s="28">
        <v>758</v>
      </c>
      <c r="C214" s="28">
        <v>838</v>
      </c>
      <c r="D214" s="28">
        <v>1076</v>
      </c>
      <c r="E214" s="28">
        <v>1181</v>
      </c>
      <c r="F214" s="28">
        <v>1179</v>
      </c>
      <c r="G214" s="28">
        <v>1177</v>
      </c>
      <c r="H214" s="28">
        <v>1175</v>
      </c>
      <c r="I214" s="28">
        <v>1175</v>
      </c>
      <c r="J214" s="28">
        <v>1249</v>
      </c>
      <c r="K214" s="28">
        <v>1311</v>
      </c>
      <c r="L214" s="12">
        <v>1390</v>
      </c>
      <c r="M214" s="12">
        <v>1341</v>
      </c>
      <c r="N214" s="12">
        <v>1361</v>
      </c>
      <c r="O214" s="12">
        <v>1426</v>
      </c>
      <c r="P214" s="12">
        <v>1555</v>
      </c>
      <c r="Q214" s="12">
        <v>1616</v>
      </c>
      <c r="R214" s="12">
        <v>1658</v>
      </c>
      <c r="S214" s="12">
        <v>1742</v>
      </c>
      <c r="T214" s="12">
        <v>1748</v>
      </c>
      <c r="U214" s="12">
        <v>1746</v>
      </c>
      <c r="V214" s="12">
        <v>1719</v>
      </c>
      <c r="W214" s="12">
        <v>1667</v>
      </c>
      <c r="X214" s="12">
        <v>1491</v>
      </c>
      <c r="Y214" s="12">
        <v>1310</v>
      </c>
      <c r="Z214" s="12">
        <v>1238</v>
      </c>
      <c r="AA214" s="12">
        <v>1201</v>
      </c>
      <c r="AB214" s="12">
        <v>1107</v>
      </c>
      <c r="AC214" s="12">
        <v>1007</v>
      </c>
      <c r="AD214" s="12">
        <v>986</v>
      </c>
      <c r="AE214" s="12">
        <v>894</v>
      </c>
      <c r="AF214" s="12">
        <v>903</v>
      </c>
      <c r="AG214" s="12">
        <v>926</v>
      </c>
      <c r="AH214" s="12">
        <v>964</v>
      </c>
      <c r="AI214" s="12">
        <v>953</v>
      </c>
      <c r="AJ214" s="12">
        <v>933</v>
      </c>
      <c r="AK214" s="12">
        <v>939</v>
      </c>
      <c r="AL214" s="12">
        <v>939</v>
      </c>
      <c r="AM214" s="71">
        <v>928</v>
      </c>
      <c r="AN214" s="71">
        <v>965</v>
      </c>
      <c r="AO214" s="71">
        <v>967</v>
      </c>
      <c r="AP214" s="71">
        <v>989</v>
      </c>
      <c r="AQ214" s="71">
        <v>1010</v>
      </c>
      <c r="AR214" s="71">
        <f>580+477</f>
        <v>1057</v>
      </c>
      <c r="AS214" s="71">
        <v>1051</v>
      </c>
      <c r="AT214" s="71">
        <v>1057</v>
      </c>
      <c r="AU214" s="71">
        <v>1019</v>
      </c>
      <c r="AV214" s="30">
        <v>907</v>
      </c>
      <c r="AW214" s="30">
        <f>395+666</f>
        <v>1061</v>
      </c>
      <c r="AX214" s="68">
        <v>1094</v>
      </c>
      <c r="AY214" s="68">
        <v>1107</v>
      </c>
      <c r="AZ214" s="68">
        <v>1136</v>
      </c>
      <c r="BA214" s="293">
        <v>1160</v>
      </c>
      <c r="BB214" s="293">
        <v>1182</v>
      </c>
      <c r="BC214" s="293">
        <v>1144</v>
      </c>
      <c r="BD214" s="314">
        <v>1145</v>
      </c>
      <c r="BE214" s="314">
        <v>1144</v>
      </c>
      <c r="BF214" s="314">
        <v>1166</v>
      </c>
      <c r="BG214" s="314">
        <v>1163</v>
      </c>
      <c r="BH214" s="314">
        <v>1141</v>
      </c>
      <c r="BI214" s="385">
        <f>(BG214-BF214)/BF214</f>
        <v>-2.5728987993138938E-3</v>
      </c>
      <c r="BJ214" s="385">
        <f>(BH214-BG214)/BG214</f>
        <v>-1.8916595012897677E-2</v>
      </c>
      <c r="BK214" s="569">
        <f>BG214-BF214</f>
        <v>-3</v>
      </c>
      <c r="BL214" s="569">
        <f>BH214-BG214</f>
        <v>-22</v>
      </c>
      <c r="BM214" s="331"/>
      <c r="BN214" s="331"/>
    </row>
    <row r="215" spans="1:66" ht="6" customHeight="1">
      <c r="A215" s="125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71"/>
      <c r="AN215" s="71"/>
      <c r="AO215" s="71"/>
      <c r="AP215" s="71"/>
      <c r="AQ215" s="71"/>
      <c r="AR215" s="71"/>
      <c r="AS215" s="71"/>
      <c r="AT215" s="71"/>
      <c r="AU215" s="71"/>
      <c r="AV215" s="30"/>
      <c r="AW215" s="257"/>
      <c r="AX215" s="68"/>
      <c r="AY215" s="68"/>
      <c r="AZ215" s="308"/>
      <c r="BA215" s="293"/>
      <c r="BB215" s="293"/>
      <c r="BC215" s="471"/>
      <c r="BD215" s="309"/>
      <c r="BE215" s="314"/>
      <c r="BF215" s="314"/>
      <c r="BG215" s="314"/>
      <c r="BH215" s="314"/>
      <c r="BI215" s="329"/>
      <c r="BJ215" s="329"/>
      <c r="BK215" s="570"/>
      <c r="BL215" s="570"/>
      <c r="BM215" s="331"/>
      <c r="BN215" s="331"/>
    </row>
    <row r="216" spans="1:66" ht="11.1" customHeight="1">
      <c r="A216" s="129" t="s">
        <v>158</v>
      </c>
      <c r="B216" s="28">
        <v>277</v>
      </c>
      <c r="C216" s="28">
        <v>285</v>
      </c>
      <c r="D216" s="28">
        <v>300</v>
      </c>
      <c r="E216" s="28">
        <v>302</v>
      </c>
      <c r="F216" s="28">
        <v>298</v>
      </c>
      <c r="G216" s="28">
        <v>294</v>
      </c>
      <c r="H216" s="28">
        <v>304</v>
      </c>
      <c r="I216" s="28">
        <v>310</v>
      </c>
      <c r="J216" s="28">
        <v>306</v>
      </c>
      <c r="K216" s="28">
        <v>283</v>
      </c>
      <c r="L216" s="12">
        <v>274</v>
      </c>
      <c r="M216" s="12">
        <v>237</v>
      </c>
      <c r="N216" s="12">
        <v>266</v>
      </c>
      <c r="O216" s="12">
        <v>293</v>
      </c>
      <c r="P216" s="12">
        <v>325</v>
      </c>
      <c r="Q216" s="12">
        <v>368</v>
      </c>
      <c r="R216" s="12">
        <v>393</v>
      </c>
      <c r="S216" s="12">
        <v>379</v>
      </c>
      <c r="T216" s="12">
        <v>395</v>
      </c>
      <c r="U216" s="12">
        <v>390</v>
      </c>
      <c r="V216" s="12">
        <v>409</v>
      </c>
      <c r="W216" s="12">
        <v>432</v>
      </c>
      <c r="X216" s="12">
        <v>423</v>
      </c>
      <c r="Y216" s="12">
        <v>424</v>
      </c>
      <c r="Z216" s="12">
        <v>439</v>
      </c>
      <c r="AA216" s="12">
        <v>490</v>
      </c>
      <c r="AB216" s="12">
        <v>505</v>
      </c>
      <c r="AC216" s="12">
        <v>512</v>
      </c>
      <c r="AD216" s="12">
        <v>492</v>
      </c>
      <c r="AE216" s="12">
        <v>495</v>
      </c>
      <c r="AF216" s="12">
        <v>499</v>
      </c>
      <c r="AG216" s="12">
        <v>482</v>
      </c>
      <c r="AH216" s="12">
        <v>482</v>
      </c>
      <c r="AI216" s="12">
        <v>469</v>
      </c>
      <c r="AJ216" s="12">
        <v>455</v>
      </c>
      <c r="AK216" s="12">
        <v>453</v>
      </c>
      <c r="AL216" s="94">
        <v>385</v>
      </c>
      <c r="AM216" s="63">
        <v>371</v>
      </c>
      <c r="AN216" s="63">
        <v>377</v>
      </c>
      <c r="AO216" s="63">
        <v>394</v>
      </c>
      <c r="AP216" s="63">
        <v>357</v>
      </c>
      <c r="AQ216" s="63">
        <v>357</v>
      </c>
      <c r="AR216" s="63">
        <v>357</v>
      </c>
      <c r="AS216" s="63">
        <v>368</v>
      </c>
      <c r="AT216" s="63">
        <v>374</v>
      </c>
      <c r="AU216" s="63">
        <v>369</v>
      </c>
      <c r="AV216" s="210">
        <v>383</v>
      </c>
      <c r="AW216" s="266">
        <v>374</v>
      </c>
      <c r="AX216" s="68">
        <v>343</v>
      </c>
      <c r="AY216" s="68">
        <v>395</v>
      </c>
      <c r="AZ216" s="68">
        <v>394</v>
      </c>
      <c r="BA216" s="293">
        <v>384</v>
      </c>
      <c r="BB216" s="293">
        <v>394</v>
      </c>
      <c r="BC216" s="293">
        <v>380</v>
      </c>
      <c r="BD216" s="314">
        <v>392</v>
      </c>
      <c r="BE216" s="314">
        <v>403</v>
      </c>
      <c r="BF216" s="314">
        <v>399</v>
      </c>
      <c r="BG216" s="314">
        <v>383</v>
      </c>
      <c r="BH216" s="314">
        <v>382</v>
      </c>
      <c r="BI216" s="385">
        <f>(BG216-BF216)/BF216</f>
        <v>-4.0100250626566414E-2</v>
      </c>
      <c r="BJ216" s="385">
        <f>(BH216-BG216)/BG216</f>
        <v>-2.6109660574412533E-3</v>
      </c>
      <c r="BK216" s="569">
        <f>BG216-BF216</f>
        <v>-16</v>
      </c>
      <c r="BL216" s="569">
        <f>BH216-BG216</f>
        <v>-1</v>
      </c>
      <c r="BM216" s="331"/>
      <c r="BN216" s="331"/>
    </row>
    <row r="217" spans="1:66" ht="6" customHeight="1">
      <c r="A217" s="125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71"/>
      <c r="AN217" s="71"/>
      <c r="AO217" s="71"/>
      <c r="AP217" s="71"/>
      <c r="AQ217" s="71"/>
      <c r="AR217" s="71"/>
      <c r="AS217" s="71"/>
      <c r="AT217" s="71"/>
      <c r="AU217" s="71"/>
      <c r="AV217" s="30"/>
      <c r="AW217" s="257"/>
      <c r="AX217" s="68"/>
      <c r="AY217" s="68"/>
      <c r="AZ217" s="308"/>
      <c r="BA217" s="293"/>
      <c r="BB217" s="293"/>
      <c r="BC217" s="471"/>
      <c r="BD217" s="309"/>
      <c r="BE217" s="309"/>
      <c r="BF217" s="309"/>
      <c r="BG217" s="309"/>
      <c r="BH217" s="309"/>
      <c r="BI217" s="329"/>
      <c r="BJ217" s="329"/>
      <c r="BK217" s="570"/>
      <c r="BL217" s="570"/>
      <c r="BM217" s="331"/>
      <c r="BN217" s="331"/>
    </row>
    <row r="218" spans="1:66" ht="11.1" customHeight="1">
      <c r="A218" s="126" t="s">
        <v>51</v>
      </c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71"/>
      <c r="AN218" s="71"/>
      <c r="AO218" s="71"/>
      <c r="AP218" s="71"/>
      <c r="AQ218" s="71"/>
      <c r="AR218" s="71"/>
      <c r="AS218" s="71"/>
      <c r="AT218" s="71"/>
      <c r="AU218" s="71"/>
      <c r="AV218" s="30"/>
      <c r="AW218" s="257"/>
      <c r="AX218" s="68"/>
      <c r="AY218" s="68"/>
      <c r="AZ218" s="308"/>
      <c r="BA218" s="293"/>
      <c r="BB218" s="293"/>
      <c r="BC218" s="471"/>
      <c r="BD218" s="309"/>
      <c r="BE218" s="309"/>
      <c r="BF218" s="309"/>
      <c r="BG218" s="309"/>
      <c r="BH218" s="309"/>
      <c r="BI218" s="329"/>
      <c r="BJ218" s="329"/>
      <c r="BK218" s="570"/>
      <c r="BL218" s="570"/>
      <c r="BM218" s="331"/>
      <c r="BN218" s="331"/>
    </row>
    <row r="219" spans="1:66" ht="11.1" customHeight="1">
      <c r="A219" s="125" t="s">
        <v>26</v>
      </c>
      <c r="B219" s="28">
        <v>245</v>
      </c>
      <c r="C219" s="28">
        <v>247</v>
      </c>
      <c r="D219" s="28">
        <v>247</v>
      </c>
      <c r="E219" s="28">
        <v>247</v>
      </c>
      <c r="F219" s="28">
        <v>252</v>
      </c>
      <c r="G219" s="28">
        <v>255</v>
      </c>
      <c r="H219" s="28">
        <v>268</v>
      </c>
      <c r="I219" s="28">
        <v>293</v>
      </c>
      <c r="J219" s="28">
        <v>308</v>
      </c>
      <c r="K219" s="28">
        <v>306</v>
      </c>
      <c r="L219" s="12">
        <v>332</v>
      </c>
      <c r="M219" s="12">
        <v>318</v>
      </c>
      <c r="N219" s="12">
        <v>339</v>
      </c>
      <c r="O219" s="12">
        <v>334</v>
      </c>
      <c r="P219" s="12">
        <v>342</v>
      </c>
      <c r="Q219" s="12">
        <v>374</v>
      </c>
      <c r="R219" s="12">
        <v>403</v>
      </c>
      <c r="S219" s="12">
        <v>432</v>
      </c>
      <c r="T219" s="12">
        <v>537</v>
      </c>
      <c r="U219" s="12">
        <v>609</v>
      </c>
      <c r="V219" s="12">
        <v>598</v>
      </c>
      <c r="W219" s="12">
        <v>556</v>
      </c>
      <c r="X219" s="12">
        <v>538</v>
      </c>
      <c r="Y219" s="12">
        <v>538</v>
      </c>
      <c r="Z219" s="12">
        <v>524</v>
      </c>
      <c r="AA219" s="12">
        <v>533</v>
      </c>
      <c r="AB219" s="12">
        <v>530</v>
      </c>
      <c r="AC219" s="12">
        <v>515</v>
      </c>
      <c r="AD219" s="12">
        <v>508</v>
      </c>
      <c r="AE219" s="12">
        <v>528</v>
      </c>
      <c r="AF219" s="12">
        <v>520</v>
      </c>
      <c r="AG219" s="12">
        <v>517</v>
      </c>
      <c r="AH219" s="12">
        <v>544</v>
      </c>
      <c r="AI219" s="12">
        <v>536</v>
      </c>
      <c r="AJ219" s="12">
        <v>498</v>
      </c>
      <c r="AK219" s="12">
        <v>507</v>
      </c>
      <c r="AL219" s="12">
        <v>501</v>
      </c>
      <c r="AM219" s="71">
        <v>494</v>
      </c>
      <c r="AN219" s="71">
        <v>504</v>
      </c>
      <c r="AO219" s="71">
        <v>488</v>
      </c>
      <c r="AP219" s="71">
        <f>165+325</f>
        <v>490</v>
      </c>
      <c r="AQ219" s="71">
        <v>490</v>
      </c>
      <c r="AR219" s="71">
        <f>185+305</f>
        <v>490</v>
      </c>
      <c r="AS219" s="71">
        <v>507</v>
      </c>
      <c r="AT219" s="71">
        <v>508</v>
      </c>
      <c r="AU219" s="71">
        <v>501</v>
      </c>
      <c r="AV219" s="30">
        <f>296+191</f>
        <v>487</v>
      </c>
      <c r="AW219" s="30">
        <f>282+201</f>
        <v>483</v>
      </c>
      <c r="AX219" s="68">
        <v>452</v>
      </c>
      <c r="AY219" s="68">
        <v>443</v>
      </c>
      <c r="AZ219" s="68">
        <v>458</v>
      </c>
      <c r="BA219" s="293">
        <v>456</v>
      </c>
      <c r="BB219" s="293">
        <v>396</v>
      </c>
      <c r="BC219" s="293">
        <f>190+192</f>
        <v>382</v>
      </c>
      <c r="BD219" s="314">
        <f>163+223</f>
        <v>386</v>
      </c>
      <c r="BE219" s="314">
        <f>171+221</f>
        <v>392</v>
      </c>
      <c r="BF219" s="314">
        <f>177+222</f>
        <v>399</v>
      </c>
      <c r="BG219" s="314">
        <f>171+264</f>
        <v>435</v>
      </c>
      <c r="BH219" s="314">
        <f>193+284</f>
        <v>477</v>
      </c>
      <c r="BI219" s="385">
        <f>(BG219-BF219)/BF219</f>
        <v>9.0225563909774431E-2</v>
      </c>
      <c r="BJ219" s="385">
        <f>(BH219-BG219)/BG219</f>
        <v>9.6551724137931033E-2</v>
      </c>
      <c r="BK219" s="569">
        <f>BG219-BF219</f>
        <v>36</v>
      </c>
      <c r="BL219" s="569">
        <f>BH219-BG219</f>
        <v>42</v>
      </c>
      <c r="BM219" s="331"/>
      <c r="BN219" s="331"/>
    </row>
    <row r="220" spans="1:66" ht="6" customHeight="1">
      <c r="A220" s="125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71"/>
      <c r="AN220" s="71"/>
      <c r="AO220" s="71"/>
      <c r="AP220" s="71"/>
      <c r="AQ220" s="71"/>
      <c r="AR220" s="71"/>
      <c r="AS220" s="71"/>
      <c r="AT220" s="71"/>
      <c r="AU220" s="71"/>
      <c r="AV220" s="158"/>
      <c r="AW220" s="256"/>
      <c r="AX220" s="237"/>
      <c r="AY220" s="237"/>
      <c r="AZ220" s="308"/>
      <c r="BA220" s="293"/>
      <c r="BB220" s="293"/>
      <c r="BC220" s="471"/>
      <c r="BD220" s="309"/>
      <c r="BE220" s="309"/>
      <c r="BF220" s="309"/>
      <c r="BG220" s="309"/>
      <c r="BH220" s="309"/>
      <c r="BI220" s="329"/>
      <c r="BJ220" s="329"/>
      <c r="BK220" s="570"/>
      <c r="BL220" s="570"/>
      <c r="BM220" s="331"/>
      <c r="BN220" s="331"/>
    </row>
    <row r="221" spans="1:66" ht="11.1" customHeight="1">
      <c r="A221" s="125" t="s">
        <v>19</v>
      </c>
      <c r="B221" s="28">
        <v>1007</v>
      </c>
      <c r="C221" s="28">
        <v>1102</v>
      </c>
      <c r="D221" s="28">
        <v>1334</v>
      </c>
      <c r="E221" s="28">
        <v>1500</v>
      </c>
      <c r="F221" s="28">
        <v>1482</v>
      </c>
      <c r="G221" s="28">
        <v>1481</v>
      </c>
      <c r="H221" s="28">
        <v>1441</v>
      </c>
      <c r="I221" s="28">
        <v>1440</v>
      </c>
      <c r="J221" s="28">
        <v>1421</v>
      </c>
      <c r="K221" s="28">
        <v>1358</v>
      </c>
      <c r="L221" s="14">
        <v>1490</v>
      </c>
      <c r="M221" s="14">
        <v>1399</v>
      </c>
      <c r="N221" s="14">
        <v>1448</v>
      </c>
      <c r="O221" s="14">
        <v>1564</v>
      </c>
      <c r="P221" s="14">
        <v>1696</v>
      </c>
      <c r="Q221" s="14">
        <v>1917</v>
      </c>
      <c r="R221" s="14">
        <v>1993</v>
      </c>
      <c r="S221" s="14">
        <v>1918</v>
      </c>
      <c r="T221" s="14">
        <v>2032</v>
      </c>
      <c r="U221" s="14">
        <v>2048</v>
      </c>
      <c r="V221" s="14">
        <v>2050</v>
      </c>
      <c r="W221" s="14">
        <v>1990</v>
      </c>
      <c r="X221" s="14">
        <v>1882</v>
      </c>
      <c r="Y221" s="14">
        <v>1923</v>
      </c>
      <c r="Z221" s="14">
        <v>1885</v>
      </c>
      <c r="AA221" s="14">
        <v>1940</v>
      </c>
      <c r="AB221" s="14">
        <v>1898</v>
      </c>
      <c r="AC221" s="14">
        <v>1930</v>
      </c>
      <c r="AD221" s="14">
        <v>2048</v>
      </c>
      <c r="AE221" s="14">
        <v>2053</v>
      </c>
      <c r="AF221" s="14">
        <v>2130</v>
      </c>
      <c r="AG221" s="14">
        <v>2301</v>
      </c>
      <c r="AH221" s="14">
        <v>2492</v>
      </c>
      <c r="AI221" s="14">
        <v>2675</v>
      </c>
      <c r="AJ221" s="14">
        <v>2652</v>
      </c>
      <c r="AK221" s="14">
        <v>2705</v>
      </c>
      <c r="AL221" s="14">
        <v>2773</v>
      </c>
      <c r="AM221" s="71">
        <v>2777</v>
      </c>
      <c r="AN221" s="75">
        <v>2774</v>
      </c>
      <c r="AO221" s="75">
        <v>2777</v>
      </c>
      <c r="AP221" s="75">
        <v>2841</v>
      </c>
      <c r="AQ221" s="75">
        <v>2936</v>
      </c>
      <c r="AR221" s="75">
        <v>3009</v>
      </c>
      <c r="AS221" s="75">
        <v>3060</v>
      </c>
      <c r="AT221" s="75">
        <v>3550</v>
      </c>
      <c r="AU221" s="75">
        <v>3851</v>
      </c>
      <c r="AV221" s="47">
        <v>3695</v>
      </c>
      <c r="AW221" s="229">
        <v>3465</v>
      </c>
      <c r="AX221" s="68">
        <v>3511</v>
      </c>
      <c r="AY221" s="68">
        <v>3642</v>
      </c>
      <c r="AZ221" s="68">
        <v>3748</v>
      </c>
      <c r="BA221" s="293">
        <v>3844</v>
      </c>
      <c r="BB221" s="293">
        <v>3793</v>
      </c>
      <c r="BC221" s="293">
        <v>4023</v>
      </c>
      <c r="BD221" s="314">
        <v>4150</v>
      </c>
      <c r="BE221" s="314">
        <v>4301</v>
      </c>
      <c r="BF221" s="314">
        <v>4554</v>
      </c>
      <c r="BG221" s="314">
        <v>4637</v>
      </c>
      <c r="BH221" s="314">
        <v>4542</v>
      </c>
      <c r="BI221" s="385">
        <f t="shared" ref="BI221:BJ224" si="87">(BG221-BF221)/BF221</f>
        <v>1.8225735617039964E-2</v>
      </c>
      <c r="BJ221" s="385">
        <f t="shared" si="87"/>
        <v>-2.0487384084537416E-2</v>
      </c>
      <c r="BK221" s="569">
        <f t="shared" ref="BK221:BL224" si="88">BG221-BF221</f>
        <v>83</v>
      </c>
      <c r="BL221" s="569">
        <f t="shared" si="88"/>
        <v>-95</v>
      </c>
      <c r="BM221" s="331"/>
      <c r="BN221" s="331"/>
    </row>
    <row r="222" spans="1:66" ht="12.75" customHeight="1" thickBot="1">
      <c r="A222" s="128" t="s">
        <v>52</v>
      </c>
      <c r="B222" s="150">
        <f t="shared" ref="B222:K222" si="89">SUM(B201+B204+B214+B216+B219+B221)</f>
        <v>5481</v>
      </c>
      <c r="C222" s="150">
        <f t="shared" si="89"/>
        <v>5686</v>
      </c>
      <c r="D222" s="150">
        <f t="shared" si="89"/>
        <v>6343</v>
      </c>
      <c r="E222" s="150">
        <f t="shared" si="89"/>
        <v>6677</v>
      </c>
      <c r="F222" s="150">
        <f t="shared" si="89"/>
        <v>6648</v>
      </c>
      <c r="G222" s="150">
        <f t="shared" si="89"/>
        <v>6682</v>
      </c>
      <c r="H222" s="150">
        <f t="shared" si="89"/>
        <v>6663</v>
      </c>
      <c r="I222" s="150">
        <f t="shared" si="89"/>
        <v>6872</v>
      </c>
      <c r="J222" s="150">
        <f t="shared" si="89"/>
        <v>6989</v>
      </c>
      <c r="K222" s="150">
        <f t="shared" si="89"/>
        <v>6896</v>
      </c>
      <c r="L222" s="150">
        <f>SUM(L201+L204+L214+L216+L219+L221)</f>
        <v>7181</v>
      </c>
      <c r="M222" s="150">
        <f>SUM(M193+M201+M204+M214+M216+M219+M221)</f>
        <v>6782</v>
      </c>
      <c r="N222" s="150">
        <f>SUM(N193+N201+N204+N214+N216+N219+N221)</f>
        <v>6994</v>
      </c>
      <c r="O222" s="150">
        <f>SUM(O193+O201+O204+O214+O216+O219+O221)</f>
        <v>7243</v>
      </c>
      <c r="P222" s="150">
        <f>SUM(P193+P201+P204+P214+P216+P219+P221)</f>
        <v>7783</v>
      </c>
      <c r="Q222" s="150">
        <f>SUM(Q193+Q195+Q201+Q204+Q212+Q214+Q216+Q219+Q221)</f>
        <v>8333</v>
      </c>
      <c r="R222" s="150">
        <f>SUM(R193+R195+R201+R204+R212+R214+R216+R219+R221)</f>
        <v>8759</v>
      </c>
      <c r="S222" s="150">
        <f>SUM(S193+S195+S201+S204+S212+S214+S216+S219+S221)</f>
        <v>8706</v>
      </c>
      <c r="T222" s="150">
        <f>SUM(T193+T195+T201+T204+T212+T214+T216+T219+T221+T210)</f>
        <v>8963</v>
      </c>
      <c r="U222" s="150">
        <f>SUM(U193+U195+U201+U204+U207+U212+U214+U216+U219+U221+U210)</f>
        <v>9307</v>
      </c>
      <c r="V222" s="150">
        <f>SUM(V193+V195+V201+V204+V207+V212+V214+V216+V219+V221+V210)</f>
        <v>9511</v>
      </c>
      <c r="W222" s="150">
        <f>SUM(W195+W201+W204+W207+W212+W214+W216+W219+W221+W210)</f>
        <v>9221</v>
      </c>
      <c r="X222" s="150">
        <f>SUM(X195+X201+X204+X207+X212+X214+X216+X219+X221+X210)</f>
        <v>8604</v>
      </c>
      <c r="Y222" s="150">
        <f>SUM(Y201+Y204+Y207+Y212+Y214+Y216+Y219+Y221+Y210)</f>
        <v>8683</v>
      </c>
      <c r="Z222" s="150">
        <f t="shared" ref="Z222:AO222" si="90">SUM(Z201+Z204+Z207+Z212+Z214+Z216+Z219+Z221+Z210)</f>
        <v>8788</v>
      </c>
      <c r="AA222" s="150">
        <f t="shared" si="90"/>
        <v>8953</v>
      </c>
      <c r="AB222" s="150">
        <f t="shared" si="90"/>
        <v>8989</v>
      </c>
      <c r="AC222" s="150">
        <f t="shared" si="90"/>
        <v>8722</v>
      </c>
      <c r="AD222" s="150">
        <f t="shared" si="90"/>
        <v>9085</v>
      </c>
      <c r="AE222" s="150">
        <f t="shared" si="90"/>
        <v>9337</v>
      </c>
      <c r="AF222" s="150">
        <f t="shared" si="90"/>
        <v>9729</v>
      </c>
      <c r="AG222" s="150">
        <f t="shared" si="90"/>
        <v>10298</v>
      </c>
      <c r="AH222" s="150">
        <f t="shared" si="90"/>
        <v>10732</v>
      </c>
      <c r="AI222" s="150">
        <f t="shared" si="90"/>
        <v>11162</v>
      </c>
      <c r="AJ222" s="150">
        <f t="shared" si="90"/>
        <v>11244</v>
      </c>
      <c r="AK222" s="150">
        <f t="shared" si="90"/>
        <v>11418</v>
      </c>
      <c r="AL222" s="150">
        <f t="shared" si="90"/>
        <v>11457</v>
      </c>
      <c r="AM222" s="150">
        <f t="shared" si="90"/>
        <v>11420</v>
      </c>
      <c r="AN222" s="150">
        <f t="shared" si="90"/>
        <v>11749</v>
      </c>
      <c r="AO222" s="150">
        <f t="shared" si="90"/>
        <v>12286</v>
      </c>
      <c r="AP222" s="150">
        <f t="shared" ref="AP222" si="91">SUM(AP201+AP204+AP207+AP212+AP214+AP216+AP219+AP221+AP210)</f>
        <v>12606</v>
      </c>
      <c r="AQ222" s="150">
        <f t="shared" ref="AQ222" si="92">SUM(AQ201+AQ204+AQ207+AQ212+AQ214+AQ216+AQ219+AQ221+AQ210)</f>
        <v>12904</v>
      </c>
      <c r="AR222" s="150">
        <f t="shared" ref="AR222" si="93">SUM(AR201+AR204+AR207+AR212+AR214+AR216+AR219+AR221+AR210)</f>
        <v>13346</v>
      </c>
      <c r="AS222" s="150">
        <f t="shared" ref="AS222" si="94">SUM(AS201+AS204+AS207+AS212+AS214+AS216+AS219+AS221+AS210)</f>
        <v>13422</v>
      </c>
      <c r="AT222" s="150">
        <f t="shared" ref="AT222" si="95">SUM(AT201+AT204+AT207+AT212+AT214+AT216+AT219+AT221+AT210)</f>
        <v>14060</v>
      </c>
      <c r="AU222" s="150">
        <f t="shared" ref="AU222" si="96">SUM(AU201+AU204+AU207+AU212+AU214+AU216+AU219+AU221+AU210)</f>
        <v>14525</v>
      </c>
      <c r="AV222" s="150">
        <f t="shared" ref="AV222" si="97">SUM(AV201+AV204+AV207+AV212+AV214+AV216+AV219+AV221+AV210)</f>
        <v>14786</v>
      </c>
      <c r="AW222" s="150">
        <f t="shared" ref="AW222" si="98">SUM(AW201+AW204+AW207+AW212+AW214+AW216+AW219+AW221+AW210)</f>
        <v>15533.212560386473</v>
      </c>
      <c r="AX222" s="150">
        <f t="shared" ref="AX222" si="99">SUM(AX201+AX204+AX207+AX212+AX214+AX216+AX219+AX221+AX210)</f>
        <v>16220.714285714286</v>
      </c>
      <c r="AY222" s="150">
        <f t="shared" ref="AY222" si="100">SUM(AY201+AY204+AY207+AY212+AY214+AY216+AY219+AY221+AY210)</f>
        <v>17002.744075829381</v>
      </c>
      <c r="AZ222" s="150">
        <f t="shared" ref="AZ222" si="101">SUM(AZ201+AZ204+AZ207+AZ212+AZ214+AZ216+AZ219+AZ221+AZ210)</f>
        <v>17007</v>
      </c>
      <c r="BA222" s="150">
        <f t="shared" ref="BA222" si="102">SUM(BA201+BA204+BA207+BA212+BA214+BA216+BA219+BA221+BA210)</f>
        <v>17664</v>
      </c>
      <c r="BB222" s="150">
        <f t="shared" ref="BB222" si="103">SUM(BB201+BB204+BB207+BB212+BB214+BB216+BB219+BB221+BB210)</f>
        <v>18013</v>
      </c>
      <c r="BC222" s="150">
        <f t="shared" ref="BC222" si="104">SUM(BC201+BC204+BC207+BC212+BC214+BC216+BC219+BC221+BC210)</f>
        <v>18766</v>
      </c>
      <c r="BD222" s="150">
        <f t="shared" ref="BD222" si="105">SUM(BD201+BD204+BD207+BD212+BD214+BD216+BD219+BD221+BD210)</f>
        <v>19600</v>
      </c>
      <c r="BE222" s="150">
        <f t="shared" ref="BE222" si="106">SUM(BE201+BE204+BE207+BE212+BE214+BE216+BE219+BE221+BE210)</f>
        <v>20367</v>
      </c>
      <c r="BF222" s="650">
        <f t="shared" ref="BF222" si="107">SUM(BF201+BF204+BF207+BF212+BF214+BF216+BF219+BF221+BF210)</f>
        <v>20723</v>
      </c>
      <c r="BG222" s="650">
        <f t="shared" ref="BG222:BH222" si="108">SUM(BG201+BG204+BG207+BG212+BG214+BG216+BG219+BG221+BG210)</f>
        <v>21218</v>
      </c>
      <c r="BH222" s="650">
        <f t="shared" si="108"/>
        <v>21668</v>
      </c>
      <c r="BI222" s="422">
        <f t="shared" si="87"/>
        <v>2.3886502919461469E-2</v>
      </c>
      <c r="BJ222" s="422">
        <f t="shared" si="87"/>
        <v>2.1208407955509472E-2</v>
      </c>
      <c r="BK222" s="574">
        <f t="shared" si="88"/>
        <v>495</v>
      </c>
      <c r="BL222" s="574">
        <f t="shared" si="88"/>
        <v>450</v>
      </c>
    </row>
    <row r="223" spans="1:66" ht="18" customHeight="1" thickBot="1">
      <c r="A223" s="130" t="s">
        <v>53</v>
      </c>
      <c r="B223" s="608">
        <f t="shared" ref="B223:AG223" si="109">SUM(B160+B189+B222)</f>
        <v>18290</v>
      </c>
      <c r="C223" s="608">
        <f t="shared" si="109"/>
        <v>18984</v>
      </c>
      <c r="D223" s="608">
        <f t="shared" si="109"/>
        <v>20492</v>
      </c>
      <c r="E223" s="608">
        <f t="shared" si="109"/>
        <v>21649</v>
      </c>
      <c r="F223" s="608">
        <f t="shared" si="109"/>
        <v>21679</v>
      </c>
      <c r="G223" s="608">
        <f t="shared" si="109"/>
        <v>25300</v>
      </c>
      <c r="H223" s="608">
        <f t="shared" si="109"/>
        <v>24609</v>
      </c>
      <c r="I223" s="608">
        <f t="shared" si="109"/>
        <v>26179</v>
      </c>
      <c r="J223" s="608">
        <f t="shared" si="109"/>
        <v>27098</v>
      </c>
      <c r="K223" s="608">
        <f t="shared" si="109"/>
        <v>27761</v>
      </c>
      <c r="L223" s="608">
        <f t="shared" si="109"/>
        <v>32590</v>
      </c>
      <c r="M223" s="608">
        <f t="shared" si="109"/>
        <v>31133</v>
      </c>
      <c r="N223" s="608">
        <f t="shared" si="109"/>
        <v>30024</v>
      </c>
      <c r="O223" s="608">
        <f t="shared" si="109"/>
        <v>23860</v>
      </c>
      <c r="P223" s="608">
        <f t="shared" si="109"/>
        <v>25207</v>
      </c>
      <c r="Q223" s="608">
        <f t="shared" si="109"/>
        <v>29198</v>
      </c>
      <c r="R223" s="608">
        <f t="shared" si="109"/>
        <v>30846</v>
      </c>
      <c r="S223" s="608">
        <f t="shared" si="109"/>
        <v>28353</v>
      </c>
      <c r="T223" s="608">
        <f t="shared" si="109"/>
        <v>29462</v>
      </c>
      <c r="U223" s="608">
        <f t="shared" si="109"/>
        <v>30025</v>
      </c>
      <c r="V223" s="608">
        <f t="shared" si="109"/>
        <v>31361</v>
      </c>
      <c r="W223" s="608">
        <f t="shared" si="109"/>
        <v>29347</v>
      </c>
      <c r="X223" s="608">
        <f t="shared" si="109"/>
        <v>29177</v>
      </c>
      <c r="Y223" s="608">
        <f t="shared" si="109"/>
        <v>27551</v>
      </c>
      <c r="Z223" s="608">
        <f t="shared" si="109"/>
        <v>27313</v>
      </c>
      <c r="AA223" s="608">
        <f t="shared" si="109"/>
        <v>26988</v>
      </c>
      <c r="AB223" s="608">
        <f t="shared" si="109"/>
        <v>27587</v>
      </c>
      <c r="AC223" s="608">
        <f t="shared" si="109"/>
        <v>27109</v>
      </c>
      <c r="AD223" s="608">
        <f t="shared" si="109"/>
        <v>27778</v>
      </c>
      <c r="AE223" s="608">
        <f t="shared" si="109"/>
        <v>35885</v>
      </c>
      <c r="AF223" s="608">
        <f t="shared" si="109"/>
        <v>33271</v>
      </c>
      <c r="AG223" s="608">
        <f t="shared" si="109"/>
        <v>34412</v>
      </c>
      <c r="AH223" s="608">
        <f t="shared" ref="AH223:BD223" si="110">SUM(AH160+AH189+AH222)</f>
        <v>37089</v>
      </c>
      <c r="AI223" s="608">
        <f t="shared" si="110"/>
        <v>38062</v>
      </c>
      <c r="AJ223" s="608">
        <f t="shared" si="110"/>
        <v>37623</v>
      </c>
      <c r="AK223" s="608">
        <f t="shared" si="110"/>
        <v>37756</v>
      </c>
      <c r="AL223" s="608">
        <f t="shared" si="110"/>
        <v>33714.260869565216</v>
      </c>
      <c r="AM223" s="608">
        <f t="shared" si="110"/>
        <v>32409</v>
      </c>
      <c r="AN223" s="608">
        <f t="shared" si="110"/>
        <v>31941</v>
      </c>
      <c r="AO223" s="608">
        <f t="shared" si="110"/>
        <v>32471</v>
      </c>
      <c r="AP223" s="608">
        <f t="shared" si="110"/>
        <v>32646</v>
      </c>
      <c r="AQ223" s="608">
        <f t="shared" si="110"/>
        <v>32353.611940298506</v>
      </c>
      <c r="AR223" s="608">
        <f t="shared" si="110"/>
        <v>32524</v>
      </c>
      <c r="AS223" s="608">
        <f t="shared" si="110"/>
        <v>32077</v>
      </c>
      <c r="AT223" s="608">
        <f t="shared" si="110"/>
        <v>32652</v>
      </c>
      <c r="AU223" s="608">
        <f t="shared" si="110"/>
        <v>31842</v>
      </c>
      <c r="AV223" s="609">
        <f t="shared" si="110"/>
        <v>32068</v>
      </c>
      <c r="AW223" s="609">
        <f t="shared" si="110"/>
        <v>32952.577008036853</v>
      </c>
      <c r="AX223" s="609">
        <f t="shared" si="110"/>
        <v>33968.71428571429</v>
      </c>
      <c r="AY223" s="609">
        <f t="shared" si="110"/>
        <v>35982.863641046773</v>
      </c>
      <c r="AZ223" s="610">
        <f t="shared" si="110"/>
        <v>37321</v>
      </c>
      <c r="BA223" s="611">
        <f t="shared" si="110"/>
        <v>39455</v>
      </c>
      <c r="BB223" s="611">
        <f t="shared" si="110"/>
        <v>40327</v>
      </c>
      <c r="BC223" s="611">
        <f t="shared" si="110"/>
        <v>41252</v>
      </c>
      <c r="BD223" s="612">
        <f t="shared" si="110"/>
        <v>44229</v>
      </c>
      <c r="BE223" s="612">
        <f>SUM(BE160+BE189+BE222)</f>
        <v>44923</v>
      </c>
      <c r="BF223" s="612">
        <f>SUM(BF160+BF189+BF222)</f>
        <v>45406</v>
      </c>
      <c r="BG223" s="612">
        <f>SUM(BG160+BG189+BG222)</f>
        <v>46131</v>
      </c>
      <c r="BH223" s="612">
        <f>SUM(BH160+BH189+BH222)</f>
        <v>46384</v>
      </c>
      <c r="BI223" s="626">
        <f t="shared" si="87"/>
        <v>1.5967052812403647E-2</v>
      </c>
      <c r="BJ223" s="626">
        <f t="shared" si="87"/>
        <v>5.484381435477228E-3</v>
      </c>
      <c r="BK223" s="627">
        <f t="shared" si="88"/>
        <v>725</v>
      </c>
      <c r="BL223" s="627">
        <f t="shared" si="88"/>
        <v>253</v>
      </c>
    </row>
    <row r="224" spans="1:66" ht="15.75" customHeight="1" thickBot="1">
      <c r="A224" s="169" t="s">
        <v>54</v>
      </c>
      <c r="B224" s="603">
        <f t="shared" ref="B224:AL224" si="111">SUM(B129+B223)</f>
        <v>57109</v>
      </c>
      <c r="C224" s="603">
        <f t="shared" si="111"/>
        <v>61653</v>
      </c>
      <c r="D224" s="603">
        <f t="shared" si="111"/>
        <v>66951</v>
      </c>
      <c r="E224" s="603">
        <f t="shared" si="111"/>
        <v>70806</v>
      </c>
      <c r="F224" s="603">
        <f t="shared" si="111"/>
        <v>71687</v>
      </c>
      <c r="G224" s="603">
        <f t="shared" si="111"/>
        <v>74225</v>
      </c>
      <c r="H224" s="603">
        <f t="shared" si="111"/>
        <v>75840</v>
      </c>
      <c r="I224" s="603">
        <f t="shared" si="111"/>
        <v>77905</v>
      </c>
      <c r="J224" s="603">
        <f t="shared" si="111"/>
        <v>81558</v>
      </c>
      <c r="K224" s="603">
        <f t="shared" si="111"/>
        <v>81969</v>
      </c>
      <c r="L224" s="603">
        <f t="shared" si="111"/>
        <v>90275</v>
      </c>
      <c r="M224" s="603">
        <f t="shared" si="111"/>
        <v>98679</v>
      </c>
      <c r="N224" s="603">
        <f t="shared" si="111"/>
        <v>117625</v>
      </c>
      <c r="O224" s="603">
        <f t="shared" si="111"/>
        <v>117409</v>
      </c>
      <c r="P224" s="603">
        <f t="shared" si="111"/>
        <v>117837</v>
      </c>
      <c r="Q224" s="603">
        <f t="shared" si="111"/>
        <v>122182</v>
      </c>
      <c r="R224" s="603">
        <f t="shared" si="111"/>
        <v>129281</v>
      </c>
      <c r="S224" s="603">
        <f t="shared" si="111"/>
        <v>138097</v>
      </c>
      <c r="T224" s="603">
        <f t="shared" si="111"/>
        <v>141320</v>
      </c>
      <c r="U224" s="603">
        <f t="shared" si="111"/>
        <v>150220</v>
      </c>
      <c r="V224" s="603">
        <f t="shared" si="111"/>
        <v>146408</v>
      </c>
      <c r="W224" s="603">
        <f t="shared" si="111"/>
        <v>144875</v>
      </c>
      <c r="X224" s="603">
        <f t="shared" si="111"/>
        <v>132958</v>
      </c>
      <c r="Y224" s="603">
        <f t="shared" si="111"/>
        <v>127548</v>
      </c>
      <c r="Z224" s="603">
        <f t="shared" si="111"/>
        <v>127287</v>
      </c>
      <c r="AA224" s="603">
        <f t="shared" si="111"/>
        <v>127806</v>
      </c>
      <c r="AB224" s="603">
        <f t="shared" si="111"/>
        <v>127548</v>
      </c>
      <c r="AC224" s="603">
        <f t="shared" si="111"/>
        <v>130456</v>
      </c>
      <c r="AD224" s="603">
        <f t="shared" si="111"/>
        <v>135923</v>
      </c>
      <c r="AE224" s="603">
        <f t="shared" si="111"/>
        <v>151453</v>
      </c>
      <c r="AF224" s="603">
        <f t="shared" si="111"/>
        <v>152746</v>
      </c>
      <c r="AG224" s="603">
        <f t="shared" si="111"/>
        <v>157943</v>
      </c>
      <c r="AH224" s="603">
        <f t="shared" si="111"/>
        <v>167904</v>
      </c>
      <c r="AI224" s="603">
        <f t="shared" si="111"/>
        <v>173968</v>
      </c>
      <c r="AJ224" s="603">
        <f t="shared" si="111"/>
        <v>171187</v>
      </c>
      <c r="AK224" s="603">
        <f t="shared" si="111"/>
        <v>173903</v>
      </c>
      <c r="AL224" s="603">
        <f t="shared" si="111"/>
        <v>170849.26086956522</v>
      </c>
      <c r="AM224" s="603">
        <f t="shared" ref="AM224:BD224" si="112">(AM129+AM223)</f>
        <v>165765</v>
      </c>
      <c r="AN224" s="603">
        <f t="shared" si="112"/>
        <v>171918</v>
      </c>
      <c r="AO224" s="603">
        <f t="shared" si="112"/>
        <v>172449</v>
      </c>
      <c r="AP224" s="603">
        <f t="shared" si="112"/>
        <v>175877.54392161325</v>
      </c>
      <c r="AQ224" s="603">
        <f t="shared" si="112"/>
        <v>173057.4470070625</v>
      </c>
      <c r="AR224" s="603">
        <f t="shared" si="112"/>
        <v>185286.12945036759</v>
      </c>
      <c r="AS224" s="603">
        <f t="shared" si="112"/>
        <v>242566.53918495297</v>
      </c>
      <c r="AT224" s="603">
        <f t="shared" si="112"/>
        <v>235024.37383177571</v>
      </c>
      <c r="AU224" s="603">
        <f t="shared" si="112"/>
        <v>235431</v>
      </c>
      <c r="AV224" s="604">
        <f t="shared" si="112"/>
        <v>233714</v>
      </c>
      <c r="AW224" s="604">
        <f t="shared" si="112"/>
        <v>237553.12915648828</v>
      </c>
      <c r="AX224" s="604">
        <f t="shared" si="112"/>
        <v>249335.81614775342</v>
      </c>
      <c r="AY224" s="604">
        <f t="shared" si="112"/>
        <v>261954.86364104677</v>
      </c>
      <c r="AZ224" s="605">
        <f t="shared" si="112"/>
        <v>270885</v>
      </c>
      <c r="BA224" s="606">
        <f t="shared" si="112"/>
        <v>276565</v>
      </c>
      <c r="BB224" s="606">
        <f t="shared" si="112"/>
        <v>278095</v>
      </c>
      <c r="BC224" s="606">
        <f t="shared" si="112"/>
        <v>273983</v>
      </c>
      <c r="BD224" s="607">
        <f t="shared" si="112"/>
        <v>278443</v>
      </c>
      <c r="BE224" s="607">
        <f>(BE129+BE223)</f>
        <v>270889.54990085925</v>
      </c>
      <c r="BF224" s="607">
        <f>(BF129+BF223)</f>
        <v>277099</v>
      </c>
      <c r="BG224" s="607">
        <f>(BG129+BG223)</f>
        <v>281300</v>
      </c>
      <c r="BH224" s="607">
        <f>(BH129+BH223)</f>
        <v>279992</v>
      </c>
      <c r="BI224" s="600">
        <f t="shared" si="87"/>
        <v>1.5160646555924057E-2</v>
      </c>
      <c r="BJ224" s="600">
        <f t="shared" si="87"/>
        <v>-4.6498400284393886E-3</v>
      </c>
      <c r="BK224" s="601">
        <f t="shared" si="88"/>
        <v>4201</v>
      </c>
      <c r="BL224" s="601">
        <f t="shared" si="88"/>
        <v>-1308</v>
      </c>
    </row>
    <row r="225" spans="1:64" s="182" customFormat="1" ht="10.8" customHeight="1" thickTop="1">
      <c r="A225" s="186"/>
      <c r="L225" s="690"/>
      <c r="M225" s="678"/>
      <c r="N225" s="678"/>
      <c r="O225" s="678"/>
      <c r="P225" s="678"/>
      <c r="Q225" s="678"/>
      <c r="R225" s="678"/>
      <c r="S225" s="678"/>
      <c r="T225" s="678"/>
      <c r="U225" s="678"/>
      <c r="V225" s="678"/>
      <c r="W225" s="678"/>
      <c r="X225" s="678"/>
      <c r="Y225" s="678"/>
      <c r="Z225" s="678"/>
      <c r="AA225" s="678"/>
      <c r="AB225" s="678"/>
      <c r="AC225" s="678"/>
      <c r="AD225" s="678"/>
      <c r="AE225" s="678"/>
      <c r="AF225" s="678"/>
      <c r="AG225" s="678"/>
      <c r="AH225" s="678"/>
      <c r="AI225" s="678"/>
      <c r="AJ225" s="678"/>
      <c r="AK225" s="678"/>
      <c r="AL225" s="678"/>
      <c r="AM225" s="678"/>
      <c r="AN225" s="678"/>
      <c r="AO225" s="678"/>
      <c r="AP225" s="678"/>
      <c r="AQ225" s="678"/>
      <c r="AR225" s="678"/>
      <c r="AS225" s="678"/>
      <c r="AT225" s="678"/>
      <c r="AU225" s="678"/>
      <c r="AV225" s="698"/>
      <c r="AW225" s="699"/>
      <c r="AX225" s="700"/>
      <c r="AY225" s="254"/>
      <c r="AZ225" s="254"/>
      <c r="BA225" s="314"/>
      <c r="BB225" s="314"/>
      <c r="BC225" s="701"/>
      <c r="BD225" s="474"/>
      <c r="BE225" s="474"/>
      <c r="BF225" s="474"/>
      <c r="BG225" s="474"/>
      <c r="BH225" s="474"/>
      <c r="BI225" s="649"/>
      <c r="BJ225" s="649"/>
      <c r="BK225" s="443"/>
      <c r="BL225" s="443"/>
    </row>
    <row r="226" spans="1:64" s="182" customFormat="1" ht="11.1" customHeight="1">
      <c r="A226" s="687" t="s">
        <v>122</v>
      </c>
      <c r="K226" s="702"/>
      <c r="L226" s="703"/>
      <c r="M226" s="683"/>
      <c r="N226" s="183"/>
      <c r="O226" s="183"/>
      <c r="P226" s="183"/>
      <c r="Q226" s="678"/>
      <c r="R226" s="678"/>
      <c r="S226" s="678"/>
      <c r="T226" s="678"/>
      <c r="U226" s="702"/>
      <c r="V226" s="703"/>
      <c r="W226" s="678"/>
      <c r="X226" s="678"/>
      <c r="Y226" s="678"/>
      <c r="Z226" s="702"/>
      <c r="AA226" s="704"/>
      <c r="AB226" s="678"/>
      <c r="AC226" s="678"/>
      <c r="AD226" s="678"/>
      <c r="AE226" s="702"/>
      <c r="AF226" s="703"/>
      <c r="AG226" s="678"/>
      <c r="AH226" s="678"/>
      <c r="AI226" s="678"/>
      <c r="AJ226" s="678"/>
      <c r="AK226" s="678"/>
      <c r="AL226" s="678"/>
      <c r="AM226" s="678"/>
      <c r="AN226" s="678"/>
      <c r="AO226" s="702"/>
      <c r="AP226" s="703"/>
      <c r="AQ226" s="678"/>
      <c r="AR226" s="678"/>
      <c r="AS226" s="678"/>
      <c r="AT226" s="678"/>
      <c r="AU226" s="678"/>
      <c r="AV226" s="678"/>
      <c r="AX226" s="704"/>
      <c r="AY226" s="702"/>
      <c r="AZ226" s="703"/>
      <c r="BA226" s="367"/>
      <c r="BB226" s="423"/>
      <c r="BC226" s="705"/>
      <c r="BD226" s="528"/>
      <c r="BE226" s="528"/>
      <c r="BF226" s="528"/>
      <c r="BG226" s="528"/>
      <c r="BH226" s="528"/>
      <c r="BI226" s="691"/>
      <c r="BJ226" s="691"/>
      <c r="BK226" s="443"/>
      <c r="BL226" s="443"/>
    </row>
    <row r="227" spans="1:64" s="182" customFormat="1" ht="11.1" customHeight="1">
      <c r="A227" s="641" t="s">
        <v>64</v>
      </c>
      <c r="K227" s="693"/>
      <c r="L227" s="696"/>
      <c r="M227" s="676"/>
      <c r="N227" s="183"/>
      <c r="O227" s="183"/>
      <c r="P227" s="183"/>
      <c r="Q227" s="678"/>
      <c r="R227" s="678"/>
      <c r="S227" s="678"/>
      <c r="T227" s="678"/>
      <c r="U227" s="693"/>
      <c r="V227" s="696"/>
      <c r="W227" s="678"/>
      <c r="X227" s="678"/>
      <c r="Y227" s="678"/>
      <c r="Z227" s="693"/>
      <c r="AA227" s="678"/>
      <c r="AB227" s="678"/>
      <c r="AC227" s="678"/>
      <c r="AD227" s="678"/>
      <c r="AE227" s="693"/>
      <c r="AF227" s="696"/>
      <c r="AG227" s="678"/>
      <c r="AH227" s="678"/>
      <c r="AI227" s="678"/>
      <c r="AJ227" s="678"/>
      <c r="AK227" s="678"/>
      <c r="AL227" s="678"/>
      <c r="AM227" s="678"/>
      <c r="AN227" s="678"/>
      <c r="AO227" s="693"/>
      <c r="AP227" s="696"/>
      <c r="AQ227" s="678"/>
      <c r="AR227" s="678"/>
      <c r="AS227" s="678"/>
      <c r="AT227" s="678"/>
      <c r="AU227" s="678"/>
      <c r="AV227" s="678"/>
      <c r="AX227" s="704"/>
      <c r="AY227" s="693"/>
      <c r="AZ227" s="696"/>
      <c r="BA227" s="367"/>
      <c r="BB227" s="367"/>
      <c r="BC227" s="682"/>
      <c r="BD227" s="529"/>
      <c r="BE227" s="529"/>
      <c r="BF227" s="529"/>
      <c r="BG227" s="589"/>
      <c r="BH227" s="589"/>
      <c r="BI227" s="691"/>
      <c r="BJ227" s="691"/>
      <c r="BK227" s="443"/>
      <c r="BL227" s="443"/>
    </row>
    <row r="228" spans="1:64" s="182" customFormat="1" ht="11.1" customHeight="1">
      <c r="A228" s="706"/>
      <c r="K228" s="693"/>
      <c r="L228" s="707"/>
      <c r="M228" s="676"/>
      <c r="N228" s="183"/>
      <c r="O228" s="183"/>
      <c r="P228" s="183"/>
      <c r="Q228" s="678"/>
      <c r="R228" s="678"/>
      <c r="S228" s="678"/>
      <c r="T228" s="678"/>
      <c r="U228" s="693"/>
      <c r="V228" s="707"/>
      <c r="W228" s="678"/>
      <c r="X228" s="678"/>
      <c r="Y228" s="678"/>
      <c r="Z228" s="693"/>
      <c r="AA228" s="678"/>
      <c r="AB228" s="678"/>
      <c r="AC228" s="678"/>
      <c r="AD228" s="678"/>
      <c r="AE228" s="693"/>
      <c r="AF228" s="707"/>
      <c r="AG228" s="678"/>
      <c r="AH228" s="678"/>
      <c r="AI228" s="678"/>
      <c r="AJ228" s="678"/>
      <c r="AK228" s="678"/>
      <c r="AL228" s="678"/>
      <c r="AM228" s="678"/>
      <c r="AN228" s="678"/>
      <c r="AO228" s="693"/>
      <c r="AP228" s="707"/>
      <c r="AQ228" s="678"/>
      <c r="AR228" s="678"/>
      <c r="AS228" s="678"/>
      <c r="AT228" s="678"/>
      <c r="AU228" s="678"/>
      <c r="AV228" s="678"/>
      <c r="AX228" s="704"/>
      <c r="AY228" s="693"/>
      <c r="AZ228" s="707"/>
      <c r="BA228" s="367"/>
      <c r="BB228" s="367"/>
      <c r="BC228" s="682"/>
      <c r="BD228" s="530"/>
      <c r="BE228" s="530"/>
      <c r="BF228" s="530"/>
      <c r="BG228" s="589"/>
      <c r="BH228" s="589"/>
      <c r="BI228" s="691"/>
      <c r="BJ228" s="691"/>
      <c r="BK228" s="443"/>
      <c r="BL228" s="443"/>
    </row>
    <row r="229" spans="1:64" s="182" customFormat="1" ht="11.1" customHeight="1">
      <c r="A229" s="676" t="s">
        <v>71</v>
      </c>
      <c r="K229" s="693"/>
      <c r="L229" s="696"/>
      <c r="M229" s="678"/>
      <c r="N229" s="678"/>
      <c r="O229" s="678"/>
      <c r="P229" s="678"/>
      <c r="Q229" s="678"/>
      <c r="R229" s="678"/>
      <c r="S229" s="678"/>
      <c r="T229" s="678"/>
      <c r="U229" s="693"/>
      <c r="V229" s="696"/>
      <c r="W229" s="678"/>
      <c r="X229" s="678"/>
      <c r="Y229" s="678"/>
      <c r="Z229" s="693"/>
      <c r="AA229" s="708"/>
      <c r="AB229" s="678"/>
      <c r="AC229" s="678"/>
      <c r="AD229" s="678"/>
      <c r="AE229" s="693"/>
      <c r="AF229" s="696"/>
      <c r="AG229" s="678"/>
      <c r="AH229" s="678"/>
      <c r="AI229" s="678"/>
      <c r="AJ229" s="678"/>
      <c r="AK229" s="678"/>
      <c r="AL229" s="678"/>
      <c r="AM229" s="678"/>
      <c r="AN229" s="678"/>
      <c r="AO229" s="693"/>
      <c r="AP229" s="696"/>
      <c r="AQ229" s="678"/>
      <c r="AR229" s="678"/>
      <c r="AS229" s="678"/>
      <c r="AT229" s="678"/>
      <c r="AU229" s="678"/>
      <c r="AV229" s="678"/>
      <c r="AX229" s="704"/>
      <c r="AY229" s="693"/>
      <c r="AZ229" s="696"/>
      <c r="BA229" s="367"/>
      <c r="BB229" s="367"/>
      <c r="BC229" s="682"/>
      <c r="BD229" s="529"/>
      <c r="BE229" s="529"/>
      <c r="BF229" s="529"/>
      <c r="BG229" s="589"/>
      <c r="BH229" s="589"/>
      <c r="BI229" s="691"/>
      <c r="BJ229" s="691"/>
      <c r="BK229" s="443"/>
      <c r="BL229" s="443"/>
    </row>
    <row r="230" spans="1:64" s="182" customFormat="1" ht="11.1" customHeight="1">
      <c r="A230" s="295" t="s">
        <v>159</v>
      </c>
      <c r="K230" s="693"/>
      <c r="L230" s="695"/>
      <c r="M230" s="641"/>
      <c r="N230" s="678"/>
      <c r="O230" s="678"/>
      <c r="P230" s="678"/>
      <c r="Q230" s="678"/>
      <c r="R230" s="678"/>
      <c r="S230" s="678"/>
      <c r="T230" s="678"/>
      <c r="U230" s="693"/>
      <c r="V230" s="695"/>
      <c r="W230" s="678"/>
      <c r="X230" s="678"/>
      <c r="Y230" s="678"/>
      <c r="Z230" s="693"/>
      <c r="AA230" s="678"/>
      <c r="AB230" s="678"/>
      <c r="AC230" s="678"/>
      <c r="AD230" s="678"/>
      <c r="AE230" s="693"/>
      <c r="AF230" s="695"/>
      <c r="AG230" s="678"/>
      <c r="AH230" s="678"/>
      <c r="AI230" s="678"/>
      <c r="AJ230" s="678"/>
      <c r="AK230" s="678"/>
      <c r="AL230" s="678"/>
      <c r="AM230" s="678"/>
      <c r="AN230" s="678"/>
      <c r="AO230" s="693"/>
      <c r="AP230" s="695"/>
      <c r="AQ230" s="678"/>
      <c r="AR230" s="678"/>
      <c r="AS230" s="678"/>
      <c r="AT230" s="678"/>
      <c r="AU230" s="678"/>
      <c r="AV230" s="678"/>
      <c r="AX230" s="704"/>
      <c r="AY230" s="693"/>
      <c r="AZ230" s="695"/>
      <c r="BA230" s="367"/>
      <c r="BB230" s="367"/>
      <c r="BC230" s="682"/>
      <c r="BD230" s="531"/>
      <c r="BE230" s="531"/>
      <c r="BF230" s="531"/>
      <c r="BG230" s="589"/>
      <c r="BH230" s="589"/>
      <c r="BI230" s="691"/>
      <c r="BJ230" s="691"/>
      <c r="BK230" s="443"/>
      <c r="BL230" s="443"/>
    </row>
    <row r="231" spans="1:64" s="589" customFormat="1" ht="11.1" customHeight="1">
      <c r="A231" s="641"/>
      <c r="K231" s="695"/>
      <c r="L231" s="707"/>
      <c r="M231" s="641"/>
      <c r="N231" s="709"/>
      <c r="O231" s="709"/>
      <c r="P231" s="709"/>
      <c r="Q231" s="709"/>
      <c r="R231" s="709"/>
      <c r="S231" s="709"/>
      <c r="T231" s="709"/>
      <c r="U231" s="695"/>
      <c r="V231" s="707"/>
      <c r="W231" s="709"/>
      <c r="X231" s="709"/>
      <c r="Y231" s="709"/>
      <c r="Z231" s="695"/>
      <c r="AA231" s="710"/>
      <c r="AB231" s="709"/>
      <c r="AC231" s="709"/>
      <c r="AD231" s="709"/>
      <c r="AE231" s="695"/>
      <c r="AF231" s="707"/>
      <c r="AG231" s="709"/>
      <c r="AH231" s="709"/>
      <c r="AI231" s="709"/>
      <c r="AJ231" s="709"/>
      <c r="AK231" s="709"/>
      <c r="AL231" s="709"/>
      <c r="AM231" s="709"/>
      <c r="AN231" s="709"/>
      <c r="AO231" s="695"/>
      <c r="AP231" s="707"/>
      <c r="AQ231" s="709"/>
      <c r="AR231" s="709"/>
      <c r="AS231" s="709"/>
      <c r="AT231" s="709"/>
      <c r="AU231" s="709"/>
      <c r="AV231" s="709"/>
      <c r="AX231" s="711"/>
      <c r="AY231" s="695"/>
      <c r="AZ231" s="707"/>
      <c r="BA231" s="712"/>
      <c r="BB231" s="712"/>
      <c r="BC231" s="531"/>
      <c r="BD231" s="530"/>
      <c r="BE231" s="530"/>
      <c r="BF231" s="530"/>
      <c r="BI231" s="713"/>
      <c r="BJ231" s="713"/>
      <c r="BK231" s="444"/>
      <c r="BL231" s="444"/>
    </row>
    <row r="232" spans="1:64" s="589" customFormat="1" ht="11.1" customHeight="1">
      <c r="K232" s="695"/>
      <c r="L232" s="696"/>
      <c r="M232" s="641"/>
      <c r="N232" s="641"/>
      <c r="O232" s="641"/>
      <c r="P232" s="714"/>
      <c r="Q232" s="714"/>
      <c r="R232" s="714"/>
      <c r="S232" s="714"/>
      <c r="T232" s="714"/>
      <c r="U232" s="695"/>
      <c r="V232" s="696"/>
      <c r="W232" s="714"/>
      <c r="X232" s="714"/>
      <c r="Y232" s="714"/>
      <c r="Z232" s="714"/>
      <c r="AA232" s="715"/>
      <c r="AB232" s="714"/>
      <c r="AC232" s="714"/>
      <c r="AD232" s="714"/>
      <c r="AE232" s="695"/>
      <c r="AF232" s="696"/>
      <c r="AG232" s="714"/>
      <c r="AH232" s="714"/>
      <c r="AI232" s="714"/>
      <c r="AJ232" s="714"/>
      <c r="AK232" s="714"/>
      <c r="AL232" s="641"/>
      <c r="AM232" s="641"/>
      <c r="AN232" s="641"/>
      <c r="AO232" s="695"/>
      <c r="AP232" s="696"/>
      <c r="AQ232" s="641"/>
      <c r="AR232" s="641"/>
      <c r="AS232" s="641"/>
      <c r="AT232" s="641"/>
      <c r="AU232" s="641"/>
      <c r="AV232" s="641"/>
      <c r="AX232" s="716"/>
      <c r="AY232" s="695"/>
      <c r="AZ232" s="696"/>
      <c r="BA232" s="712"/>
      <c r="BB232" s="712"/>
      <c r="BC232" s="531"/>
      <c r="BD232" s="529"/>
      <c r="BE232" s="529"/>
      <c r="BF232" s="529"/>
      <c r="BI232" s="713"/>
      <c r="BJ232" s="713"/>
      <c r="BK232" s="444"/>
      <c r="BL232" s="444"/>
    </row>
    <row r="233" spans="1:64" s="589" customFormat="1" ht="11.1" customHeight="1">
      <c r="L233" s="641"/>
      <c r="M233" s="641"/>
      <c r="N233" s="641"/>
      <c r="O233" s="641"/>
      <c r="P233" s="714"/>
      <c r="Q233" s="714"/>
      <c r="R233" s="714"/>
      <c r="S233" s="714"/>
      <c r="T233" s="714"/>
      <c r="U233" s="714"/>
      <c r="V233" s="714"/>
      <c r="W233" s="714"/>
      <c r="X233" s="714"/>
      <c r="Y233" s="714"/>
      <c r="Z233" s="714"/>
      <c r="AA233" s="714"/>
      <c r="AB233" s="714"/>
      <c r="AC233" s="714"/>
      <c r="AD233" s="714"/>
      <c r="AE233" s="714"/>
      <c r="AF233" s="714"/>
      <c r="AG233" s="714"/>
      <c r="AH233" s="714"/>
      <c r="AI233" s="714"/>
      <c r="AJ233" s="714"/>
      <c r="AK233" s="714"/>
      <c r="AL233" s="641"/>
      <c r="AM233" s="641"/>
      <c r="AN233" s="641"/>
      <c r="AO233" s="641"/>
      <c r="AP233" s="641"/>
      <c r="AQ233" s="641"/>
      <c r="AR233" s="641"/>
      <c r="AS233" s="641"/>
      <c r="AT233" s="641"/>
      <c r="AU233" s="641"/>
      <c r="AV233" s="641"/>
      <c r="AX233" s="716"/>
      <c r="AY233" s="717"/>
      <c r="AZ233" s="717"/>
      <c r="BA233" s="712"/>
      <c r="BB233" s="712"/>
      <c r="BC233" s="528"/>
      <c r="BD233" s="528"/>
      <c r="BE233" s="528"/>
      <c r="BF233" s="528"/>
      <c r="BI233" s="713"/>
      <c r="BJ233" s="713"/>
      <c r="BK233" s="444"/>
      <c r="BL233" s="444"/>
    </row>
    <row r="234" spans="1:64" s="589" customFormat="1" ht="11.1" customHeight="1">
      <c r="L234" s="714"/>
      <c r="M234" s="714"/>
      <c r="N234" s="714"/>
      <c r="O234" s="714"/>
      <c r="P234" s="714"/>
      <c r="Q234" s="714"/>
      <c r="R234" s="714"/>
      <c r="S234" s="714"/>
      <c r="T234" s="714"/>
      <c r="U234" s="714"/>
      <c r="V234" s="714"/>
      <c r="W234" s="714"/>
      <c r="X234" s="714"/>
      <c r="Y234" s="714"/>
      <c r="Z234" s="714"/>
      <c r="AA234" s="714"/>
      <c r="AB234" s="714"/>
      <c r="AC234" s="714"/>
      <c r="AD234" s="714"/>
      <c r="AE234" s="714"/>
      <c r="AF234" s="714"/>
      <c r="AG234" s="714"/>
      <c r="AH234" s="714"/>
      <c r="AI234" s="714"/>
      <c r="AJ234" s="714"/>
      <c r="AK234" s="714"/>
      <c r="AL234" s="641"/>
      <c r="AM234" s="641"/>
      <c r="AN234" s="641"/>
      <c r="AO234" s="641"/>
      <c r="AP234" s="641"/>
      <c r="AQ234" s="641"/>
      <c r="AR234" s="641"/>
      <c r="AS234" s="641"/>
      <c r="AT234" s="641"/>
      <c r="AU234" s="641"/>
      <c r="AV234" s="641"/>
      <c r="AX234" s="716"/>
      <c r="AY234" s="717"/>
      <c r="AZ234" s="717"/>
      <c r="BA234" s="712"/>
      <c r="BB234" s="712"/>
      <c r="BC234" s="528"/>
      <c r="BD234" s="528"/>
      <c r="BE234" s="528"/>
      <c r="BF234" s="528"/>
      <c r="BI234" s="713"/>
      <c r="BJ234" s="713"/>
      <c r="BK234" s="444"/>
      <c r="BL234" s="444"/>
    </row>
    <row r="235" spans="1:64" s="589" customFormat="1" ht="11.1" customHeight="1">
      <c r="A235" s="641"/>
      <c r="B235" s="641"/>
      <c r="C235" s="641"/>
      <c r="D235" s="641"/>
      <c r="E235" s="641"/>
      <c r="F235" s="641"/>
      <c r="G235" s="641"/>
      <c r="H235" s="641"/>
      <c r="I235" s="641"/>
      <c r="J235" s="641"/>
      <c r="K235" s="641"/>
      <c r="L235" s="641"/>
      <c r="N235" s="716"/>
      <c r="O235" s="717"/>
      <c r="P235" s="717"/>
      <c r="Q235" s="712"/>
      <c r="R235" s="712"/>
      <c r="S235" s="528"/>
      <c r="T235" s="528"/>
      <c r="U235" s="528"/>
      <c r="V235" s="528"/>
      <c r="W235" s="528"/>
      <c r="X235" s="528"/>
      <c r="Y235" s="713"/>
      <c r="Z235" s="713"/>
      <c r="AA235" s="444"/>
      <c r="AB235" s="444"/>
    </row>
    <row r="236" spans="1:64" s="589" customFormat="1" ht="11.1" customHeight="1">
      <c r="A236" s="641"/>
      <c r="B236" s="641"/>
      <c r="C236" s="641"/>
      <c r="D236" s="641"/>
      <c r="E236" s="641"/>
      <c r="F236" s="641"/>
      <c r="G236" s="641"/>
      <c r="H236" s="641"/>
      <c r="I236" s="641"/>
      <c r="J236" s="641"/>
      <c r="K236" s="641"/>
      <c r="L236" s="641"/>
      <c r="N236" s="716"/>
      <c r="O236" s="717"/>
      <c r="P236" s="717"/>
      <c r="Q236" s="712"/>
      <c r="R236" s="712"/>
      <c r="S236" s="528"/>
      <c r="T236" s="528"/>
      <c r="U236" s="528"/>
      <c r="V236" s="528"/>
      <c r="W236" s="528"/>
      <c r="X236" s="528"/>
      <c r="Y236" s="713"/>
      <c r="Z236" s="713"/>
      <c r="AA236" s="444"/>
      <c r="AB236" s="444"/>
    </row>
    <row r="237" spans="1:64" s="589" customFormat="1" ht="11.1" customHeight="1">
      <c r="A237" s="641"/>
      <c r="E237" s="641"/>
      <c r="F237" s="641"/>
      <c r="G237" s="641"/>
      <c r="H237" s="641"/>
      <c r="I237" s="641"/>
      <c r="J237" s="641"/>
      <c r="K237" s="641"/>
      <c r="M237" s="716"/>
      <c r="N237" s="717"/>
      <c r="O237" s="717"/>
      <c r="P237" s="712"/>
      <c r="Q237" s="712"/>
      <c r="R237" s="528"/>
      <c r="S237" s="528"/>
      <c r="T237" s="528"/>
      <c r="U237" s="528"/>
      <c r="V237" s="528"/>
      <c r="W237" s="528"/>
      <c r="X237" s="713"/>
      <c r="Y237" s="713"/>
      <c r="Z237" s="444"/>
      <c r="AA237" s="444"/>
    </row>
    <row r="238" spans="1:64" s="589" customFormat="1" ht="11.1" customHeight="1">
      <c r="A238" s="641"/>
      <c r="B238" s="709"/>
      <c r="C238" s="709"/>
      <c r="D238" s="709"/>
      <c r="E238" s="641"/>
      <c r="F238" s="641"/>
      <c r="G238" s="641"/>
      <c r="H238" s="641"/>
      <c r="I238" s="641"/>
      <c r="J238" s="641"/>
      <c r="K238" s="641"/>
      <c r="M238" s="716"/>
      <c r="N238" s="717"/>
      <c r="O238" s="717"/>
      <c r="P238" s="712"/>
      <c r="Q238" s="712"/>
      <c r="R238" s="528"/>
      <c r="S238" s="528"/>
      <c r="T238" s="528"/>
      <c r="U238" s="528"/>
      <c r="V238" s="528"/>
      <c r="W238" s="528"/>
      <c r="X238" s="713"/>
      <c r="Y238" s="713"/>
      <c r="Z238" s="444"/>
      <c r="AA238" s="444"/>
    </row>
    <row r="239" spans="1:64" s="589" customFormat="1" ht="11.1" customHeight="1">
      <c r="A239" s="641"/>
      <c r="B239" s="641"/>
      <c r="C239" s="641"/>
      <c r="D239" s="641"/>
      <c r="E239" s="641"/>
      <c r="F239" s="641"/>
      <c r="G239" s="641"/>
      <c r="H239" s="641"/>
      <c r="I239" s="641"/>
      <c r="J239" s="641"/>
      <c r="K239" s="641"/>
      <c r="M239" s="716"/>
      <c r="N239" s="717"/>
      <c r="O239" s="717"/>
      <c r="P239" s="712"/>
      <c r="Q239" s="712"/>
      <c r="R239" s="528"/>
      <c r="S239" s="528"/>
      <c r="T239" s="528"/>
      <c r="U239" s="528"/>
      <c r="V239" s="528"/>
      <c r="W239" s="528"/>
      <c r="X239" s="713"/>
      <c r="Y239" s="713"/>
      <c r="Z239" s="444"/>
      <c r="AA239" s="444"/>
      <c r="BG239" s="684"/>
      <c r="BH239" s="684"/>
    </row>
    <row r="240" spans="1:64" s="589" customFormat="1" ht="11.1" customHeight="1">
      <c r="A240" s="641"/>
      <c r="B240" s="641"/>
      <c r="C240" s="641"/>
      <c r="D240" s="641"/>
      <c r="E240" s="641"/>
      <c r="F240" s="641"/>
      <c r="G240" s="641"/>
      <c r="H240" s="641"/>
      <c r="I240" s="641"/>
      <c r="J240" s="641"/>
      <c r="K240" s="641"/>
      <c r="M240" s="716"/>
      <c r="N240" s="717"/>
      <c r="O240" s="717"/>
      <c r="P240" s="712"/>
      <c r="Q240" s="712"/>
      <c r="R240" s="528"/>
      <c r="S240" s="528"/>
      <c r="T240" s="528"/>
      <c r="U240" s="528"/>
      <c r="V240" s="528"/>
      <c r="W240" s="528"/>
      <c r="X240" s="713"/>
      <c r="Y240" s="713"/>
      <c r="Z240" s="444"/>
      <c r="AA240" s="444"/>
      <c r="BG240" s="684"/>
      <c r="BH240" s="684"/>
    </row>
    <row r="241" spans="1:65" s="589" customFormat="1" ht="11.1" customHeight="1">
      <c r="A241" s="641"/>
      <c r="B241" s="641"/>
      <c r="C241" s="641"/>
      <c r="D241" s="641"/>
      <c r="E241" s="641"/>
      <c r="F241" s="641"/>
      <c r="G241" s="641"/>
      <c r="H241" s="641"/>
      <c r="I241" s="641"/>
      <c r="J241" s="641"/>
      <c r="K241" s="641"/>
      <c r="M241" s="716"/>
      <c r="N241" s="717"/>
      <c r="O241" s="717"/>
      <c r="P241" s="712"/>
      <c r="Q241" s="712"/>
      <c r="R241" s="528"/>
      <c r="S241" s="528"/>
      <c r="T241" s="528"/>
      <c r="U241" s="528"/>
      <c r="V241" s="528"/>
      <c r="W241" s="528"/>
      <c r="X241" s="713"/>
      <c r="Y241" s="713"/>
      <c r="Z241" s="444"/>
      <c r="AA241" s="444"/>
      <c r="BG241" s="718"/>
      <c r="BH241" s="718"/>
    </row>
    <row r="242" spans="1:65" s="589" customFormat="1" ht="11.1" customHeight="1">
      <c r="A242" s="641"/>
      <c r="B242" s="641"/>
      <c r="C242" s="641"/>
      <c r="D242" s="641"/>
      <c r="E242" s="641"/>
      <c r="F242" s="641"/>
      <c r="G242" s="641"/>
      <c r="H242" s="641"/>
      <c r="I242" s="641"/>
      <c r="J242" s="641"/>
      <c r="K242" s="641"/>
      <c r="M242" s="716"/>
      <c r="N242" s="717"/>
      <c r="O242" s="717"/>
      <c r="P242" s="712"/>
      <c r="Q242" s="712"/>
      <c r="R242" s="528"/>
      <c r="S242" s="528"/>
      <c r="T242" s="528"/>
      <c r="U242" s="528"/>
      <c r="V242" s="528"/>
      <c r="W242" s="528"/>
      <c r="X242" s="713"/>
      <c r="Y242" s="713"/>
      <c r="Z242" s="444"/>
      <c r="AA242" s="444"/>
      <c r="BG242" s="718"/>
      <c r="BH242" s="718"/>
    </row>
    <row r="243" spans="1:65" s="589" customFormat="1" ht="11.1" customHeight="1">
      <c r="A243" s="641"/>
      <c r="B243" s="641"/>
      <c r="C243" s="641"/>
      <c r="D243" s="641"/>
      <c r="E243" s="641"/>
      <c r="F243" s="641"/>
      <c r="G243" s="641"/>
      <c r="H243" s="641"/>
      <c r="I243" s="641"/>
      <c r="J243" s="641"/>
      <c r="K243" s="641"/>
      <c r="M243" s="716"/>
      <c r="N243" s="717"/>
      <c r="O243" s="717"/>
      <c r="P243" s="712"/>
      <c r="Q243" s="712"/>
      <c r="R243" s="528"/>
      <c r="S243" s="528"/>
      <c r="T243" s="528"/>
      <c r="U243" s="528"/>
      <c r="V243" s="528"/>
      <c r="W243" s="528"/>
      <c r="X243" s="713"/>
      <c r="Y243" s="713"/>
      <c r="Z243" s="444"/>
      <c r="AA243" s="444"/>
      <c r="BG243" s="718"/>
      <c r="BH243" s="718"/>
    </row>
    <row r="244" spans="1:65" s="589" customFormat="1" ht="11.1" customHeight="1">
      <c r="A244" s="641"/>
      <c r="B244" s="642"/>
      <c r="C244" s="641"/>
      <c r="D244" s="641"/>
      <c r="E244" s="641"/>
      <c r="F244" s="641"/>
      <c r="G244" s="641"/>
      <c r="H244" s="641"/>
      <c r="I244" s="641"/>
      <c r="J244" s="641"/>
      <c r="K244" s="641"/>
      <c r="M244" s="716"/>
      <c r="N244" s="717"/>
      <c r="O244" s="717"/>
      <c r="P244" s="712"/>
      <c r="Q244" s="712"/>
      <c r="R244" s="528"/>
      <c r="S244" s="528"/>
      <c r="T244" s="528"/>
      <c r="U244" s="528"/>
      <c r="V244" s="528"/>
      <c r="W244" s="528"/>
      <c r="X244" s="713"/>
      <c r="Y244" s="713"/>
      <c r="Z244" s="444"/>
      <c r="AA244" s="444"/>
      <c r="BG244" s="528"/>
      <c r="BH244" s="528"/>
    </row>
    <row r="245" spans="1:65" s="589" customFormat="1" ht="11.1" customHeight="1">
      <c r="A245" s="641"/>
      <c r="B245" s="719"/>
      <c r="C245" s="719"/>
      <c r="D245" s="719"/>
      <c r="E245" s="641"/>
      <c r="F245" s="641"/>
      <c r="G245" s="641"/>
      <c r="H245" s="641"/>
      <c r="I245" s="641"/>
      <c r="J245" s="641"/>
      <c r="K245" s="641"/>
      <c r="M245" s="716"/>
      <c r="N245" s="717"/>
      <c r="O245" s="717"/>
      <c r="P245" s="712"/>
      <c r="Q245" s="712"/>
      <c r="R245" s="528"/>
      <c r="S245" s="528"/>
      <c r="T245" s="528"/>
      <c r="U245" s="528"/>
      <c r="V245" s="528"/>
      <c r="W245" s="528"/>
      <c r="X245" s="713"/>
      <c r="Y245" s="713"/>
      <c r="Z245" s="444"/>
      <c r="AA245" s="444"/>
      <c r="BG245" s="528"/>
      <c r="BH245" s="528"/>
    </row>
    <row r="246" spans="1:65" s="589" customFormat="1" ht="11.1" customHeight="1">
      <c r="A246" s="641"/>
      <c r="B246" s="641"/>
      <c r="C246" s="641"/>
      <c r="D246" s="641"/>
      <c r="E246" s="641"/>
      <c r="F246" s="641"/>
      <c r="G246" s="641"/>
      <c r="H246" s="641"/>
      <c r="I246" s="641"/>
      <c r="J246" s="641"/>
      <c r="K246" s="641"/>
      <c r="L246" s="641"/>
      <c r="N246" s="716"/>
      <c r="O246" s="717"/>
      <c r="P246" s="717"/>
      <c r="Q246" s="712"/>
      <c r="R246" s="712"/>
      <c r="S246" s="528"/>
      <c r="T246" s="528"/>
      <c r="U246" s="528"/>
      <c r="V246" s="528"/>
      <c r="W246" s="528"/>
      <c r="X246" s="528"/>
      <c r="Y246" s="713"/>
      <c r="Z246" s="713"/>
      <c r="AA246" s="444"/>
      <c r="AB246" s="444"/>
      <c r="BG246" s="528"/>
      <c r="BH246" s="528"/>
    </row>
    <row r="247" spans="1:65" s="684" customFormat="1" ht="11.1" customHeight="1">
      <c r="A247" s="641"/>
      <c r="F247" s="641"/>
      <c r="G247" s="641"/>
      <c r="H247" s="641"/>
      <c r="I247" s="641"/>
      <c r="J247" s="641"/>
      <c r="K247" s="641"/>
      <c r="L247" s="641"/>
      <c r="M247" s="589"/>
      <c r="N247" s="716"/>
      <c r="O247" s="717"/>
      <c r="P247" s="717"/>
      <c r="Q247" s="712"/>
      <c r="R247" s="712"/>
      <c r="S247" s="528"/>
      <c r="T247" s="528"/>
      <c r="U247" s="528"/>
      <c r="V247" s="528"/>
      <c r="W247" s="528"/>
      <c r="X247" s="528"/>
      <c r="Y247" s="713"/>
      <c r="Z247" s="713"/>
      <c r="AA247" s="444"/>
      <c r="AB247" s="444"/>
      <c r="AC247" s="589"/>
      <c r="BG247" s="528"/>
      <c r="BH247" s="528"/>
    </row>
    <row r="248" spans="1:65" s="684" customFormat="1" ht="11.1" customHeight="1">
      <c r="A248" s="641"/>
      <c r="F248" s="641"/>
      <c r="G248" s="641"/>
      <c r="H248" s="641"/>
      <c r="I248" s="641"/>
      <c r="J248" s="641"/>
      <c r="K248" s="641"/>
      <c r="L248" s="641"/>
      <c r="M248" s="589"/>
      <c r="N248" s="716"/>
      <c r="O248" s="717"/>
      <c r="P248" s="717"/>
      <c r="Q248" s="712"/>
      <c r="R248" s="712"/>
      <c r="S248" s="528"/>
      <c r="T248" s="528"/>
      <c r="U248" s="528"/>
      <c r="V248" s="528"/>
      <c r="W248" s="528"/>
      <c r="X248" s="528"/>
      <c r="Y248" s="713"/>
      <c r="Z248" s="713"/>
      <c r="AA248" s="444"/>
      <c r="AB248" s="444"/>
      <c r="AC248" s="589"/>
      <c r="BG248" s="528"/>
      <c r="BH248" s="528"/>
    </row>
    <row r="249" spans="1:65" s="718" customFormat="1" ht="12">
      <c r="A249" s="641"/>
      <c r="F249" s="641"/>
      <c r="G249" s="641"/>
      <c r="H249" s="641"/>
      <c r="I249" s="641"/>
      <c r="J249" s="641"/>
      <c r="K249" s="641"/>
      <c r="L249" s="641"/>
      <c r="M249" s="589"/>
      <c r="N249" s="716"/>
      <c r="O249" s="717"/>
      <c r="P249" s="717"/>
      <c r="Q249" s="712"/>
      <c r="R249" s="712"/>
      <c r="S249" s="528"/>
      <c r="T249" s="528"/>
      <c r="U249" s="528"/>
      <c r="V249" s="528"/>
      <c r="W249" s="528"/>
      <c r="X249" s="528"/>
      <c r="Y249" s="713"/>
      <c r="Z249" s="713"/>
      <c r="AA249" s="444"/>
      <c r="AB249" s="444"/>
      <c r="AC249" s="589"/>
      <c r="BG249" s="528"/>
      <c r="BH249" s="528"/>
    </row>
    <row r="250" spans="1:65" s="718" customFormat="1" ht="12">
      <c r="A250" s="641"/>
      <c r="B250" s="716"/>
      <c r="C250" s="717"/>
      <c r="D250" s="717"/>
      <c r="E250" s="712"/>
      <c r="F250" s="712"/>
      <c r="G250" s="528"/>
      <c r="H250" s="528"/>
      <c r="I250" s="528"/>
      <c r="J250" s="528"/>
      <c r="K250" s="528"/>
      <c r="L250" s="528"/>
      <c r="M250" s="713"/>
      <c r="N250" s="713"/>
      <c r="O250" s="444"/>
      <c r="P250" s="444"/>
      <c r="Q250" s="589"/>
      <c r="BG250" s="528"/>
      <c r="BH250" s="528"/>
    </row>
    <row r="251" spans="1:65" s="718" customFormat="1" ht="12">
      <c r="A251" s="641"/>
      <c r="B251" s="720"/>
      <c r="C251" s="720"/>
      <c r="D251" s="720"/>
      <c r="E251" s="720"/>
      <c r="F251" s="720"/>
      <c r="G251" s="720"/>
      <c r="H251" s="720"/>
      <c r="I251" s="720"/>
      <c r="J251" s="721">
        <f>V223/V224</f>
        <v>0.21420277580460084</v>
      </c>
      <c r="K251" s="720"/>
      <c r="L251" s="720"/>
      <c r="M251" s="720"/>
      <c r="N251" s="720"/>
      <c r="O251" s="720"/>
      <c r="P251" s="720"/>
      <c r="Q251" s="720"/>
      <c r="R251" s="720"/>
      <c r="S251" s="720"/>
      <c r="T251" s="721">
        <f>AF223/AF224</f>
        <v>0.2178191245597266</v>
      </c>
      <c r="U251" s="720"/>
      <c r="V251" s="720"/>
      <c r="W251" s="720"/>
      <c r="X251" s="720"/>
      <c r="Y251" s="720"/>
      <c r="AD251" s="641"/>
      <c r="AE251" s="641"/>
      <c r="AF251" s="641"/>
      <c r="AG251" s="641"/>
      <c r="AH251" s="641"/>
      <c r="AI251" s="641"/>
      <c r="AJ251" s="641"/>
      <c r="AK251" s="589"/>
      <c r="AL251" s="716"/>
      <c r="AM251" s="717"/>
      <c r="AN251" s="717"/>
      <c r="AO251" s="712"/>
      <c r="AP251" s="712"/>
      <c r="AQ251" s="528"/>
      <c r="AR251" s="528"/>
      <c r="AS251" s="528"/>
      <c r="AT251" s="528"/>
      <c r="AU251" s="528"/>
      <c r="AV251" s="528"/>
      <c r="AW251" s="713"/>
      <c r="AX251" s="713"/>
      <c r="AY251" s="444"/>
      <c r="AZ251" s="444"/>
      <c r="BA251" s="589"/>
      <c r="BG251" s="528"/>
      <c r="BH251" s="528"/>
    </row>
    <row r="252" spans="1:65" s="684" customFormat="1" ht="12">
      <c r="A252" s="641"/>
      <c r="L252" s="722"/>
      <c r="M252" s="722"/>
      <c r="N252" s="722"/>
      <c r="O252" s="722"/>
      <c r="P252" s="722"/>
      <c r="Q252" s="722"/>
      <c r="R252" s="722"/>
      <c r="S252" s="722"/>
      <c r="T252" s="722"/>
      <c r="U252" s="722"/>
      <c r="V252" s="722"/>
      <c r="W252" s="722"/>
      <c r="X252" s="722"/>
      <c r="Y252" s="722"/>
      <c r="Z252" s="722"/>
      <c r="AA252" s="722"/>
      <c r="AB252" s="722"/>
      <c r="AC252" s="722"/>
      <c r="AD252" s="722"/>
      <c r="AE252" s="722"/>
      <c r="AF252" s="722"/>
      <c r="AG252" s="722"/>
      <c r="AH252" s="722"/>
      <c r="AI252" s="722"/>
      <c r="AJ252" s="722"/>
      <c r="AK252" s="722"/>
      <c r="AP252" s="641"/>
      <c r="AQ252" s="641"/>
      <c r="AR252" s="641"/>
      <c r="AS252" s="641"/>
      <c r="AT252" s="641"/>
      <c r="AU252" s="641"/>
      <c r="AV252" s="641"/>
      <c r="AW252" s="589"/>
      <c r="AX252" s="716"/>
      <c r="AY252" s="717"/>
      <c r="AZ252" s="717"/>
      <c r="BA252" s="712"/>
      <c r="BB252" s="712"/>
      <c r="BC252" s="528"/>
      <c r="BD252" s="528"/>
      <c r="BE252" s="528"/>
      <c r="BF252" s="528"/>
      <c r="BG252" s="528"/>
      <c r="BH252" s="528"/>
      <c r="BI252" s="713"/>
      <c r="BJ252" s="713"/>
      <c r="BK252" s="444"/>
      <c r="BL252" s="444"/>
      <c r="BM252" s="589"/>
    </row>
    <row r="253" spans="1:65" s="684" customFormat="1" ht="12">
      <c r="A253" s="641"/>
      <c r="L253" s="722"/>
      <c r="M253" s="722"/>
      <c r="N253" s="722"/>
      <c r="O253" s="722"/>
      <c r="P253" s="722"/>
      <c r="Q253" s="722"/>
      <c r="R253" s="722"/>
      <c r="S253" s="722"/>
      <c r="T253" s="722"/>
      <c r="U253" s="722"/>
      <c r="V253" s="722"/>
      <c r="W253" s="722"/>
      <c r="X253" s="722"/>
      <c r="Y253" s="722"/>
      <c r="Z253" s="722"/>
      <c r="AA253" s="722"/>
      <c r="AB253" s="722"/>
      <c r="AC253" s="722"/>
      <c r="AD253" s="722"/>
      <c r="AE253" s="722"/>
      <c r="AF253" s="722"/>
      <c r="AG253" s="722"/>
      <c r="AH253" s="722"/>
      <c r="AI253" s="722"/>
      <c r="AJ253" s="722"/>
      <c r="AK253" s="722"/>
      <c r="AP253" s="641"/>
      <c r="AQ253" s="641"/>
      <c r="AR253" s="641"/>
      <c r="AS253" s="641"/>
      <c r="AT253" s="641"/>
      <c r="AU253" s="641"/>
      <c r="AV253" s="641"/>
      <c r="AW253" s="589"/>
      <c r="AX253" s="716"/>
      <c r="AY253" s="717"/>
      <c r="AZ253" s="717"/>
      <c r="BA253" s="712"/>
      <c r="BB253" s="712"/>
      <c r="BC253" s="528"/>
      <c r="BD253" s="528"/>
      <c r="BE253" s="528"/>
      <c r="BF253" s="528"/>
      <c r="BG253" s="528"/>
      <c r="BH253" s="528"/>
      <c r="BI253" s="713"/>
      <c r="BJ253" s="713"/>
      <c r="BK253" s="444"/>
      <c r="BL253" s="444"/>
      <c r="BM253" s="589"/>
    </row>
    <row r="254" spans="1:65" s="589" customFormat="1" ht="12">
      <c r="A254" s="641"/>
      <c r="L254" s="714"/>
      <c r="M254" s="714"/>
      <c r="N254" s="714"/>
      <c r="O254" s="714"/>
      <c r="P254" s="714"/>
      <c r="Q254" s="714"/>
      <c r="R254" s="714"/>
      <c r="S254" s="714"/>
      <c r="T254" s="714"/>
      <c r="U254" s="714"/>
      <c r="V254" s="714"/>
      <c r="W254" s="714"/>
      <c r="X254" s="714"/>
      <c r="Y254" s="714"/>
      <c r="Z254" s="714"/>
      <c r="AA254" s="714"/>
      <c r="AB254" s="714"/>
      <c r="AC254" s="714"/>
      <c r="AD254" s="714"/>
      <c r="AE254" s="714"/>
      <c r="AF254" s="714"/>
      <c r="AG254" s="714"/>
      <c r="AH254" s="714"/>
      <c r="AI254" s="714"/>
      <c r="AJ254" s="714"/>
      <c r="AK254" s="714"/>
      <c r="AL254" s="641"/>
      <c r="AM254" s="641"/>
      <c r="AN254" s="641"/>
      <c r="AO254" s="641"/>
      <c r="AP254" s="641"/>
      <c r="AQ254" s="641"/>
      <c r="AR254" s="641"/>
      <c r="AS254" s="641"/>
      <c r="AT254" s="641"/>
      <c r="AU254" s="641"/>
      <c r="AV254" s="641"/>
      <c r="AX254" s="716"/>
      <c r="AY254" s="717"/>
      <c r="AZ254" s="717"/>
      <c r="BA254" s="712"/>
      <c r="BB254" s="712"/>
      <c r="BC254" s="528"/>
      <c r="BD254" s="528"/>
      <c r="BE254" s="528"/>
      <c r="BF254" s="528"/>
      <c r="BG254" s="528"/>
      <c r="BH254" s="528"/>
      <c r="BI254" s="713"/>
      <c r="BJ254" s="713"/>
      <c r="BK254" s="444"/>
      <c r="BL254" s="444"/>
    </row>
    <row r="255" spans="1:65" s="589" customFormat="1" ht="12">
      <c r="A255" s="641"/>
      <c r="L255" s="641"/>
      <c r="M255" s="641"/>
      <c r="N255" s="641"/>
      <c r="O255" s="641"/>
      <c r="P255" s="641"/>
      <c r="Q255" s="641"/>
      <c r="R255" s="641"/>
      <c r="S255" s="641"/>
      <c r="T255" s="641"/>
      <c r="U255" s="641"/>
      <c r="V255" s="641"/>
      <c r="W255" s="641"/>
      <c r="X255" s="641"/>
      <c r="Y255" s="641"/>
      <c r="Z255" s="641"/>
      <c r="AA255" s="641"/>
      <c r="AB255" s="641"/>
      <c r="AC255" s="641"/>
      <c r="AD255" s="641"/>
      <c r="AE255" s="641"/>
      <c r="AF255" s="641"/>
      <c r="AG255" s="641"/>
      <c r="AH255" s="641"/>
      <c r="AI255" s="641"/>
      <c r="AJ255" s="641"/>
      <c r="AK255" s="641"/>
      <c r="AL255" s="641"/>
      <c r="AM255" s="641"/>
      <c r="AN255" s="641"/>
      <c r="AO255" s="641"/>
      <c r="AP255" s="641"/>
      <c r="AQ255" s="641"/>
      <c r="AR255" s="641"/>
      <c r="AS255" s="641"/>
      <c r="AT255" s="641"/>
      <c r="AU255" s="641"/>
      <c r="AV255" s="641"/>
      <c r="AX255" s="716"/>
      <c r="AY255" s="717"/>
      <c r="AZ255" s="717"/>
      <c r="BA255" s="712"/>
      <c r="BB255" s="712"/>
      <c r="BC255" s="528"/>
      <c r="BD255" s="528"/>
      <c r="BE255" s="528"/>
      <c r="BF255" s="528"/>
      <c r="BG255" s="528"/>
      <c r="BH255" s="528"/>
      <c r="BI255" s="713"/>
      <c r="BJ255" s="713"/>
      <c r="BK255" s="444"/>
      <c r="BL255" s="444"/>
    </row>
    <row r="256" spans="1:65" s="589" customFormat="1" ht="12">
      <c r="A256" s="641"/>
      <c r="L256" s="641"/>
      <c r="M256" s="641"/>
      <c r="N256" s="641"/>
      <c r="O256" s="641"/>
      <c r="P256" s="641"/>
      <c r="Q256" s="641"/>
      <c r="R256" s="641"/>
      <c r="S256" s="641"/>
      <c r="T256" s="641"/>
      <c r="U256" s="641"/>
      <c r="V256" s="641"/>
      <c r="W256" s="641"/>
      <c r="X256" s="641"/>
      <c r="Y256" s="641"/>
      <c r="Z256" s="641"/>
      <c r="AA256" s="641"/>
      <c r="AB256" s="641"/>
      <c r="AC256" s="641"/>
      <c r="AD256" s="641"/>
      <c r="AE256" s="641"/>
      <c r="AF256" s="641"/>
      <c r="AG256" s="641"/>
      <c r="AH256" s="641"/>
      <c r="AI256" s="641"/>
      <c r="AJ256" s="641"/>
      <c r="AK256" s="641"/>
      <c r="AL256" s="641"/>
      <c r="AM256" s="641"/>
      <c r="AN256" s="641"/>
      <c r="AO256" s="641"/>
      <c r="AP256" s="641"/>
      <c r="AQ256" s="641"/>
      <c r="AR256" s="641"/>
      <c r="AS256" s="641"/>
      <c r="AT256" s="641"/>
      <c r="AU256" s="641"/>
      <c r="AV256" s="641"/>
      <c r="AX256" s="716"/>
      <c r="AY256" s="717"/>
      <c r="AZ256" s="717"/>
      <c r="BA256" s="712"/>
      <c r="BB256" s="712"/>
      <c r="BC256" s="528"/>
      <c r="BD256" s="528"/>
      <c r="BE256" s="528"/>
      <c r="BF256" s="528"/>
      <c r="BG256" s="528"/>
      <c r="BH256" s="528"/>
      <c r="BI256" s="713"/>
      <c r="BJ256" s="713"/>
      <c r="BK256" s="444"/>
      <c r="BL256" s="444"/>
    </row>
    <row r="257" spans="1:65" s="589" customFormat="1">
      <c r="A257" s="641"/>
      <c r="L257" s="641"/>
      <c r="M257" s="641"/>
      <c r="N257" s="641"/>
      <c r="O257" s="641"/>
      <c r="P257" s="641"/>
      <c r="Q257" s="641"/>
      <c r="R257" s="641"/>
      <c r="S257" s="641"/>
      <c r="T257" s="641"/>
      <c r="U257" s="641"/>
      <c r="V257" s="641"/>
      <c r="W257" s="641"/>
      <c r="X257" s="641"/>
      <c r="Y257" s="641"/>
      <c r="Z257" s="641"/>
      <c r="AA257" s="641"/>
      <c r="AB257" s="641"/>
      <c r="AC257" s="641"/>
      <c r="AD257" s="641"/>
      <c r="AE257" s="641"/>
      <c r="AF257" s="641"/>
      <c r="AG257" s="641"/>
      <c r="AH257" s="641"/>
      <c r="AI257" s="641"/>
      <c r="AJ257" s="641"/>
      <c r="AK257" s="641"/>
      <c r="AL257" s="641"/>
      <c r="AM257" s="641"/>
      <c r="AN257" s="641"/>
      <c r="AO257" s="641"/>
      <c r="AP257" s="641"/>
      <c r="AQ257" s="641"/>
      <c r="AR257" s="641"/>
      <c r="AS257" s="641"/>
      <c r="AT257" s="641"/>
      <c r="AU257" s="641"/>
      <c r="AV257" s="641"/>
      <c r="AX257" s="716"/>
      <c r="AY257" s="717"/>
      <c r="AZ257" s="717"/>
      <c r="BA257" s="712"/>
      <c r="BB257" s="712"/>
      <c r="BC257" s="528"/>
      <c r="BD257" s="528"/>
      <c r="BE257" s="528"/>
      <c r="BF257" s="528"/>
      <c r="BG257" s="532"/>
      <c r="BH257" s="532"/>
      <c r="BI257" s="713"/>
      <c r="BJ257" s="713"/>
      <c r="BK257" s="444"/>
      <c r="BL257" s="444"/>
    </row>
    <row r="258" spans="1:65" s="589" customFormat="1">
      <c r="A258" s="641"/>
      <c r="L258" s="641"/>
      <c r="M258" s="641"/>
      <c r="N258" s="641"/>
      <c r="O258" s="641"/>
      <c r="P258" s="641"/>
      <c r="Q258" s="641"/>
      <c r="R258" s="641"/>
      <c r="S258" s="641"/>
      <c r="T258" s="641"/>
      <c r="U258" s="641"/>
      <c r="V258" s="641"/>
      <c r="W258" s="641"/>
      <c r="X258" s="641"/>
      <c r="Y258" s="641"/>
      <c r="Z258" s="641"/>
      <c r="AA258" s="641"/>
      <c r="AB258" s="641"/>
      <c r="AC258" s="641"/>
      <c r="AD258" s="641"/>
      <c r="AE258" s="641"/>
      <c r="AF258" s="641"/>
      <c r="AG258" s="641"/>
      <c r="AH258" s="641"/>
      <c r="AI258" s="641"/>
      <c r="AJ258" s="641"/>
      <c r="AK258" s="641"/>
      <c r="AL258" s="641"/>
      <c r="AM258" s="641"/>
      <c r="AN258" s="641"/>
      <c r="AO258" s="641"/>
      <c r="AP258" s="641"/>
      <c r="AQ258" s="641"/>
      <c r="AR258" s="641"/>
      <c r="AS258" s="641"/>
      <c r="AT258" s="641"/>
      <c r="AU258" s="641"/>
      <c r="AV258" s="641"/>
      <c r="AX258" s="716"/>
      <c r="AY258" s="717"/>
      <c r="AZ258" s="717"/>
      <c r="BA258" s="712"/>
      <c r="BB258" s="712"/>
      <c r="BC258" s="528"/>
      <c r="BD258" s="528"/>
      <c r="BE258" s="528"/>
      <c r="BF258" s="528"/>
      <c r="BG258" s="532"/>
      <c r="BH258" s="532"/>
      <c r="BI258" s="713"/>
      <c r="BJ258" s="713"/>
      <c r="BK258" s="444"/>
      <c r="BL258" s="444"/>
    </row>
    <row r="259" spans="1:65" s="589" customFormat="1">
      <c r="A259" s="641"/>
      <c r="L259" s="641"/>
      <c r="M259" s="641"/>
      <c r="N259" s="641"/>
      <c r="O259" s="641"/>
      <c r="P259" s="641"/>
      <c r="Q259" s="641"/>
      <c r="R259" s="641"/>
      <c r="S259" s="641"/>
      <c r="T259" s="641"/>
      <c r="U259" s="641"/>
      <c r="V259" s="641"/>
      <c r="W259" s="641"/>
      <c r="X259" s="641"/>
      <c r="Y259" s="641"/>
      <c r="Z259" s="641"/>
      <c r="AA259" s="641"/>
      <c r="AB259" s="641"/>
      <c r="AC259" s="641"/>
      <c r="AD259" s="641"/>
      <c r="AE259" s="641"/>
      <c r="AF259" s="641"/>
      <c r="AG259" s="641"/>
      <c r="AH259" s="641"/>
      <c r="AI259" s="641"/>
      <c r="AJ259" s="641"/>
      <c r="AK259" s="641"/>
      <c r="AL259" s="641"/>
      <c r="AM259" s="641"/>
      <c r="AN259" s="641"/>
      <c r="AO259" s="641"/>
      <c r="AP259" s="641"/>
      <c r="AQ259" s="641"/>
      <c r="AR259" s="641"/>
      <c r="AS259" s="641"/>
      <c r="AT259" s="641"/>
      <c r="AU259" s="641"/>
      <c r="AV259" s="641"/>
      <c r="AX259" s="716"/>
      <c r="AY259" s="717"/>
      <c r="AZ259" s="717"/>
      <c r="BA259" s="712"/>
      <c r="BB259" s="712"/>
      <c r="BC259" s="528"/>
      <c r="BD259" s="528"/>
      <c r="BE259" s="528"/>
      <c r="BF259" s="528"/>
      <c r="BG259" s="532"/>
      <c r="BH259" s="532"/>
      <c r="BI259" s="713"/>
      <c r="BJ259" s="713"/>
      <c r="BK259" s="444"/>
      <c r="BL259" s="444"/>
    </row>
    <row r="260" spans="1:65" s="589" customFormat="1">
      <c r="A260" s="641"/>
      <c r="L260" s="641"/>
      <c r="M260" s="641"/>
      <c r="N260" s="641"/>
      <c r="O260" s="641"/>
      <c r="P260" s="641"/>
      <c r="Q260" s="641"/>
      <c r="R260" s="641"/>
      <c r="S260" s="641"/>
      <c r="T260" s="641"/>
      <c r="U260" s="641"/>
      <c r="V260" s="641"/>
      <c r="W260" s="641"/>
      <c r="X260" s="641"/>
      <c r="Y260" s="641"/>
      <c r="Z260" s="641"/>
      <c r="AA260" s="641"/>
      <c r="AB260" s="641"/>
      <c r="AC260" s="641"/>
      <c r="AD260" s="641"/>
      <c r="AE260" s="641"/>
      <c r="AF260" s="641"/>
      <c r="AG260" s="641"/>
      <c r="AH260" s="641"/>
      <c r="AI260" s="641"/>
      <c r="AJ260" s="641"/>
      <c r="AK260" s="641"/>
      <c r="AL260" s="641"/>
      <c r="AM260" s="641"/>
      <c r="AN260" s="641"/>
      <c r="AO260" s="641"/>
      <c r="AP260" s="641"/>
      <c r="AQ260" s="641"/>
      <c r="AR260" s="641"/>
      <c r="AS260" s="641"/>
      <c r="AT260" s="641"/>
      <c r="AU260" s="641"/>
      <c r="AV260" s="641"/>
      <c r="AX260" s="716"/>
      <c r="AY260" s="717"/>
      <c r="AZ260" s="717"/>
      <c r="BA260" s="712"/>
      <c r="BB260" s="712"/>
      <c r="BC260" s="528"/>
      <c r="BD260" s="528"/>
      <c r="BE260" s="528"/>
      <c r="BF260" s="528"/>
      <c r="BG260" s="532"/>
      <c r="BH260" s="532"/>
      <c r="BI260" s="713"/>
      <c r="BJ260" s="713"/>
      <c r="BK260" s="444"/>
      <c r="BL260" s="444"/>
    </row>
    <row r="261" spans="1:65" s="589" customFormat="1">
      <c r="A261" s="641"/>
      <c r="L261" s="641"/>
      <c r="M261" s="641"/>
      <c r="N261" s="641"/>
      <c r="O261" s="641"/>
      <c r="P261" s="641"/>
      <c r="Q261" s="641"/>
      <c r="R261" s="641"/>
      <c r="S261" s="641"/>
      <c r="T261" s="641"/>
      <c r="U261" s="641"/>
      <c r="V261" s="641"/>
      <c r="W261" s="641"/>
      <c r="X261" s="641"/>
      <c r="Y261" s="641"/>
      <c r="Z261" s="641"/>
      <c r="AA261" s="641"/>
      <c r="AB261" s="641"/>
      <c r="AC261" s="641"/>
      <c r="AD261" s="641"/>
      <c r="AE261" s="641"/>
      <c r="AF261" s="641"/>
      <c r="AG261" s="641"/>
      <c r="AH261" s="641"/>
      <c r="AI261" s="641"/>
      <c r="AJ261" s="641"/>
      <c r="AK261" s="641"/>
      <c r="AL261" s="641"/>
      <c r="AM261" s="641"/>
      <c r="AN261" s="641"/>
      <c r="AO261" s="641"/>
      <c r="AP261" s="641"/>
      <c r="AQ261" s="641"/>
      <c r="AR261" s="641"/>
      <c r="AS261" s="641"/>
      <c r="AT261" s="641"/>
      <c r="AU261" s="641"/>
      <c r="AV261" s="641"/>
      <c r="AX261" s="716"/>
      <c r="AY261" s="717"/>
      <c r="AZ261" s="717"/>
      <c r="BA261" s="712"/>
      <c r="BB261" s="712"/>
      <c r="BC261" s="528"/>
      <c r="BD261" s="528"/>
      <c r="BE261" s="528"/>
      <c r="BF261" s="528"/>
      <c r="BG261" s="532"/>
      <c r="BH261" s="532"/>
      <c r="BI261" s="713"/>
      <c r="BJ261" s="713"/>
      <c r="BK261" s="444"/>
      <c r="BL261" s="444"/>
    </row>
    <row r="262" spans="1:65" s="589" customFormat="1">
      <c r="A262" s="641"/>
      <c r="L262" s="641"/>
      <c r="M262" s="641"/>
      <c r="N262" s="641"/>
      <c r="O262" s="641"/>
      <c r="P262" s="641"/>
      <c r="Q262" s="641"/>
      <c r="R262" s="641"/>
      <c r="S262" s="641"/>
      <c r="T262" s="641"/>
      <c r="U262" s="641"/>
      <c r="V262" s="641"/>
      <c r="W262" s="641"/>
      <c r="X262" s="641"/>
      <c r="Y262" s="641"/>
      <c r="Z262" s="641"/>
      <c r="AA262" s="641"/>
      <c r="AB262" s="641"/>
      <c r="AC262" s="641"/>
      <c r="AD262" s="641"/>
      <c r="AE262" s="641"/>
      <c r="AF262" s="641"/>
      <c r="AG262" s="641"/>
      <c r="AH262" s="641"/>
      <c r="AI262" s="641"/>
      <c r="AJ262" s="641"/>
      <c r="AK262" s="641"/>
      <c r="AL262" s="641"/>
      <c r="AM262" s="641"/>
      <c r="AN262" s="641"/>
      <c r="AO262" s="641"/>
      <c r="AP262" s="641"/>
      <c r="AQ262" s="641"/>
      <c r="AR262" s="641"/>
      <c r="AS262" s="641"/>
      <c r="AT262" s="641"/>
      <c r="AU262" s="641"/>
      <c r="AV262" s="641"/>
      <c r="AX262" s="716"/>
      <c r="AY262" s="717"/>
      <c r="AZ262" s="717"/>
      <c r="BA262" s="712"/>
      <c r="BB262" s="712"/>
      <c r="BC262" s="528"/>
      <c r="BD262" s="528"/>
      <c r="BE262" s="528"/>
      <c r="BF262" s="528"/>
      <c r="BG262" s="532"/>
      <c r="BH262" s="532"/>
      <c r="BI262" s="713"/>
      <c r="BJ262" s="713"/>
      <c r="BK262" s="444"/>
      <c r="BL262" s="444"/>
    </row>
    <row r="263" spans="1:65" s="589" customFormat="1">
      <c r="A263" s="641"/>
      <c r="L263" s="641"/>
      <c r="M263" s="641"/>
      <c r="N263" s="641"/>
      <c r="O263" s="641"/>
      <c r="P263" s="641"/>
      <c r="Q263" s="641"/>
      <c r="R263" s="641"/>
      <c r="S263" s="641"/>
      <c r="T263" s="641"/>
      <c r="U263" s="641"/>
      <c r="V263" s="641"/>
      <c r="W263" s="641"/>
      <c r="X263" s="641"/>
      <c r="Y263" s="641"/>
      <c r="Z263" s="641"/>
      <c r="AA263" s="641"/>
      <c r="AB263" s="641"/>
      <c r="AC263" s="641"/>
      <c r="AD263" s="641"/>
      <c r="AE263" s="641"/>
      <c r="AF263" s="641"/>
      <c r="AG263" s="641"/>
      <c r="AH263" s="641"/>
      <c r="AI263" s="641"/>
      <c r="AJ263" s="641"/>
      <c r="AK263" s="641"/>
      <c r="AL263" s="641"/>
      <c r="AM263" s="641"/>
      <c r="AN263" s="641"/>
      <c r="AO263" s="641"/>
      <c r="AP263" s="641"/>
      <c r="AQ263" s="641"/>
      <c r="AR263" s="641"/>
      <c r="AS263" s="641"/>
      <c r="AT263" s="641"/>
      <c r="AU263" s="641"/>
      <c r="AV263" s="641"/>
      <c r="AX263" s="716"/>
      <c r="AY263" s="717"/>
      <c r="AZ263" s="717"/>
      <c r="BA263" s="712"/>
      <c r="BB263" s="712"/>
      <c r="BC263" s="528"/>
      <c r="BD263" s="528"/>
      <c r="BE263" s="528"/>
      <c r="BF263" s="528"/>
      <c r="BG263" s="532"/>
      <c r="BH263" s="532"/>
      <c r="BI263" s="713"/>
      <c r="BJ263" s="713"/>
      <c r="BK263" s="444"/>
      <c r="BL263" s="444"/>
    </row>
    <row r="264" spans="1:65" s="589" customFormat="1">
      <c r="A264" s="641"/>
      <c r="L264" s="641"/>
      <c r="M264" s="641"/>
      <c r="N264" s="641"/>
      <c r="O264" s="641"/>
      <c r="P264" s="641"/>
      <c r="Q264" s="641"/>
      <c r="R264" s="641"/>
      <c r="S264" s="641"/>
      <c r="T264" s="641"/>
      <c r="U264" s="641"/>
      <c r="V264" s="641"/>
      <c r="W264" s="641"/>
      <c r="X264" s="641"/>
      <c r="Y264" s="641"/>
      <c r="Z264" s="641"/>
      <c r="AA264" s="641"/>
      <c r="AB264" s="641"/>
      <c r="AC264" s="641"/>
      <c r="AD264" s="641"/>
      <c r="AE264" s="641"/>
      <c r="AF264" s="641"/>
      <c r="AG264" s="641"/>
      <c r="AH264" s="641"/>
      <c r="AI264" s="641"/>
      <c r="AJ264" s="641"/>
      <c r="AK264" s="641"/>
      <c r="AL264" s="641"/>
      <c r="AM264" s="641"/>
      <c r="AN264" s="641"/>
      <c r="AO264" s="641"/>
      <c r="AP264" s="641"/>
      <c r="AQ264" s="641"/>
      <c r="AR264" s="641"/>
      <c r="AS264" s="641"/>
      <c r="AT264" s="641"/>
      <c r="AU264" s="641"/>
      <c r="AV264" s="641"/>
      <c r="AX264" s="716"/>
      <c r="AY264" s="717"/>
      <c r="AZ264" s="717"/>
      <c r="BA264" s="712"/>
      <c r="BB264" s="712"/>
      <c r="BC264" s="528"/>
      <c r="BD264" s="528"/>
      <c r="BE264" s="528"/>
      <c r="BF264" s="528"/>
      <c r="BG264" s="532"/>
      <c r="BH264" s="532"/>
      <c r="BI264" s="713"/>
      <c r="BJ264" s="713"/>
      <c r="BK264" s="444"/>
      <c r="BL264" s="444"/>
    </row>
    <row r="265" spans="1:65" s="589" customFormat="1">
      <c r="A265" s="641"/>
      <c r="L265" s="641"/>
      <c r="M265" s="641"/>
      <c r="N265" s="641"/>
      <c r="O265" s="641"/>
      <c r="P265" s="641"/>
      <c r="Q265" s="641"/>
      <c r="R265" s="641"/>
      <c r="S265" s="641"/>
      <c r="T265" s="641"/>
      <c r="U265" s="641"/>
      <c r="V265" s="641"/>
      <c r="W265" s="641"/>
      <c r="X265" s="641"/>
      <c r="Y265" s="641"/>
      <c r="Z265" s="641"/>
      <c r="AA265" s="641"/>
      <c r="AB265" s="641"/>
      <c r="AC265" s="641"/>
      <c r="AD265" s="641"/>
      <c r="AE265" s="641"/>
      <c r="AF265" s="641"/>
      <c r="AG265" s="641"/>
      <c r="AH265" s="641"/>
      <c r="AI265" s="641"/>
      <c r="AJ265" s="641"/>
      <c r="AK265" s="641"/>
      <c r="AL265" s="641"/>
      <c r="AM265" s="641"/>
      <c r="AN265" s="641"/>
      <c r="AO265" s="641"/>
      <c r="AP265" s="183"/>
      <c r="AQ265" s="183"/>
      <c r="AR265" s="183"/>
      <c r="AS265" s="183"/>
      <c r="AT265" s="183"/>
      <c r="AU265" s="183"/>
      <c r="AV265" s="183"/>
      <c r="AW265" s="182"/>
      <c r="AX265" s="723"/>
      <c r="AY265" s="724"/>
      <c r="AZ265" s="724"/>
      <c r="BA265" s="725"/>
      <c r="BB265" s="725"/>
      <c r="BC265" s="532"/>
      <c r="BD265" s="532"/>
      <c r="BE265" s="532"/>
      <c r="BF265" s="532"/>
      <c r="BG265" s="533"/>
      <c r="BH265" s="533"/>
      <c r="BI265" s="519"/>
      <c r="BJ265" s="519"/>
      <c r="BK265" s="443"/>
      <c r="BL265" s="443"/>
      <c r="BM265" s="182"/>
    </row>
    <row r="266" spans="1:65" s="589" customFormat="1">
      <c r="A266" s="183"/>
      <c r="L266" s="641"/>
      <c r="M266" s="641"/>
      <c r="N266" s="641"/>
      <c r="O266" s="641"/>
      <c r="P266" s="641"/>
      <c r="Q266" s="641"/>
      <c r="R266" s="641"/>
      <c r="S266" s="641"/>
      <c r="T266" s="641"/>
      <c r="U266" s="641"/>
      <c r="V266" s="641"/>
      <c r="W266" s="641"/>
      <c r="X266" s="641"/>
      <c r="Y266" s="641"/>
      <c r="Z266" s="641"/>
      <c r="AA266" s="641"/>
      <c r="AB266" s="641"/>
      <c r="AC266" s="641"/>
      <c r="AD266" s="641"/>
      <c r="AE266" s="641"/>
      <c r="AF266" s="641"/>
      <c r="AG266" s="641"/>
      <c r="AH266" s="641"/>
      <c r="AI266" s="641"/>
      <c r="AJ266" s="641"/>
      <c r="AK266" s="641"/>
      <c r="AL266" s="641"/>
      <c r="AM266" s="641"/>
      <c r="AN266" s="641"/>
      <c r="AO266" s="641"/>
      <c r="AP266" s="183"/>
      <c r="AQ266" s="183"/>
      <c r="AR266" s="183"/>
      <c r="AS266" s="183"/>
      <c r="AT266" s="183"/>
      <c r="AU266" s="183"/>
      <c r="AV266" s="183"/>
      <c r="AW266" s="182"/>
      <c r="AX266" s="723"/>
      <c r="AY266" s="724"/>
      <c r="AZ266" s="724"/>
      <c r="BA266" s="725"/>
      <c r="BB266" s="725"/>
      <c r="BC266" s="532"/>
      <c r="BD266" s="532"/>
      <c r="BE266" s="532"/>
      <c r="BF266" s="532"/>
      <c r="BG266" s="533"/>
      <c r="BH266" s="533"/>
      <c r="BI266" s="519"/>
      <c r="BJ266" s="519"/>
      <c r="BK266" s="443"/>
      <c r="BL266" s="443"/>
      <c r="BM266" s="182"/>
    </row>
    <row r="267" spans="1:65" s="589" customFormat="1">
      <c r="A267" s="183"/>
      <c r="L267" s="641"/>
      <c r="M267" s="641"/>
      <c r="N267" s="641"/>
      <c r="O267" s="641"/>
      <c r="P267" s="641"/>
      <c r="Q267" s="641"/>
      <c r="R267" s="641"/>
      <c r="S267" s="641"/>
      <c r="T267" s="641"/>
      <c r="U267" s="641"/>
      <c r="V267" s="641"/>
      <c r="W267" s="641"/>
      <c r="X267" s="641"/>
      <c r="Y267" s="641"/>
      <c r="Z267" s="641"/>
      <c r="AA267" s="641"/>
      <c r="AB267" s="641"/>
      <c r="AC267" s="641"/>
      <c r="AD267" s="641"/>
      <c r="AE267" s="641"/>
      <c r="AF267" s="641"/>
      <c r="AG267" s="641"/>
      <c r="AH267" s="641"/>
      <c r="AI267" s="641"/>
      <c r="AJ267" s="641"/>
      <c r="AK267" s="641"/>
      <c r="AL267" s="641"/>
      <c r="AM267" s="641"/>
      <c r="AN267" s="641"/>
      <c r="AO267" s="641"/>
      <c r="AP267" s="183"/>
      <c r="AQ267" s="183"/>
      <c r="AR267" s="183"/>
      <c r="AS267" s="183"/>
      <c r="AT267" s="183"/>
      <c r="AU267" s="183"/>
      <c r="AV267" s="183"/>
      <c r="AW267" s="182"/>
      <c r="AX267" s="723"/>
      <c r="AY267" s="724"/>
      <c r="AZ267" s="724"/>
      <c r="BA267" s="725"/>
      <c r="BB267" s="725"/>
      <c r="BC267" s="532"/>
      <c r="BD267" s="532"/>
      <c r="BE267" s="532"/>
      <c r="BF267" s="532"/>
      <c r="BG267" s="533"/>
      <c r="BH267" s="533"/>
      <c r="BI267" s="519"/>
      <c r="BJ267" s="519"/>
      <c r="BK267" s="443"/>
      <c r="BL267" s="443"/>
      <c r="BM267" s="182"/>
    </row>
    <row r="268" spans="1:65" s="589" customFormat="1">
      <c r="A268" s="183"/>
      <c r="L268" s="641"/>
      <c r="M268" s="641"/>
      <c r="N268" s="641"/>
      <c r="O268" s="641"/>
      <c r="P268" s="641"/>
      <c r="Q268" s="641"/>
      <c r="R268" s="641"/>
      <c r="S268" s="641"/>
      <c r="T268" s="641"/>
      <c r="U268" s="641"/>
      <c r="V268" s="641"/>
      <c r="W268" s="641"/>
      <c r="X268" s="641"/>
      <c r="Y268" s="641"/>
      <c r="Z268" s="641"/>
      <c r="AA268" s="641"/>
      <c r="AB268" s="641"/>
      <c r="AC268" s="641"/>
      <c r="AD268" s="641"/>
      <c r="AE268" s="641"/>
      <c r="AF268" s="641"/>
      <c r="AG268" s="641"/>
      <c r="AH268" s="641"/>
      <c r="AI268" s="641"/>
      <c r="AJ268" s="641"/>
      <c r="AK268" s="641"/>
      <c r="AL268" s="641"/>
      <c r="AM268" s="641"/>
      <c r="AN268" s="641"/>
      <c r="AO268" s="641"/>
      <c r="AP268" s="183"/>
      <c r="AQ268" s="183"/>
      <c r="AR268" s="183"/>
      <c r="AS268" s="183"/>
      <c r="AT268" s="183"/>
      <c r="AU268" s="183"/>
      <c r="AV268" s="183"/>
      <c r="AW268" s="182"/>
      <c r="AX268" s="723"/>
      <c r="AY268" s="724"/>
      <c r="AZ268" s="724"/>
      <c r="BA268" s="725"/>
      <c r="BB268" s="725"/>
      <c r="BC268" s="532"/>
      <c r="BD268" s="532"/>
      <c r="BE268" s="532"/>
      <c r="BF268" s="532"/>
      <c r="BG268" s="533"/>
      <c r="BH268" s="533"/>
      <c r="BI268" s="519"/>
      <c r="BJ268" s="519"/>
      <c r="BK268" s="443"/>
      <c r="BL268" s="443"/>
      <c r="BM268" s="182"/>
    </row>
    <row r="269" spans="1:65" s="589" customFormat="1">
      <c r="A269" s="183"/>
      <c r="L269" s="641"/>
      <c r="M269" s="641"/>
      <c r="N269" s="641"/>
      <c r="O269" s="641"/>
      <c r="P269" s="641"/>
      <c r="Q269" s="641"/>
      <c r="R269" s="641"/>
      <c r="S269" s="641"/>
      <c r="T269" s="641"/>
      <c r="U269" s="641"/>
      <c r="V269" s="641"/>
      <c r="W269" s="641"/>
      <c r="X269" s="641"/>
      <c r="Y269" s="641"/>
      <c r="Z269" s="641"/>
      <c r="AA269" s="641"/>
      <c r="AB269" s="641"/>
      <c r="AC269" s="641"/>
      <c r="AD269" s="641"/>
      <c r="AE269" s="641"/>
      <c r="AF269" s="641"/>
      <c r="AG269" s="641"/>
      <c r="AH269" s="641"/>
      <c r="AI269" s="641"/>
      <c r="AJ269" s="641"/>
      <c r="AK269" s="641"/>
      <c r="AL269" s="641"/>
      <c r="AM269" s="641"/>
      <c r="AN269" s="641"/>
      <c r="AO269" s="641"/>
      <c r="AP269" s="183"/>
      <c r="AQ269" s="183"/>
      <c r="AR269" s="183"/>
      <c r="AS269" s="183"/>
      <c r="AT269" s="183"/>
      <c r="AU269" s="183"/>
      <c r="AV269" s="183"/>
      <c r="AW269" s="182"/>
      <c r="AX269" s="723"/>
      <c r="AY269" s="724"/>
      <c r="AZ269" s="724"/>
      <c r="BA269" s="725"/>
      <c r="BB269" s="725"/>
      <c r="BC269" s="532"/>
      <c r="BD269" s="532"/>
      <c r="BE269" s="532"/>
      <c r="BF269" s="532"/>
      <c r="BG269" s="533"/>
      <c r="BH269" s="533"/>
      <c r="BI269" s="519"/>
      <c r="BJ269" s="519"/>
      <c r="BK269" s="443"/>
      <c r="BL269" s="443"/>
      <c r="BM269" s="182"/>
    </row>
    <row r="270" spans="1:65" s="589" customFormat="1">
      <c r="A270" s="183"/>
      <c r="L270" s="641"/>
      <c r="M270" s="641"/>
      <c r="N270" s="641"/>
      <c r="O270" s="641"/>
      <c r="P270" s="641"/>
      <c r="Q270" s="641"/>
      <c r="R270" s="641"/>
      <c r="S270" s="641"/>
      <c r="T270" s="641"/>
      <c r="U270" s="641"/>
      <c r="V270" s="641"/>
      <c r="W270" s="641"/>
      <c r="X270" s="641"/>
      <c r="Y270" s="641"/>
      <c r="Z270" s="641"/>
      <c r="AA270" s="641"/>
      <c r="AB270" s="641"/>
      <c r="AC270" s="641"/>
      <c r="AD270" s="641"/>
      <c r="AE270" s="641"/>
      <c r="AF270" s="641"/>
      <c r="AG270" s="641"/>
      <c r="AH270" s="641"/>
      <c r="AI270" s="641"/>
      <c r="AJ270" s="641"/>
      <c r="AK270" s="641"/>
      <c r="AL270" s="641"/>
      <c r="AM270" s="641"/>
      <c r="AN270" s="641"/>
      <c r="AO270" s="641"/>
      <c r="AP270" s="183"/>
      <c r="AQ270" s="183"/>
      <c r="AR270" s="183"/>
      <c r="AS270" s="183"/>
      <c r="AT270" s="183"/>
      <c r="AU270" s="183"/>
      <c r="AV270" s="183"/>
      <c r="AW270" s="182"/>
      <c r="AX270" s="723"/>
      <c r="AY270" s="724"/>
      <c r="AZ270" s="724"/>
      <c r="BA270" s="725"/>
      <c r="BB270" s="725"/>
      <c r="BC270" s="532"/>
      <c r="BD270" s="532"/>
      <c r="BE270" s="532"/>
      <c r="BF270" s="532"/>
      <c r="BG270" s="533"/>
      <c r="BH270" s="533"/>
      <c r="BI270" s="519"/>
      <c r="BJ270" s="519"/>
      <c r="BK270" s="443"/>
      <c r="BL270" s="443"/>
      <c r="BM270" s="182"/>
    </row>
    <row r="271" spans="1:65" s="589" customFormat="1">
      <c r="A271" s="183"/>
      <c r="L271" s="641"/>
      <c r="M271" s="641"/>
      <c r="N271" s="641"/>
      <c r="O271" s="641"/>
      <c r="P271" s="641"/>
      <c r="Q271" s="641"/>
      <c r="R271" s="641"/>
      <c r="S271" s="641"/>
      <c r="T271" s="641"/>
      <c r="U271" s="641"/>
      <c r="V271" s="641"/>
      <c r="W271" s="641"/>
      <c r="X271" s="641"/>
      <c r="Y271" s="641"/>
      <c r="Z271" s="641"/>
      <c r="AA271" s="641"/>
      <c r="AB271" s="641"/>
      <c r="AC271" s="641"/>
      <c r="AD271" s="641"/>
      <c r="AE271" s="641"/>
      <c r="AF271" s="641"/>
      <c r="AG271" s="641"/>
      <c r="AH271" s="641"/>
      <c r="AI271" s="641"/>
      <c r="AJ271" s="641"/>
      <c r="AK271" s="641"/>
      <c r="AL271" s="641"/>
      <c r="AM271" s="641"/>
      <c r="AN271" s="641"/>
      <c r="AO271" s="641"/>
      <c r="AP271" s="183"/>
      <c r="AQ271" s="183"/>
      <c r="AR271" s="183"/>
      <c r="AS271" s="183"/>
      <c r="AT271" s="183"/>
      <c r="AU271" s="183"/>
      <c r="AV271" s="183"/>
      <c r="AW271" s="182"/>
      <c r="AX271" s="723"/>
      <c r="AY271" s="724"/>
      <c r="AZ271" s="724"/>
      <c r="BA271" s="725"/>
      <c r="BB271" s="725"/>
      <c r="BC271" s="532"/>
      <c r="BD271" s="532"/>
      <c r="BE271" s="532"/>
      <c r="BF271" s="532"/>
      <c r="BG271" s="533"/>
      <c r="BH271" s="533"/>
      <c r="BI271" s="519"/>
      <c r="BJ271" s="519"/>
      <c r="BK271" s="443"/>
      <c r="BL271" s="443"/>
      <c r="BM271" s="182"/>
    </row>
    <row r="272" spans="1:65" s="589" customFormat="1">
      <c r="A272" s="183"/>
      <c r="L272" s="714"/>
      <c r="M272" s="641"/>
      <c r="N272" s="641"/>
      <c r="O272" s="641"/>
      <c r="P272" s="641"/>
      <c r="Q272" s="714"/>
      <c r="R272" s="641"/>
      <c r="S272" s="641"/>
      <c r="T272" s="641"/>
      <c r="U272" s="641"/>
      <c r="V272" s="714"/>
      <c r="W272" s="641"/>
      <c r="X272" s="641"/>
      <c r="Y272" s="641"/>
      <c r="Z272" s="641"/>
      <c r="AA272" s="714"/>
      <c r="AB272" s="714"/>
      <c r="AC272" s="714"/>
      <c r="AD272" s="641"/>
      <c r="AE272" s="641"/>
      <c r="AF272" s="641"/>
      <c r="AG272" s="641"/>
      <c r="AH272" s="641"/>
      <c r="AI272" s="641"/>
      <c r="AJ272" s="641"/>
      <c r="AK272" s="641"/>
      <c r="AL272" s="641"/>
      <c r="AM272" s="641"/>
      <c r="AN272" s="641"/>
      <c r="AO272" s="641"/>
      <c r="AP272" s="183"/>
      <c r="AQ272" s="183"/>
      <c r="AR272" s="183"/>
      <c r="AS272" s="183"/>
      <c r="AT272" s="183"/>
      <c r="AU272" s="183"/>
      <c r="AV272" s="183"/>
      <c r="AW272" s="182"/>
      <c r="AX272" s="723"/>
      <c r="AY272" s="724"/>
      <c r="AZ272" s="724"/>
      <c r="BA272" s="725"/>
      <c r="BB272" s="725"/>
      <c r="BC272" s="532"/>
      <c r="BD272" s="532"/>
      <c r="BE272" s="532"/>
      <c r="BF272" s="532"/>
      <c r="BG272" s="533"/>
      <c r="BH272" s="533"/>
      <c r="BI272" s="519"/>
      <c r="BJ272" s="519"/>
      <c r="BK272" s="443"/>
      <c r="BL272" s="443"/>
      <c r="BM272" s="182"/>
    </row>
    <row r="273" spans="1:65" s="589" customFormat="1">
      <c r="A273" s="183"/>
      <c r="L273" s="714"/>
      <c r="M273" s="641"/>
      <c r="N273" s="641"/>
      <c r="O273" s="641"/>
      <c r="P273" s="641"/>
      <c r="Q273" s="714"/>
      <c r="R273" s="641"/>
      <c r="S273" s="641"/>
      <c r="T273" s="641"/>
      <c r="U273" s="641"/>
      <c r="V273" s="714"/>
      <c r="W273" s="641"/>
      <c r="X273" s="641"/>
      <c r="Y273" s="641"/>
      <c r="Z273" s="641"/>
      <c r="AA273" s="714"/>
      <c r="AB273" s="714"/>
      <c r="AC273" s="714"/>
      <c r="AD273" s="641"/>
      <c r="AE273" s="641"/>
      <c r="AF273" s="641"/>
      <c r="AG273" s="641"/>
      <c r="AH273" s="641"/>
      <c r="AI273" s="641"/>
      <c r="AJ273" s="641"/>
      <c r="AK273" s="641"/>
      <c r="AL273" s="641"/>
      <c r="AM273" s="641"/>
      <c r="AN273" s="641"/>
      <c r="AO273" s="641"/>
      <c r="AP273" s="183"/>
      <c r="AQ273" s="183"/>
      <c r="AR273" s="183"/>
      <c r="AS273" s="183"/>
      <c r="AT273" s="183"/>
      <c r="AU273" s="183"/>
      <c r="AV273" s="183"/>
      <c r="AW273" s="182"/>
      <c r="AX273" s="723"/>
      <c r="AY273" s="182"/>
      <c r="AZ273" s="182"/>
      <c r="BA273" s="443"/>
      <c r="BB273" s="443"/>
      <c r="BC273" s="533"/>
      <c r="BD273" s="533"/>
      <c r="BE273" s="533"/>
      <c r="BF273" s="533"/>
      <c r="BG273" s="533"/>
      <c r="BH273" s="533"/>
      <c r="BI273" s="519"/>
      <c r="BJ273" s="519"/>
      <c r="BK273" s="443"/>
      <c r="BL273" s="443"/>
      <c r="BM273" s="182"/>
    </row>
    <row r="274" spans="1:65" s="589" customFormat="1">
      <c r="A274" s="183"/>
      <c r="L274" s="714"/>
      <c r="M274" s="641"/>
      <c r="N274" s="641"/>
      <c r="O274" s="641"/>
      <c r="P274" s="641"/>
      <c r="Q274" s="714"/>
      <c r="R274" s="641"/>
      <c r="S274" s="641"/>
      <c r="T274" s="641"/>
      <c r="U274" s="641"/>
      <c r="V274" s="714"/>
      <c r="W274" s="641"/>
      <c r="X274" s="641"/>
      <c r="Y274" s="641"/>
      <c r="Z274" s="641"/>
      <c r="AA274" s="714"/>
      <c r="AB274" s="714"/>
      <c r="AC274" s="714"/>
      <c r="AD274" s="641"/>
      <c r="AE274" s="641"/>
      <c r="AF274" s="641"/>
      <c r="AG274" s="641"/>
      <c r="AH274" s="641"/>
      <c r="AI274" s="641"/>
      <c r="AJ274" s="641"/>
      <c r="AK274" s="641"/>
      <c r="AL274" s="641"/>
      <c r="AM274" s="641"/>
      <c r="AN274" s="641"/>
      <c r="AO274" s="641"/>
      <c r="AP274" s="183"/>
      <c r="AQ274" s="183"/>
      <c r="AR274" s="183"/>
      <c r="AS274" s="183"/>
      <c r="AT274" s="183"/>
      <c r="AU274" s="183"/>
      <c r="AV274" s="183"/>
      <c r="AW274" s="182"/>
      <c r="AX274" s="723"/>
      <c r="AY274" s="182"/>
      <c r="AZ274" s="182"/>
      <c r="BA274" s="443"/>
      <c r="BB274" s="443"/>
      <c r="BC274" s="533"/>
      <c r="BD274" s="533"/>
      <c r="BE274" s="533"/>
      <c r="BF274" s="533"/>
      <c r="BG274" s="533"/>
      <c r="BH274" s="533"/>
      <c r="BI274" s="519"/>
      <c r="BJ274" s="519"/>
      <c r="BK274" s="443"/>
      <c r="BL274" s="443"/>
      <c r="BM274" s="182"/>
    </row>
    <row r="275" spans="1:65" s="589" customFormat="1">
      <c r="A275" s="183"/>
      <c r="L275" s="714"/>
      <c r="M275" s="641"/>
      <c r="N275" s="641"/>
      <c r="O275" s="641"/>
      <c r="P275" s="641"/>
      <c r="Q275" s="714"/>
      <c r="R275" s="641"/>
      <c r="S275" s="641"/>
      <c r="T275" s="641"/>
      <c r="U275" s="641"/>
      <c r="V275" s="714"/>
      <c r="W275" s="641"/>
      <c r="X275" s="641"/>
      <c r="Y275" s="641"/>
      <c r="Z275" s="641"/>
      <c r="AA275" s="714"/>
      <c r="AB275" s="641"/>
      <c r="AC275" s="641"/>
      <c r="AD275" s="641"/>
      <c r="AE275" s="641"/>
      <c r="AF275" s="641"/>
      <c r="AG275" s="641"/>
      <c r="AH275" s="641"/>
      <c r="AI275" s="641"/>
      <c r="AJ275" s="641"/>
      <c r="AK275" s="641"/>
      <c r="AL275" s="641"/>
      <c r="AM275" s="641"/>
      <c r="AN275" s="641"/>
      <c r="AO275" s="641"/>
      <c r="AP275" s="183"/>
      <c r="AQ275" s="183"/>
      <c r="AR275" s="183"/>
      <c r="AS275" s="183"/>
      <c r="AT275" s="183"/>
      <c r="AU275" s="183"/>
      <c r="AV275" s="183"/>
      <c r="AW275" s="182"/>
      <c r="AX275" s="723"/>
      <c r="AY275" s="182"/>
      <c r="AZ275" s="182"/>
      <c r="BA275" s="443"/>
      <c r="BB275" s="443"/>
      <c r="BC275" s="533"/>
      <c r="BD275" s="533"/>
      <c r="BE275" s="533"/>
      <c r="BF275" s="533"/>
      <c r="BG275" s="533"/>
      <c r="BH275" s="533"/>
      <c r="BI275" s="519"/>
      <c r="BJ275" s="519"/>
      <c r="BK275" s="443"/>
      <c r="BL275" s="443"/>
      <c r="BM275" s="182"/>
    </row>
    <row r="276" spans="1:65" s="589" customFormat="1">
      <c r="A276" s="183"/>
      <c r="L276" s="714"/>
      <c r="M276" s="641"/>
      <c r="N276" s="641"/>
      <c r="O276" s="641"/>
      <c r="P276" s="641"/>
      <c r="Q276" s="714"/>
      <c r="R276" s="641"/>
      <c r="S276" s="641"/>
      <c r="T276" s="641"/>
      <c r="U276" s="641"/>
      <c r="V276" s="714"/>
      <c r="W276" s="641"/>
      <c r="X276" s="641"/>
      <c r="Y276" s="641"/>
      <c r="Z276" s="641"/>
      <c r="AA276" s="714"/>
      <c r="AB276" s="641"/>
      <c r="AC276" s="641"/>
      <c r="AD276" s="641"/>
      <c r="AE276" s="641"/>
      <c r="AF276" s="641"/>
      <c r="AG276" s="641"/>
      <c r="AH276" s="641"/>
      <c r="AI276" s="641"/>
      <c r="AJ276" s="641"/>
      <c r="AK276" s="641"/>
      <c r="AL276" s="641"/>
      <c r="AM276" s="641"/>
      <c r="AN276" s="641"/>
      <c r="AO276" s="641"/>
      <c r="AP276" s="183"/>
      <c r="AQ276" s="183"/>
      <c r="AR276" s="183"/>
      <c r="AS276" s="183"/>
      <c r="AT276" s="183"/>
      <c r="AU276" s="183"/>
      <c r="AV276" s="183"/>
      <c r="AW276" s="182"/>
      <c r="AX276" s="723"/>
      <c r="AY276" s="182"/>
      <c r="AZ276" s="182"/>
      <c r="BA276" s="443"/>
      <c r="BB276" s="443"/>
      <c r="BC276" s="533"/>
      <c r="BD276" s="533"/>
      <c r="BE276" s="533"/>
      <c r="BF276" s="533"/>
      <c r="BG276" s="533"/>
      <c r="BH276" s="533"/>
      <c r="BI276" s="519"/>
      <c r="BJ276" s="519"/>
      <c r="BK276" s="443"/>
      <c r="BL276" s="443"/>
      <c r="BM276" s="182"/>
    </row>
    <row r="277" spans="1:65" s="589" customFormat="1">
      <c r="A277" s="183"/>
      <c r="L277" s="714"/>
      <c r="M277" s="641"/>
      <c r="N277" s="641"/>
      <c r="O277" s="641"/>
      <c r="P277" s="641"/>
      <c r="Q277" s="714"/>
      <c r="R277" s="641"/>
      <c r="S277" s="641"/>
      <c r="T277" s="641"/>
      <c r="U277" s="641"/>
      <c r="V277" s="714"/>
      <c r="W277" s="641"/>
      <c r="X277" s="641"/>
      <c r="Y277" s="641"/>
      <c r="Z277" s="641"/>
      <c r="AA277" s="714"/>
      <c r="AB277" s="641"/>
      <c r="AC277" s="641"/>
      <c r="AD277" s="641"/>
      <c r="AE277" s="641"/>
      <c r="AF277" s="641"/>
      <c r="AG277" s="641"/>
      <c r="AH277" s="641"/>
      <c r="AI277" s="641"/>
      <c r="AJ277" s="641"/>
      <c r="AK277" s="641"/>
      <c r="AL277" s="641"/>
      <c r="AM277" s="641"/>
      <c r="AN277" s="641"/>
      <c r="AO277" s="641"/>
      <c r="AP277" s="183"/>
      <c r="AQ277" s="183"/>
      <c r="AR277" s="183"/>
      <c r="AS277" s="183"/>
      <c r="AT277" s="183"/>
      <c r="AU277" s="183"/>
      <c r="AV277" s="183"/>
      <c r="AW277" s="182"/>
      <c r="AX277" s="723"/>
      <c r="AY277" s="182"/>
      <c r="AZ277" s="182"/>
      <c r="BA277" s="443"/>
      <c r="BB277" s="443"/>
      <c r="BC277" s="533"/>
      <c r="BD277" s="533"/>
      <c r="BE277" s="533"/>
      <c r="BF277" s="533"/>
      <c r="BG277" s="533"/>
      <c r="BH277" s="533"/>
      <c r="BI277" s="519"/>
      <c r="BJ277" s="519"/>
      <c r="BK277" s="443"/>
      <c r="BL277" s="443"/>
      <c r="BM277" s="182"/>
    </row>
    <row r="278" spans="1:65" s="589" customFormat="1">
      <c r="A278" s="183"/>
      <c r="L278" s="714"/>
      <c r="M278" s="641"/>
      <c r="N278" s="641"/>
      <c r="O278" s="641"/>
      <c r="P278" s="641"/>
      <c r="Q278" s="714"/>
      <c r="R278" s="641"/>
      <c r="S278" s="641"/>
      <c r="T278" s="641"/>
      <c r="U278" s="641"/>
      <c r="V278" s="714"/>
      <c r="W278" s="641"/>
      <c r="X278" s="641"/>
      <c r="Y278" s="641"/>
      <c r="Z278" s="641"/>
      <c r="AA278" s="714"/>
      <c r="AB278" s="641"/>
      <c r="AC278" s="641"/>
      <c r="AD278" s="641"/>
      <c r="AE278" s="641"/>
      <c r="AF278" s="641"/>
      <c r="AG278" s="641"/>
      <c r="AH278" s="641"/>
      <c r="AI278" s="641"/>
      <c r="AJ278" s="641"/>
      <c r="AK278" s="641"/>
      <c r="AL278" s="641"/>
      <c r="AM278" s="641"/>
      <c r="AN278" s="641"/>
      <c r="AO278" s="641"/>
      <c r="AP278" s="183"/>
      <c r="AQ278" s="183"/>
      <c r="AR278" s="183"/>
      <c r="AS278" s="183"/>
      <c r="AT278" s="183"/>
      <c r="AU278" s="183"/>
      <c r="AV278" s="183"/>
      <c r="AW278" s="182"/>
      <c r="AX278" s="723"/>
      <c r="AY278" s="182"/>
      <c r="AZ278" s="182"/>
      <c r="BA278" s="443"/>
      <c r="BB278" s="443"/>
      <c r="BC278" s="533"/>
      <c r="BD278" s="533"/>
      <c r="BE278" s="533"/>
      <c r="BF278" s="533"/>
      <c r="BG278" s="533"/>
      <c r="BH278" s="533"/>
      <c r="BI278" s="519"/>
      <c r="BJ278" s="519"/>
      <c r="BK278" s="443"/>
      <c r="BL278" s="443"/>
      <c r="BM278" s="182"/>
    </row>
    <row r="279" spans="1:65" s="589" customFormat="1">
      <c r="A279" s="183"/>
      <c r="L279" s="714"/>
      <c r="M279" s="641"/>
      <c r="N279" s="641"/>
      <c r="O279" s="641"/>
      <c r="P279" s="641"/>
      <c r="Q279" s="714"/>
      <c r="R279" s="641"/>
      <c r="S279" s="641"/>
      <c r="T279" s="641"/>
      <c r="U279" s="641"/>
      <c r="V279" s="714"/>
      <c r="W279" s="641"/>
      <c r="X279" s="641"/>
      <c r="Y279" s="641"/>
      <c r="Z279" s="641"/>
      <c r="AA279" s="714"/>
      <c r="AB279" s="641"/>
      <c r="AC279" s="641"/>
      <c r="AD279" s="641"/>
      <c r="AE279" s="641"/>
      <c r="AF279" s="641"/>
      <c r="AG279" s="641"/>
      <c r="AH279" s="641"/>
      <c r="AI279" s="641"/>
      <c r="AJ279" s="641"/>
      <c r="AK279" s="641"/>
      <c r="AL279" s="641"/>
      <c r="AM279" s="641"/>
      <c r="AN279" s="641"/>
      <c r="AO279" s="641"/>
      <c r="AP279" s="183"/>
      <c r="AQ279" s="183"/>
      <c r="AR279" s="183"/>
      <c r="AS279" s="183"/>
      <c r="AT279" s="183"/>
      <c r="AU279" s="183"/>
      <c r="AV279" s="183"/>
      <c r="AW279" s="182"/>
      <c r="AX279" s="723"/>
      <c r="AY279" s="182"/>
      <c r="AZ279" s="182"/>
      <c r="BA279" s="443"/>
      <c r="BB279" s="443"/>
      <c r="BC279" s="533"/>
      <c r="BD279" s="533"/>
      <c r="BE279" s="533"/>
      <c r="BF279" s="533"/>
      <c r="BG279" s="533"/>
      <c r="BH279" s="533"/>
      <c r="BI279" s="519"/>
      <c r="BJ279" s="519"/>
      <c r="BK279" s="443"/>
      <c r="BL279" s="443"/>
      <c r="BM279" s="182"/>
    </row>
    <row r="280" spans="1:65" s="589" customFormat="1">
      <c r="A280" s="183"/>
      <c r="L280" s="714"/>
      <c r="M280" s="641"/>
      <c r="N280" s="641"/>
      <c r="O280" s="641"/>
      <c r="P280" s="641"/>
      <c r="Q280" s="714"/>
      <c r="R280" s="641"/>
      <c r="S280" s="641"/>
      <c r="T280" s="641"/>
      <c r="U280" s="641"/>
      <c r="V280" s="714"/>
      <c r="W280" s="641"/>
      <c r="X280" s="641"/>
      <c r="Y280" s="641"/>
      <c r="Z280" s="641"/>
      <c r="AA280" s="714"/>
      <c r="AB280" s="641"/>
      <c r="AC280" s="641"/>
      <c r="AD280" s="641"/>
      <c r="AE280" s="641"/>
      <c r="AF280" s="641"/>
      <c r="AG280" s="641"/>
      <c r="AH280" s="641"/>
      <c r="AI280" s="641"/>
      <c r="AJ280" s="641"/>
      <c r="AK280" s="641"/>
      <c r="AL280" s="641"/>
      <c r="AM280" s="641"/>
      <c r="AN280" s="641"/>
      <c r="AO280" s="641"/>
      <c r="AP280" s="183"/>
      <c r="AQ280" s="183"/>
      <c r="AR280" s="183"/>
      <c r="AS280" s="183"/>
      <c r="AT280" s="183"/>
      <c r="AU280" s="183"/>
      <c r="AV280" s="183"/>
      <c r="AW280" s="182"/>
      <c r="AX280" s="723"/>
      <c r="AY280" s="182"/>
      <c r="AZ280" s="182"/>
      <c r="BA280" s="443"/>
      <c r="BB280" s="443"/>
      <c r="BC280" s="533"/>
      <c r="BD280" s="533"/>
      <c r="BE280" s="533"/>
      <c r="BF280" s="533"/>
      <c r="BG280" s="533"/>
      <c r="BH280" s="533"/>
      <c r="BI280" s="519"/>
      <c r="BJ280" s="519"/>
      <c r="BK280" s="443"/>
      <c r="BL280" s="443"/>
      <c r="BM280" s="182"/>
    </row>
    <row r="281" spans="1:65" s="589" customFormat="1">
      <c r="A281" s="183"/>
      <c r="L281" s="714"/>
      <c r="M281" s="641"/>
      <c r="N281" s="641"/>
      <c r="O281" s="641"/>
      <c r="P281" s="641"/>
      <c r="Q281" s="714"/>
      <c r="R281" s="641"/>
      <c r="S281" s="641"/>
      <c r="T281" s="641"/>
      <c r="U281" s="641"/>
      <c r="V281" s="714"/>
      <c r="W281" s="641"/>
      <c r="X281" s="641"/>
      <c r="Y281" s="641"/>
      <c r="Z281" s="641"/>
      <c r="AA281" s="714"/>
      <c r="AB281" s="641"/>
      <c r="AC281" s="641"/>
      <c r="AD281" s="641"/>
      <c r="AE281" s="641"/>
      <c r="AF281" s="641"/>
      <c r="AG281" s="641"/>
      <c r="AH281" s="641"/>
      <c r="AI281" s="641"/>
      <c r="AJ281" s="641"/>
      <c r="AK281" s="641"/>
      <c r="AL281" s="641"/>
      <c r="AM281" s="641"/>
      <c r="AN281" s="641"/>
      <c r="AO281" s="641"/>
      <c r="AP281" s="183"/>
      <c r="AQ281" s="183"/>
      <c r="AR281" s="183"/>
      <c r="AS281" s="183"/>
      <c r="AT281" s="183"/>
      <c r="AU281" s="183"/>
      <c r="AV281" s="183"/>
      <c r="AW281" s="182"/>
      <c r="AX281" s="723"/>
      <c r="AY281" s="182"/>
      <c r="AZ281" s="182"/>
      <c r="BA281" s="443"/>
      <c r="BB281" s="443"/>
      <c r="BC281" s="533"/>
      <c r="BD281" s="533"/>
      <c r="BE281" s="533"/>
      <c r="BF281" s="533"/>
      <c r="BG281" s="533"/>
      <c r="BH281" s="533"/>
      <c r="BI281" s="519"/>
      <c r="BJ281" s="519"/>
      <c r="BK281" s="443"/>
      <c r="BL281" s="443"/>
      <c r="BM281" s="182"/>
    </row>
    <row r="282" spans="1:65" s="589" customFormat="1">
      <c r="A282" s="183"/>
      <c r="L282" s="714"/>
      <c r="M282" s="641"/>
      <c r="N282" s="641"/>
      <c r="O282" s="641"/>
      <c r="P282" s="641"/>
      <c r="Q282" s="714"/>
      <c r="R282" s="641"/>
      <c r="S282" s="641"/>
      <c r="T282" s="641"/>
      <c r="U282" s="641"/>
      <c r="V282" s="714"/>
      <c r="W282" s="641"/>
      <c r="X282" s="641"/>
      <c r="Y282" s="641"/>
      <c r="Z282" s="641"/>
      <c r="AA282" s="714"/>
      <c r="AB282" s="641"/>
      <c r="AC282" s="641"/>
      <c r="AD282" s="641"/>
      <c r="AE282" s="641"/>
      <c r="AF282" s="641"/>
      <c r="AG282" s="641"/>
      <c r="AH282" s="641"/>
      <c r="AI282" s="641"/>
      <c r="AJ282" s="641"/>
      <c r="AK282" s="641"/>
      <c r="AL282" s="641"/>
      <c r="AM282" s="641"/>
      <c r="AN282" s="641"/>
      <c r="AO282" s="641"/>
      <c r="AP282" s="183"/>
      <c r="AQ282" s="183"/>
      <c r="AR282" s="183"/>
      <c r="AS282" s="183"/>
      <c r="AT282" s="183"/>
      <c r="AU282" s="183"/>
      <c r="AV282" s="183"/>
      <c r="AW282" s="182"/>
      <c r="AX282" s="723"/>
      <c r="AY282" s="182"/>
      <c r="AZ282" s="182"/>
      <c r="BA282" s="443"/>
      <c r="BB282" s="443"/>
      <c r="BC282" s="533"/>
      <c r="BD282" s="533"/>
      <c r="BE282" s="533"/>
      <c r="BF282" s="533"/>
      <c r="BG282" s="533"/>
      <c r="BH282" s="533"/>
      <c r="BI282" s="519"/>
      <c r="BJ282" s="519"/>
      <c r="BK282" s="443"/>
      <c r="BL282" s="443"/>
      <c r="BM282" s="182"/>
    </row>
    <row r="283" spans="1:65" s="589" customFormat="1">
      <c r="A283" s="183"/>
      <c r="L283" s="714"/>
      <c r="M283" s="641"/>
      <c r="N283" s="641"/>
      <c r="O283" s="641"/>
      <c r="P283" s="641"/>
      <c r="Q283" s="714"/>
      <c r="R283" s="641"/>
      <c r="S283" s="641"/>
      <c r="T283" s="641"/>
      <c r="U283" s="641"/>
      <c r="V283" s="714"/>
      <c r="W283" s="641"/>
      <c r="X283" s="641"/>
      <c r="Y283" s="641"/>
      <c r="Z283" s="641"/>
      <c r="AA283" s="714"/>
      <c r="AB283" s="641"/>
      <c r="AC283" s="641"/>
      <c r="AD283" s="641"/>
      <c r="AE283" s="641"/>
      <c r="AF283" s="641"/>
      <c r="AG283" s="641"/>
      <c r="AH283" s="641"/>
      <c r="AI283" s="641"/>
      <c r="AJ283" s="641"/>
      <c r="AK283" s="641"/>
      <c r="AL283" s="641"/>
      <c r="AM283" s="641"/>
      <c r="AN283" s="641"/>
      <c r="AO283" s="641"/>
      <c r="AP283" s="183"/>
      <c r="AQ283" s="183"/>
      <c r="AR283" s="183"/>
      <c r="AS283" s="183"/>
      <c r="AT283" s="183"/>
      <c r="AU283" s="183"/>
      <c r="AV283" s="183"/>
      <c r="AW283" s="182"/>
      <c r="AX283" s="723"/>
      <c r="AY283" s="182"/>
      <c r="AZ283" s="182"/>
      <c r="BA283" s="443"/>
      <c r="BB283" s="443"/>
      <c r="BC283" s="533"/>
      <c r="BD283" s="533"/>
      <c r="BE283" s="533"/>
      <c r="BF283" s="533"/>
      <c r="BG283" s="533"/>
      <c r="BH283" s="533"/>
      <c r="BI283" s="519"/>
      <c r="BJ283" s="519"/>
      <c r="BK283" s="443"/>
      <c r="BL283" s="443"/>
      <c r="BM283" s="182"/>
    </row>
    <row r="284" spans="1:65" s="589" customFormat="1">
      <c r="A284" s="183"/>
      <c r="L284" s="714"/>
      <c r="M284" s="641"/>
      <c r="N284" s="641"/>
      <c r="O284" s="641"/>
      <c r="P284" s="641"/>
      <c r="Q284" s="714"/>
      <c r="R284" s="641"/>
      <c r="S284" s="641"/>
      <c r="T284" s="641"/>
      <c r="U284" s="641"/>
      <c r="V284" s="714"/>
      <c r="W284" s="641"/>
      <c r="X284" s="641"/>
      <c r="Y284" s="641"/>
      <c r="Z284" s="641"/>
      <c r="AA284" s="714"/>
      <c r="AB284" s="641"/>
      <c r="AC284" s="641"/>
      <c r="AD284" s="641"/>
      <c r="AE284" s="641"/>
      <c r="AF284" s="641"/>
      <c r="AG284" s="641"/>
      <c r="AH284" s="641"/>
      <c r="AI284" s="641"/>
      <c r="AJ284" s="641"/>
      <c r="AK284" s="641"/>
      <c r="AL284" s="641"/>
      <c r="AM284" s="641"/>
      <c r="AN284" s="641"/>
      <c r="AO284" s="641"/>
      <c r="AP284" s="183"/>
      <c r="AQ284" s="183"/>
      <c r="AR284" s="183"/>
      <c r="AS284" s="183"/>
      <c r="AT284" s="183"/>
      <c r="AU284" s="183"/>
      <c r="AV284" s="183"/>
      <c r="AW284" s="182"/>
      <c r="AX284" s="723"/>
      <c r="AY284" s="182"/>
      <c r="AZ284" s="182"/>
      <c r="BA284" s="443"/>
      <c r="BB284" s="443"/>
      <c r="BC284" s="533"/>
      <c r="BD284" s="533"/>
      <c r="BE284" s="533"/>
      <c r="BF284" s="533"/>
      <c r="BG284" s="533"/>
      <c r="BH284" s="533"/>
      <c r="BI284" s="519"/>
      <c r="BJ284" s="519"/>
      <c r="BK284" s="443"/>
      <c r="BL284" s="443"/>
      <c r="BM284" s="182"/>
    </row>
    <row r="285" spans="1:65" s="589" customFormat="1">
      <c r="A285" s="183"/>
      <c r="L285" s="714"/>
      <c r="M285" s="641"/>
      <c r="N285" s="641"/>
      <c r="O285" s="641"/>
      <c r="P285" s="641"/>
      <c r="Q285" s="714"/>
      <c r="R285" s="641"/>
      <c r="S285" s="641"/>
      <c r="T285" s="641"/>
      <c r="U285" s="641"/>
      <c r="V285" s="714"/>
      <c r="W285" s="641"/>
      <c r="X285" s="641"/>
      <c r="Y285" s="641"/>
      <c r="Z285" s="641"/>
      <c r="AA285" s="714"/>
      <c r="AB285" s="641"/>
      <c r="AC285" s="641"/>
      <c r="AD285" s="641"/>
      <c r="AE285" s="641"/>
      <c r="AF285" s="641"/>
      <c r="AG285" s="641"/>
      <c r="AH285" s="641"/>
      <c r="AI285" s="641"/>
      <c r="AJ285" s="641"/>
      <c r="AK285" s="641"/>
      <c r="AL285" s="641"/>
      <c r="AM285" s="641"/>
      <c r="AN285" s="641"/>
      <c r="AO285" s="641"/>
      <c r="AP285" s="183"/>
      <c r="AQ285" s="183"/>
      <c r="AR285" s="183"/>
      <c r="AS285" s="183"/>
      <c r="AT285" s="183"/>
      <c r="AU285" s="183"/>
      <c r="AV285" s="183"/>
      <c r="AW285" s="182"/>
      <c r="AX285" s="723"/>
      <c r="AY285" s="182"/>
      <c r="AZ285" s="182"/>
      <c r="BA285" s="443"/>
      <c r="BB285" s="443"/>
      <c r="BC285" s="533"/>
      <c r="BD285" s="533"/>
      <c r="BE285" s="533"/>
      <c r="BF285" s="533"/>
      <c r="BG285" s="533"/>
      <c r="BH285" s="533"/>
      <c r="BI285" s="519"/>
      <c r="BJ285" s="519"/>
      <c r="BK285" s="443"/>
      <c r="BL285" s="443"/>
      <c r="BM285" s="182"/>
    </row>
    <row r="286" spans="1:65" s="589" customFormat="1">
      <c r="A286" s="183"/>
      <c r="L286" s="714"/>
      <c r="M286" s="641"/>
      <c r="N286" s="641"/>
      <c r="O286" s="641"/>
      <c r="P286" s="641"/>
      <c r="Q286" s="714"/>
      <c r="R286" s="641"/>
      <c r="S286" s="641"/>
      <c r="T286" s="641"/>
      <c r="U286" s="641"/>
      <c r="V286" s="714"/>
      <c r="W286" s="641"/>
      <c r="X286" s="641"/>
      <c r="Y286" s="641"/>
      <c r="Z286" s="641"/>
      <c r="AA286" s="714"/>
      <c r="AB286" s="641"/>
      <c r="AC286" s="641"/>
      <c r="AD286" s="641"/>
      <c r="AE286" s="641"/>
      <c r="AF286" s="641"/>
      <c r="AG286" s="641"/>
      <c r="AH286" s="641"/>
      <c r="AI286" s="641"/>
      <c r="AJ286" s="641"/>
      <c r="AK286" s="641"/>
      <c r="AL286" s="641"/>
      <c r="AM286" s="641"/>
      <c r="AN286" s="641"/>
      <c r="AO286" s="641"/>
      <c r="AP286" s="183"/>
      <c r="AQ286" s="183"/>
      <c r="AR286" s="183"/>
      <c r="AS286" s="183"/>
      <c r="AT286" s="183"/>
      <c r="AU286" s="183"/>
      <c r="AV286" s="183"/>
      <c r="AW286" s="182"/>
      <c r="AX286" s="723"/>
      <c r="AY286" s="182"/>
      <c r="AZ286" s="182"/>
      <c r="BA286" s="443"/>
      <c r="BB286" s="443"/>
      <c r="BC286" s="533"/>
      <c r="BD286" s="533"/>
      <c r="BE286" s="533"/>
      <c r="BF286" s="533"/>
      <c r="BG286" s="533"/>
      <c r="BH286" s="533"/>
      <c r="BI286" s="519"/>
      <c r="BJ286" s="519"/>
      <c r="BK286" s="443"/>
      <c r="BL286" s="443"/>
      <c r="BM286" s="182"/>
    </row>
    <row r="287" spans="1:65" s="589" customFormat="1">
      <c r="A287" s="183"/>
      <c r="L287" s="714"/>
      <c r="M287" s="641"/>
      <c r="N287" s="641"/>
      <c r="O287" s="641"/>
      <c r="P287" s="641"/>
      <c r="Q287" s="714"/>
      <c r="R287" s="641"/>
      <c r="S287" s="641"/>
      <c r="T287" s="641"/>
      <c r="U287" s="641"/>
      <c r="V287" s="714"/>
      <c r="W287" s="641"/>
      <c r="X287" s="641"/>
      <c r="Y287" s="641"/>
      <c r="Z287" s="641"/>
      <c r="AA287" s="714"/>
      <c r="AB287" s="641"/>
      <c r="AC287" s="641"/>
      <c r="AD287" s="641"/>
      <c r="AE287" s="641"/>
      <c r="AF287" s="641"/>
      <c r="AG287" s="641"/>
      <c r="AH287" s="641"/>
      <c r="AI287" s="641"/>
      <c r="AJ287" s="641"/>
      <c r="AK287" s="641"/>
      <c r="AL287" s="641"/>
      <c r="AM287" s="641"/>
      <c r="AN287" s="641"/>
      <c r="AO287" s="641"/>
      <c r="AP287" s="183"/>
      <c r="AQ287" s="183"/>
      <c r="AR287" s="183"/>
      <c r="AS287" s="183"/>
      <c r="AT287" s="183"/>
      <c r="AU287" s="183"/>
      <c r="AV287" s="183"/>
      <c r="AW287" s="182"/>
      <c r="AX287" s="723"/>
      <c r="AY287" s="182"/>
      <c r="AZ287" s="182"/>
      <c r="BA287" s="443"/>
      <c r="BB287" s="443"/>
      <c r="BC287" s="533"/>
      <c r="BD287" s="533"/>
      <c r="BE287" s="533"/>
      <c r="BF287" s="533"/>
      <c r="BG287" s="533"/>
      <c r="BH287" s="533"/>
      <c r="BI287" s="519"/>
      <c r="BJ287" s="519"/>
      <c r="BK287" s="443"/>
      <c r="BL287" s="443"/>
      <c r="BM287" s="182"/>
    </row>
    <row r="288" spans="1:65" s="589" customFormat="1">
      <c r="A288" s="183"/>
      <c r="L288" s="714"/>
      <c r="M288" s="641"/>
      <c r="N288" s="641"/>
      <c r="O288" s="641"/>
      <c r="P288" s="641"/>
      <c r="Q288" s="714"/>
      <c r="R288" s="641"/>
      <c r="S288" s="641"/>
      <c r="T288" s="641"/>
      <c r="U288" s="641"/>
      <c r="V288" s="714"/>
      <c r="W288" s="641"/>
      <c r="X288" s="641"/>
      <c r="Y288" s="641"/>
      <c r="Z288" s="641"/>
      <c r="AA288" s="714"/>
      <c r="AB288" s="641"/>
      <c r="AC288" s="641"/>
      <c r="AD288" s="641"/>
      <c r="AE288" s="641"/>
      <c r="AF288" s="641"/>
      <c r="AG288" s="641"/>
      <c r="AH288" s="641"/>
      <c r="AI288" s="641"/>
      <c r="AJ288" s="641"/>
      <c r="AK288" s="641"/>
      <c r="AL288" s="641"/>
      <c r="AM288" s="641"/>
      <c r="AN288" s="641"/>
      <c r="AO288" s="641"/>
      <c r="AP288" s="183"/>
      <c r="AQ288" s="183"/>
      <c r="AR288" s="183"/>
      <c r="AS288" s="183"/>
      <c r="AT288" s="183"/>
      <c r="AU288" s="183"/>
      <c r="AV288" s="183"/>
      <c r="AW288" s="182"/>
      <c r="AX288" s="723"/>
      <c r="AY288" s="182"/>
      <c r="AZ288" s="182"/>
      <c r="BA288" s="443"/>
      <c r="BB288" s="443"/>
      <c r="BC288" s="533"/>
      <c r="BD288" s="533"/>
      <c r="BE288" s="533"/>
      <c r="BF288" s="533"/>
      <c r="BG288" s="533"/>
      <c r="BH288" s="533"/>
      <c r="BI288" s="519"/>
      <c r="BJ288" s="519"/>
      <c r="BK288" s="443"/>
      <c r="BL288" s="443"/>
      <c r="BM288" s="182"/>
    </row>
    <row r="289" spans="1:65" s="589" customFormat="1">
      <c r="A289" s="183"/>
      <c r="L289" s="714"/>
      <c r="M289" s="641"/>
      <c r="N289" s="641"/>
      <c r="O289" s="641"/>
      <c r="P289" s="641"/>
      <c r="Q289" s="714"/>
      <c r="R289" s="641"/>
      <c r="S289" s="641"/>
      <c r="T289" s="641"/>
      <c r="U289" s="641"/>
      <c r="V289" s="714"/>
      <c r="W289" s="641"/>
      <c r="X289" s="641"/>
      <c r="Y289" s="641"/>
      <c r="Z289" s="641"/>
      <c r="AA289" s="714"/>
      <c r="AB289" s="641"/>
      <c r="AC289" s="641"/>
      <c r="AD289" s="641"/>
      <c r="AE289" s="641"/>
      <c r="AF289" s="641"/>
      <c r="AG289" s="641"/>
      <c r="AH289" s="641"/>
      <c r="AI289" s="641"/>
      <c r="AJ289" s="641"/>
      <c r="AK289" s="641"/>
      <c r="AL289" s="641"/>
      <c r="AM289" s="641"/>
      <c r="AN289" s="641"/>
      <c r="AO289" s="641"/>
      <c r="AP289" s="183"/>
      <c r="AQ289" s="183"/>
      <c r="AR289" s="183"/>
      <c r="AS289" s="183"/>
      <c r="AT289" s="183"/>
      <c r="AU289" s="183"/>
      <c r="AV289" s="183"/>
      <c r="AW289" s="182"/>
      <c r="AX289" s="723"/>
      <c r="AY289" s="182"/>
      <c r="AZ289" s="182"/>
      <c r="BA289" s="443"/>
      <c r="BB289" s="443"/>
      <c r="BC289" s="533"/>
      <c r="BD289" s="533"/>
      <c r="BE289" s="533"/>
      <c r="BF289" s="533"/>
      <c r="BG289" s="533"/>
      <c r="BH289" s="533"/>
      <c r="BI289" s="519"/>
      <c r="BJ289" s="519"/>
      <c r="BK289" s="443"/>
      <c r="BL289" s="443"/>
      <c r="BM289" s="182"/>
    </row>
    <row r="290" spans="1:65" s="182" customFormat="1">
      <c r="A290" s="183"/>
      <c r="L290" s="590"/>
      <c r="M290" s="183"/>
      <c r="N290" s="183"/>
      <c r="O290" s="183"/>
      <c r="P290" s="183"/>
      <c r="Q290" s="590"/>
      <c r="R290" s="183"/>
      <c r="S290" s="183"/>
      <c r="T290" s="183"/>
      <c r="U290" s="183"/>
      <c r="V290" s="590"/>
      <c r="W290" s="183"/>
      <c r="X290" s="183"/>
      <c r="Y290" s="183"/>
      <c r="Z290" s="183"/>
      <c r="AA290" s="590"/>
      <c r="AB290" s="183"/>
      <c r="AC290" s="183"/>
      <c r="AD290" s="183"/>
      <c r="AE290" s="183"/>
      <c r="AF290" s="183"/>
      <c r="AG290" s="183"/>
      <c r="AH290" s="183"/>
      <c r="AI290" s="183"/>
      <c r="AJ290" s="183"/>
      <c r="AK290" s="183"/>
      <c r="AL290" s="183"/>
      <c r="AM290" s="183"/>
      <c r="AN290" s="183"/>
      <c r="AO290" s="183"/>
      <c r="AP290" s="183"/>
      <c r="AQ290" s="183"/>
      <c r="AR290" s="183"/>
      <c r="AS290" s="183"/>
      <c r="AT290" s="183"/>
      <c r="AU290" s="183"/>
      <c r="AV290" s="183"/>
      <c r="AX290" s="723"/>
      <c r="BA290" s="443"/>
      <c r="BB290" s="443"/>
      <c r="BC290" s="533"/>
      <c r="BD290" s="533"/>
      <c r="BE290" s="533"/>
      <c r="BF290" s="533"/>
      <c r="BG290" s="533"/>
      <c r="BH290" s="533"/>
      <c r="BI290" s="519"/>
      <c r="BJ290" s="519"/>
      <c r="BK290" s="443"/>
      <c r="BL290" s="443"/>
    </row>
    <row r="291" spans="1:65" s="182" customFormat="1">
      <c r="A291" s="183"/>
      <c r="L291" s="590"/>
      <c r="M291" s="183"/>
      <c r="N291" s="183"/>
      <c r="O291" s="183"/>
      <c r="P291" s="183"/>
      <c r="Q291" s="590"/>
      <c r="R291" s="183"/>
      <c r="S291" s="183"/>
      <c r="T291" s="183"/>
      <c r="U291" s="183"/>
      <c r="V291" s="590"/>
      <c r="W291" s="183"/>
      <c r="X291" s="183"/>
      <c r="Y291" s="183"/>
      <c r="Z291" s="183"/>
      <c r="AA291" s="590"/>
      <c r="AB291" s="183"/>
      <c r="AC291" s="183"/>
      <c r="AD291" s="183"/>
      <c r="AE291" s="183"/>
      <c r="AF291" s="183"/>
      <c r="AG291" s="183"/>
      <c r="AH291" s="183"/>
      <c r="AI291" s="183"/>
      <c r="AJ291" s="183"/>
      <c r="AK291" s="183"/>
      <c r="AL291" s="183"/>
      <c r="AM291" s="183"/>
      <c r="AN291" s="183"/>
      <c r="AO291" s="183"/>
      <c r="AP291" s="183"/>
      <c r="AQ291" s="183"/>
      <c r="AR291" s="183"/>
      <c r="AS291" s="183"/>
      <c r="AT291" s="183"/>
      <c r="AU291" s="183"/>
      <c r="AV291" s="183"/>
      <c r="AX291" s="723"/>
      <c r="BA291" s="443"/>
      <c r="BB291" s="443"/>
      <c r="BC291" s="533"/>
      <c r="BD291" s="533"/>
      <c r="BE291" s="533"/>
      <c r="BF291" s="533"/>
      <c r="BG291" s="533"/>
      <c r="BH291" s="533"/>
      <c r="BI291" s="519"/>
      <c r="BJ291" s="519"/>
      <c r="BK291" s="443"/>
      <c r="BL291" s="443"/>
    </row>
    <row r="292" spans="1:65" s="182" customFormat="1">
      <c r="A292" s="183"/>
      <c r="L292" s="590"/>
      <c r="M292" s="183"/>
      <c r="N292" s="183"/>
      <c r="O292" s="183"/>
      <c r="P292" s="183"/>
      <c r="Q292" s="590"/>
      <c r="R292" s="183"/>
      <c r="S292" s="183"/>
      <c r="T292" s="183"/>
      <c r="U292" s="183"/>
      <c r="V292" s="590"/>
      <c r="W292" s="183"/>
      <c r="X292" s="183"/>
      <c r="Y292" s="183"/>
      <c r="Z292" s="183"/>
      <c r="AA292" s="590"/>
      <c r="AB292" s="183"/>
      <c r="AC292" s="183"/>
      <c r="AD292" s="183"/>
      <c r="AE292" s="183"/>
      <c r="AF292" s="183"/>
      <c r="AG292" s="183"/>
      <c r="AH292" s="183"/>
      <c r="AI292" s="183"/>
      <c r="AJ292" s="183"/>
      <c r="AK292" s="183"/>
      <c r="AL292" s="183"/>
      <c r="AM292" s="183"/>
      <c r="AN292" s="183"/>
      <c r="AO292" s="183"/>
      <c r="AP292" s="183"/>
      <c r="AQ292" s="183"/>
      <c r="AR292" s="183"/>
      <c r="AS292" s="183"/>
      <c r="AT292" s="183"/>
      <c r="AU292" s="183"/>
      <c r="AV292" s="183"/>
      <c r="AX292" s="723"/>
      <c r="BA292" s="443"/>
      <c r="BB292" s="443"/>
      <c r="BC292" s="533"/>
      <c r="BD292" s="533"/>
      <c r="BE292" s="533"/>
      <c r="BF292" s="533"/>
      <c r="BG292" s="533"/>
      <c r="BH292" s="533"/>
      <c r="BI292" s="519"/>
      <c r="BJ292" s="519"/>
      <c r="BK292" s="443"/>
      <c r="BL292" s="443"/>
    </row>
    <row r="293" spans="1:65" s="182" customFormat="1">
      <c r="A293" s="183"/>
      <c r="L293" s="590"/>
      <c r="M293" s="183"/>
      <c r="N293" s="183"/>
      <c r="O293" s="183"/>
      <c r="P293" s="183"/>
      <c r="Q293" s="590"/>
      <c r="R293" s="183"/>
      <c r="S293" s="183"/>
      <c r="T293" s="183"/>
      <c r="U293" s="183"/>
      <c r="V293" s="590"/>
      <c r="W293" s="183"/>
      <c r="X293" s="183"/>
      <c r="Y293" s="183"/>
      <c r="Z293" s="183"/>
      <c r="AA293" s="590"/>
      <c r="AB293" s="183"/>
      <c r="AC293" s="183"/>
      <c r="AD293" s="183"/>
      <c r="AE293" s="183"/>
      <c r="AF293" s="183"/>
      <c r="AG293" s="183"/>
      <c r="AH293" s="183"/>
      <c r="AI293" s="183"/>
      <c r="AJ293" s="183"/>
      <c r="AK293" s="183"/>
      <c r="AL293" s="183"/>
      <c r="AM293" s="183"/>
      <c r="AN293" s="183"/>
      <c r="AO293" s="183"/>
      <c r="AP293" s="183"/>
      <c r="AQ293" s="183"/>
      <c r="AR293" s="183"/>
      <c r="AS293" s="183"/>
      <c r="AT293" s="183"/>
      <c r="AU293" s="183"/>
      <c r="AV293" s="183"/>
      <c r="AX293" s="723"/>
      <c r="BA293" s="443"/>
      <c r="BB293" s="443"/>
      <c r="BC293" s="533"/>
      <c r="BD293" s="533"/>
      <c r="BE293" s="533"/>
      <c r="BF293" s="533"/>
      <c r="BG293" s="533"/>
      <c r="BH293" s="533"/>
      <c r="BI293" s="519"/>
      <c r="BJ293" s="519"/>
      <c r="BK293" s="443"/>
      <c r="BL293" s="443"/>
    </row>
    <row r="294" spans="1:65" s="182" customFormat="1">
      <c r="A294" s="183"/>
      <c r="L294" s="590"/>
      <c r="M294" s="183"/>
      <c r="N294" s="183"/>
      <c r="O294" s="183"/>
      <c r="P294" s="183"/>
      <c r="Q294" s="590"/>
      <c r="R294" s="183"/>
      <c r="S294" s="183"/>
      <c r="T294" s="183"/>
      <c r="U294" s="183"/>
      <c r="V294" s="590"/>
      <c r="W294" s="183"/>
      <c r="X294" s="183"/>
      <c r="Y294" s="183"/>
      <c r="Z294" s="183"/>
      <c r="AA294" s="590"/>
      <c r="AB294" s="183"/>
      <c r="AC294" s="183"/>
      <c r="AD294" s="183"/>
      <c r="AE294" s="183"/>
      <c r="AF294" s="183"/>
      <c r="AG294" s="183"/>
      <c r="AH294" s="183"/>
      <c r="AI294" s="183"/>
      <c r="AJ294" s="183"/>
      <c r="AK294" s="183"/>
      <c r="AL294" s="183"/>
      <c r="AM294" s="183"/>
      <c r="AN294" s="183"/>
      <c r="AO294" s="183"/>
      <c r="AP294" s="183"/>
      <c r="AQ294" s="183"/>
      <c r="AR294" s="183"/>
      <c r="AS294" s="183"/>
      <c r="AT294" s="183"/>
      <c r="AU294" s="183"/>
      <c r="AV294" s="183"/>
      <c r="AX294" s="723"/>
      <c r="BA294" s="443"/>
      <c r="BB294" s="443"/>
      <c r="BC294" s="533"/>
      <c r="BD294" s="533"/>
      <c r="BE294" s="533"/>
      <c r="BF294" s="533"/>
      <c r="BG294" s="533"/>
      <c r="BH294" s="533"/>
      <c r="BI294" s="519"/>
      <c r="BJ294" s="519"/>
      <c r="BK294" s="443"/>
      <c r="BL294" s="443"/>
    </row>
    <row r="295" spans="1:65" s="182" customFormat="1">
      <c r="A295" s="183"/>
      <c r="L295" s="183"/>
      <c r="M295" s="183"/>
      <c r="N295" s="183"/>
      <c r="O295" s="183"/>
      <c r="P295" s="183"/>
      <c r="Q295" s="183"/>
      <c r="R295" s="183"/>
      <c r="S295" s="183"/>
      <c r="T295" s="183"/>
      <c r="U295" s="183"/>
      <c r="V295" s="183"/>
      <c r="W295" s="183"/>
      <c r="X295" s="183"/>
      <c r="Y295" s="183"/>
      <c r="Z295" s="183"/>
      <c r="AA295" s="183"/>
      <c r="AB295" s="183"/>
      <c r="AC295" s="183"/>
      <c r="AD295" s="183"/>
      <c r="AE295" s="183"/>
      <c r="AF295" s="183"/>
      <c r="AG295" s="183"/>
      <c r="AH295" s="183"/>
      <c r="AI295" s="183"/>
      <c r="AJ295" s="183"/>
      <c r="AK295" s="183"/>
      <c r="AL295" s="183"/>
      <c r="AM295" s="183"/>
      <c r="AN295" s="183"/>
      <c r="AO295" s="183"/>
      <c r="AP295" s="183"/>
      <c r="AQ295" s="183"/>
      <c r="AR295" s="183"/>
      <c r="AS295" s="183"/>
      <c r="AT295" s="183"/>
      <c r="AU295" s="183"/>
      <c r="AV295" s="183"/>
      <c r="AX295" s="723"/>
      <c r="BA295" s="443"/>
      <c r="BB295" s="443"/>
      <c r="BC295" s="533"/>
      <c r="BD295" s="533"/>
      <c r="BE295" s="533"/>
      <c r="BF295" s="533"/>
      <c r="BG295" s="533"/>
      <c r="BH295" s="533"/>
      <c r="BI295" s="519"/>
      <c r="BJ295" s="519"/>
      <c r="BK295" s="443"/>
      <c r="BL295" s="443"/>
    </row>
    <row r="296" spans="1:65" s="182" customFormat="1">
      <c r="A296" s="183"/>
      <c r="L296" s="183"/>
      <c r="M296" s="183"/>
      <c r="N296" s="183"/>
      <c r="O296" s="183"/>
      <c r="P296" s="183"/>
      <c r="Q296" s="183"/>
      <c r="R296" s="183"/>
      <c r="S296" s="183"/>
      <c r="T296" s="183"/>
      <c r="U296" s="183"/>
      <c r="V296" s="183"/>
      <c r="W296" s="183"/>
      <c r="X296" s="183"/>
      <c r="Y296" s="183"/>
      <c r="Z296" s="183"/>
      <c r="AA296" s="183"/>
      <c r="AB296" s="183"/>
      <c r="AC296" s="183"/>
      <c r="AD296" s="183"/>
      <c r="AE296" s="183"/>
      <c r="AF296" s="183"/>
      <c r="AG296" s="183"/>
      <c r="AH296" s="183"/>
      <c r="AI296" s="183"/>
      <c r="AJ296" s="183"/>
      <c r="AK296" s="183"/>
      <c r="AL296" s="183"/>
      <c r="AM296" s="183"/>
      <c r="AN296" s="183"/>
      <c r="AO296" s="183"/>
      <c r="AP296" s="183"/>
      <c r="AQ296" s="183"/>
      <c r="AR296" s="183"/>
      <c r="AS296" s="183"/>
      <c r="AT296" s="183"/>
      <c r="AU296" s="183"/>
      <c r="AV296" s="183"/>
      <c r="AX296" s="723"/>
      <c r="BA296" s="443"/>
      <c r="BB296" s="443"/>
      <c r="BC296" s="533"/>
      <c r="BD296" s="533"/>
      <c r="BE296" s="533"/>
      <c r="BF296" s="533"/>
      <c r="BG296" s="533"/>
      <c r="BH296" s="533"/>
      <c r="BI296" s="519"/>
      <c r="BJ296" s="519"/>
      <c r="BK296" s="443"/>
      <c r="BL296" s="443"/>
    </row>
    <row r="297" spans="1:65" s="182" customFormat="1">
      <c r="A297" s="183"/>
      <c r="L297" s="183"/>
      <c r="M297" s="183"/>
      <c r="N297" s="183"/>
      <c r="O297" s="183"/>
      <c r="P297" s="183"/>
      <c r="Q297" s="183"/>
      <c r="R297" s="183"/>
      <c r="S297" s="183"/>
      <c r="T297" s="183"/>
      <c r="U297" s="183"/>
      <c r="V297" s="183"/>
      <c r="W297" s="183"/>
      <c r="X297" s="183"/>
      <c r="Y297" s="183"/>
      <c r="Z297" s="183"/>
      <c r="AA297" s="183"/>
      <c r="AB297" s="183"/>
      <c r="AC297" s="183"/>
      <c r="AD297" s="183"/>
      <c r="AE297" s="183"/>
      <c r="AF297" s="183"/>
      <c r="AG297" s="183"/>
      <c r="AH297" s="183"/>
      <c r="AI297" s="183"/>
      <c r="AJ297" s="183"/>
      <c r="AK297" s="183"/>
      <c r="AL297" s="183"/>
      <c r="AM297" s="183"/>
      <c r="AN297" s="183"/>
      <c r="AO297" s="183"/>
      <c r="AP297" s="183"/>
      <c r="AQ297" s="183"/>
      <c r="AR297" s="183"/>
      <c r="AS297" s="183"/>
      <c r="AT297" s="183"/>
      <c r="AU297" s="183"/>
      <c r="AV297" s="183"/>
      <c r="AX297" s="723"/>
      <c r="BA297" s="443"/>
      <c r="BB297" s="443"/>
      <c r="BC297" s="533"/>
      <c r="BD297" s="533"/>
      <c r="BE297" s="533"/>
      <c r="BF297" s="533"/>
      <c r="BG297" s="533"/>
      <c r="BH297" s="533"/>
      <c r="BI297" s="519"/>
      <c r="BJ297" s="519"/>
      <c r="BK297" s="443"/>
      <c r="BL297" s="443"/>
    </row>
    <row r="298" spans="1:65" s="182" customFormat="1">
      <c r="A298" s="183"/>
      <c r="L298" s="183"/>
      <c r="M298" s="183"/>
      <c r="N298" s="183"/>
      <c r="O298" s="183"/>
      <c r="P298" s="183"/>
      <c r="Q298" s="183"/>
      <c r="R298" s="183"/>
      <c r="S298" s="183"/>
      <c r="T298" s="183"/>
      <c r="U298" s="183"/>
      <c r="V298" s="183"/>
      <c r="W298" s="183"/>
      <c r="X298" s="183"/>
      <c r="Y298" s="183"/>
      <c r="Z298" s="183"/>
      <c r="AA298" s="183"/>
      <c r="AB298" s="183"/>
      <c r="AC298" s="183"/>
      <c r="AD298" s="183"/>
      <c r="AE298" s="183"/>
      <c r="AF298" s="183"/>
      <c r="AG298" s="183"/>
      <c r="AH298" s="183"/>
      <c r="AI298" s="183"/>
      <c r="AJ298" s="183"/>
      <c r="AK298" s="183"/>
      <c r="AL298" s="183"/>
      <c r="AM298" s="183"/>
      <c r="AN298" s="183"/>
      <c r="AO298" s="183"/>
      <c r="AP298" s="183"/>
      <c r="AQ298" s="183"/>
      <c r="AR298" s="183"/>
      <c r="AS298" s="183"/>
      <c r="AT298" s="183"/>
      <c r="AU298" s="183"/>
      <c r="AV298" s="183"/>
      <c r="AX298" s="723"/>
      <c r="BA298" s="443"/>
      <c r="BB298" s="443"/>
      <c r="BC298" s="533"/>
      <c r="BD298" s="533"/>
      <c r="BE298" s="533"/>
      <c r="BF298" s="533"/>
      <c r="BG298" s="533"/>
      <c r="BH298" s="533"/>
      <c r="BI298" s="519"/>
      <c r="BJ298" s="519"/>
      <c r="BK298" s="443"/>
      <c r="BL298" s="443"/>
    </row>
    <row r="299" spans="1:65" s="182" customFormat="1">
      <c r="A299" s="183"/>
      <c r="L299" s="183"/>
      <c r="M299" s="183"/>
      <c r="N299" s="183"/>
      <c r="O299" s="183"/>
      <c r="P299" s="183"/>
      <c r="Q299" s="183"/>
      <c r="R299" s="183"/>
      <c r="S299" s="183"/>
      <c r="T299" s="183"/>
      <c r="U299" s="183"/>
      <c r="V299" s="183"/>
      <c r="W299" s="183"/>
      <c r="X299" s="183"/>
      <c r="Y299" s="183"/>
      <c r="Z299" s="183"/>
      <c r="AA299" s="183"/>
      <c r="AB299" s="183"/>
      <c r="AC299" s="183"/>
      <c r="AD299" s="183"/>
      <c r="AE299" s="183"/>
      <c r="AF299" s="183"/>
      <c r="AG299" s="183"/>
      <c r="AH299" s="183"/>
      <c r="AI299" s="183"/>
      <c r="AJ299" s="183"/>
      <c r="AK299" s="183"/>
      <c r="AL299" s="183"/>
      <c r="AM299" s="183"/>
      <c r="AN299" s="183"/>
      <c r="AO299" s="183"/>
      <c r="AP299" s="183"/>
      <c r="AQ299" s="183"/>
      <c r="AR299" s="183"/>
      <c r="AS299" s="183"/>
      <c r="AT299" s="183"/>
      <c r="AU299" s="183"/>
      <c r="AV299" s="183"/>
      <c r="AX299" s="723"/>
      <c r="BA299" s="443"/>
      <c r="BB299" s="443"/>
      <c r="BC299" s="533"/>
      <c r="BD299" s="533"/>
      <c r="BE299" s="533"/>
      <c r="BF299" s="533"/>
      <c r="BG299" s="533"/>
      <c r="BH299" s="533"/>
      <c r="BI299" s="519"/>
      <c r="BJ299" s="519"/>
      <c r="BK299" s="443"/>
      <c r="BL299" s="443"/>
    </row>
    <row r="300" spans="1:65" s="182" customFormat="1">
      <c r="A300" s="183"/>
      <c r="L300" s="183"/>
      <c r="M300" s="183"/>
      <c r="N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183"/>
      <c r="AT300" s="183"/>
      <c r="AU300" s="183"/>
      <c r="AV300" s="183"/>
      <c r="AX300" s="723"/>
      <c r="BA300" s="443"/>
      <c r="BB300" s="443"/>
      <c r="BC300" s="533"/>
      <c r="BD300" s="533"/>
      <c r="BE300" s="533"/>
      <c r="BF300" s="533"/>
      <c r="BG300" s="533"/>
      <c r="BH300" s="533"/>
      <c r="BI300" s="519"/>
      <c r="BJ300" s="519"/>
      <c r="BK300" s="443"/>
      <c r="BL300" s="443"/>
    </row>
    <row r="301" spans="1:65" s="182" customFormat="1">
      <c r="A301" s="183"/>
      <c r="L301" s="183"/>
      <c r="M301" s="183"/>
      <c r="N301" s="183"/>
      <c r="O301" s="183"/>
      <c r="P301" s="183"/>
      <c r="Q301" s="183"/>
      <c r="R301" s="183"/>
      <c r="S301" s="183"/>
      <c r="T301" s="183"/>
      <c r="U301" s="183"/>
      <c r="V301" s="183"/>
      <c r="W301" s="183"/>
      <c r="X301" s="183"/>
      <c r="Y301" s="183"/>
      <c r="Z301" s="183"/>
      <c r="AA301" s="183"/>
      <c r="AB301" s="183"/>
      <c r="AC301" s="183"/>
      <c r="AD301" s="183"/>
      <c r="AE301" s="183"/>
      <c r="AF301" s="183"/>
      <c r="AG301" s="183"/>
      <c r="AH301" s="183"/>
      <c r="AI301" s="183"/>
      <c r="AJ301" s="183"/>
      <c r="AK301" s="183"/>
      <c r="AL301" s="183"/>
      <c r="AM301" s="183"/>
      <c r="AN301" s="183"/>
      <c r="AO301" s="183"/>
      <c r="AP301" s="183"/>
      <c r="AQ301" s="183"/>
      <c r="AR301" s="183"/>
      <c r="AS301" s="183"/>
      <c r="AT301" s="183"/>
      <c r="AU301" s="183"/>
      <c r="AV301" s="183"/>
      <c r="AX301" s="723"/>
      <c r="BA301" s="443"/>
      <c r="BB301" s="443"/>
      <c r="BC301" s="533"/>
      <c r="BD301" s="533"/>
      <c r="BE301" s="533"/>
      <c r="BF301" s="533"/>
      <c r="BG301" s="533"/>
      <c r="BH301" s="533"/>
      <c r="BI301" s="519"/>
      <c r="BJ301" s="519"/>
      <c r="BK301" s="443"/>
      <c r="BL301" s="443"/>
    </row>
    <row r="302" spans="1:65" s="182" customFormat="1">
      <c r="A302" s="183"/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183"/>
      <c r="AT302" s="183"/>
      <c r="AU302" s="183"/>
      <c r="AV302" s="183"/>
      <c r="AX302" s="723"/>
      <c r="BA302" s="443"/>
      <c r="BB302" s="443"/>
      <c r="BC302" s="533"/>
      <c r="BD302" s="533"/>
      <c r="BE302" s="533"/>
      <c r="BF302" s="533"/>
      <c r="BG302" s="533"/>
      <c r="BH302" s="533"/>
      <c r="BI302" s="519"/>
      <c r="BJ302" s="519"/>
      <c r="BK302" s="443"/>
      <c r="BL302" s="443"/>
    </row>
    <row r="303" spans="1:65" s="182" customFormat="1">
      <c r="A303" s="183"/>
      <c r="L303" s="183"/>
      <c r="M303" s="183"/>
      <c r="N303" s="183"/>
      <c r="O303" s="183"/>
      <c r="P303" s="183"/>
      <c r="Q303" s="183"/>
      <c r="R303" s="183"/>
      <c r="S303" s="183"/>
      <c r="T303" s="183"/>
      <c r="U303" s="183"/>
      <c r="V303" s="183"/>
      <c r="W303" s="183"/>
      <c r="X303" s="183"/>
      <c r="Y303" s="183"/>
      <c r="Z303" s="183"/>
      <c r="AA303" s="183"/>
      <c r="AB303" s="183"/>
      <c r="AC303" s="183"/>
      <c r="AD303" s="183"/>
      <c r="AE303" s="183"/>
      <c r="AF303" s="183"/>
      <c r="AG303" s="183"/>
      <c r="AH303" s="183"/>
      <c r="AI303" s="183"/>
      <c r="AJ303" s="183"/>
      <c r="AK303" s="183"/>
      <c r="AL303" s="183"/>
      <c r="AM303" s="183"/>
      <c r="AN303" s="183"/>
      <c r="AO303" s="183"/>
      <c r="AP303" s="183"/>
      <c r="AQ303" s="183"/>
      <c r="AR303" s="183"/>
      <c r="AS303" s="183"/>
      <c r="AT303" s="183"/>
      <c r="AU303" s="183"/>
      <c r="AV303" s="183"/>
      <c r="AX303" s="723"/>
      <c r="BA303" s="443"/>
      <c r="BB303" s="443"/>
      <c r="BC303" s="533"/>
      <c r="BD303" s="533"/>
      <c r="BE303" s="533"/>
      <c r="BF303" s="533"/>
      <c r="BG303" s="533"/>
      <c r="BH303" s="533"/>
      <c r="BI303" s="519"/>
      <c r="BJ303" s="519"/>
      <c r="BK303" s="443"/>
      <c r="BL303" s="443"/>
    </row>
  </sheetData>
  <mergeCells count="2">
    <mergeCell ref="BI6:BJ6"/>
    <mergeCell ref="BK6:BL6"/>
  </mergeCells>
  <phoneticPr fontId="24" type="noConversion"/>
  <pageMargins left="0.2" right="0.21" top="0.5" bottom="0.38" header="0.25" footer="0.2"/>
  <pageSetup scale="80" fitToWidth="10" fitToHeight="10" pageOrder="overThenDown" orientation="landscape" r:id="rId1"/>
  <headerFooter alignWithMargins="0">
    <oddFooter>&amp;R&amp;8&amp;D    -- 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MasterA1(current$)</vt:lpstr>
      <vt:lpstr>MasterA2(constant$)</vt:lpstr>
      <vt:lpstr>MasterA3(FTEs)</vt:lpstr>
      <vt:lpstr>BodyA1</vt:lpstr>
      <vt:lpstr>'MasterA2(constant$)'!BodyA2</vt:lpstr>
      <vt:lpstr>'MasterA1(current$)'!Print_Area</vt:lpstr>
      <vt:lpstr>'MasterA2(constant$)'!Print_Area</vt:lpstr>
      <vt:lpstr>'MasterA3(FTEs)'!Print_Area</vt:lpstr>
      <vt:lpstr>'MasterA1(current$)'!Print_Titles</vt:lpstr>
      <vt:lpstr>'MasterA2(constant$)'!Print_Titles</vt:lpstr>
      <vt:lpstr>'MasterA3(FTEs)'!Print_Titles</vt:lpstr>
      <vt:lpstr>SideA1</vt:lpstr>
      <vt:lpstr>TopA1</vt:lpstr>
      <vt:lpstr>topa1short</vt:lpstr>
      <vt:lpstr>'MasterA2(constant$)'!TopA2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Mager</dc:creator>
  <cp:lastModifiedBy>Susan Dudley</cp:lastModifiedBy>
  <cp:lastPrinted>2017-06-24T19:56:36Z</cp:lastPrinted>
  <dcterms:created xsi:type="dcterms:W3CDTF">1997-04-21T15:18:02Z</dcterms:created>
  <dcterms:modified xsi:type="dcterms:W3CDTF">2017-07-18T21:07:47Z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terial Description">
    <vt:lpwstr>FY2007 Regulator's Budget Staffing Budget Tables 3-14</vt:lpwstr>
  </property>
  <property fmtid="{D5CDD505-2E9C-101B-9397-08002B2CF9AE}" pid="3" name="Project Year">
    <vt:lpwstr>2006</vt:lpwstr>
  </property>
  <property fmtid="{D5CDD505-2E9C-101B-9397-08002B2CF9AE}" pid="4" name="Project">
    <vt:lpwstr>43</vt:lpwstr>
  </property>
  <property fmtid="{D5CDD505-2E9C-101B-9397-08002B2CF9AE}" pid="5" name="Material Type">
    <vt:lpwstr>23</vt:lpwstr>
  </property>
  <property fmtid="{D5CDD505-2E9C-101B-9397-08002B2CF9AE}" pid="6" name="Project Clarification">
    <vt:lpwstr>FY2007 Regulator's Budget Staffing Budget Tables 3-14</vt:lpwstr>
  </property>
</Properties>
</file>